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2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6.xml" ContentType="application/vnd.openxmlformats-officedocument.drawing+xml"/>
  <Override PartName="/xl/charts/chart2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6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7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9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3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1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32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3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4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5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6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7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8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9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40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41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7.xml" ContentType="application/vnd.openxmlformats-officedocument.drawing+xml"/>
  <Override PartName="/xl/charts/chart42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3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4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5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6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7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8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9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imonholliday/H2GC Dropbox/H2GC Data/5. Dated Files/1. Country Files - Dated/Europe/Italy/Data/"/>
    </mc:Choice>
  </mc:AlternateContent>
  <xr:revisionPtr revIDLastSave="0" documentId="13_ncr:1_{F2C2D3D2-B2ED-6D44-8E3A-06488A127140}" xr6:coauthVersionLast="47" xr6:coauthVersionMax="47" xr10:uidLastSave="{00000000-0000-0000-0000-000000000000}"/>
  <bookViews>
    <workbookView xWindow="1240" yWindow="500" windowWidth="30800" windowHeight="22700" xr2:uid="{1DECC3A9-3FEF-C74D-9454-04B5CAE3E36F}"/>
  </bookViews>
  <sheets>
    <sheet name="Overview (LC)" sheetId="10" r:id="rId1"/>
    <sheet name="Overview (Current € FX)" sheetId="11" r:id="rId2"/>
    <sheet name="Summary" sheetId="12" r:id="rId3"/>
    <sheet name="Online Summary" sheetId="13" r:id="rId4"/>
    <sheet name="Annual" sheetId="4" r:id="rId5"/>
    <sheet name="New Summary Monthly" sheetId="5" r:id="rId6"/>
    <sheet name="New Summary Quarterly" sheetId="9" r:id="rId7"/>
    <sheet name="Archive Detailed Monthly" sheetId="2" r:id="rId8"/>
    <sheet name="Output €" sheetId="7" state="hidden" r:id="rId9"/>
    <sheet name="Output $" sheetId="8" state="hidden" r:id="rId10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G23" i="5" l="1"/>
  <c r="HG25" i="5" s="1"/>
  <c r="HI25" i="5" s="1"/>
  <c r="GP41" i="5"/>
  <c r="HE41" i="5" s="1"/>
  <c r="HF28" i="5"/>
  <c r="CL374" i="5"/>
  <c r="CL375" i="5"/>
  <c r="CL376" i="5"/>
  <c r="CL377" i="5"/>
  <c r="GP292" i="5"/>
  <c r="GO292" i="5"/>
  <c r="HD13" i="5"/>
  <c r="HD15" i="5"/>
  <c r="HE15" i="5"/>
  <c r="HF15" i="5"/>
  <c r="HG15" i="5"/>
  <c r="HI15" i="5" s="1"/>
  <c r="HH15" i="5"/>
  <c r="HH16" i="5" s="1"/>
  <c r="HD16" i="5"/>
  <c r="HE16" i="5"/>
  <c r="HF16" i="5"/>
  <c r="HG16" i="5"/>
  <c r="HD18" i="5"/>
  <c r="HE18" i="5"/>
  <c r="HF18" i="5"/>
  <c r="HG18" i="5"/>
  <c r="HH18" i="5"/>
  <c r="HI18" i="5" s="1"/>
  <c r="HD19" i="5"/>
  <c r="HD21" i="5" s="1"/>
  <c r="HE19" i="5"/>
  <c r="HF19" i="5"/>
  <c r="HG19" i="5"/>
  <c r="HH19" i="5"/>
  <c r="HI19" i="5" s="1"/>
  <c r="HD20" i="5"/>
  <c r="HE20" i="5"/>
  <c r="HF20" i="5"/>
  <c r="HG20" i="5"/>
  <c r="HG21" i="5" s="1"/>
  <c r="HD23" i="5"/>
  <c r="HE23" i="5"/>
  <c r="HF23" i="5"/>
  <c r="HH23" i="5"/>
  <c r="HD24" i="5"/>
  <c r="HE24" i="5"/>
  <c r="HF24" i="5"/>
  <c r="HG24" i="5"/>
  <c r="HI24" i="5" s="1"/>
  <c r="HH24" i="5"/>
  <c r="HH26" i="5" s="1"/>
  <c r="HH25" i="5"/>
  <c r="HD28" i="5"/>
  <c r="HE28" i="5"/>
  <c r="HG28" i="5"/>
  <c r="HI28" i="5" s="1"/>
  <c r="HH28" i="5"/>
  <c r="HD29" i="5"/>
  <c r="HE29" i="5"/>
  <c r="HF29" i="5"/>
  <c r="HG29" i="5"/>
  <c r="HI29" i="5" s="1"/>
  <c r="HH29" i="5"/>
  <c r="HH31" i="5" s="1"/>
  <c r="HH33" i="5" s="1"/>
  <c r="HD30" i="5"/>
  <c r="HE30" i="5"/>
  <c r="HF30" i="5"/>
  <c r="HG30" i="5"/>
  <c r="HH30" i="5"/>
  <c r="HI30" i="5" s="1"/>
  <c r="HD31" i="5"/>
  <c r="HD33" i="5" s="1"/>
  <c r="HD32" i="5"/>
  <c r="HE32" i="5"/>
  <c r="HF32" i="5"/>
  <c r="HG32" i="5"/>
  <c r="HI32" i="5" s="1"/>
  <c r="HH32" i="5"/>
  <c r="HD40" i="5"/>
  <c r="HD41" i="5"/>
  <c r="HG41" i="5"/>
  <c r="HI41" i="5" s="1"/>
  <c r="HH41" i="5"/>
  <c r="HH42" i="5"/>
  <c r="HH43" i="5" s="1"/>
  <c r="HD46" i="5"/>
  <c r="HD47" i="5"/>
  <c r="HD48" i="5"/>
  <c r="HD49" i="5"/>
  <c r="HF41" i="5" l="1"/>
  <c r="HI23" i="5"/>
  <c r="HD25" i="5"/>
  <c r="HD26" i="5"/>
  <c r="HI16" i="5"/>
  <c r="HG26" i="5"/>
  <c r="HH20" i="5"/>
  <c r="HH21" i="5" s="1"/>
  <c r="HG31" i="5"/>
  <c r="HG33" i="5" l="1"/>
  <c r="HI33" i="5" s="1"/>
  <c r="HI31" i="5"/>
  <c r="HI20" i="5"/>
  <c r="GO42" i="5" l="1"/>
  <c r="GO41" i="5"/>
  <c r="GO15" i="5"/>
  <c r="GO295" i="5"/>
  <c r="GO296" i="5"/>
  <c r="GO297" i="5"/>
  <c r="GO18" i="5" l="1"/>
  <c r="CK374" i="5"/>
  <c r="CK375" i="5"/>
  <c r="CK376" i="5"/>
  <c r="CK377" i="5"/>
  <c r="CW83" i="5"/>
  <c r="AH47" i="10"/>
  <c r="AH42" i="11"/>
  <c r="AH16" i="12"/>
  <c r="AH81" i="13" s="1"/>
  <c r="AH43" i="13"/>
  <c r="AH54" i="13"/>
  <c r="AH72" i="13"/>
  <c r="AH74" i="13"/>
  <c r="AH111" i="4"/>
  <c r="AH158" i="4"/>
  <c r="CH97" i="4"/>
  <c r="CH67" i="4"/>
  <c r="AH106" i="12" l="1"/>
  <c r="AH103" i="12"/>
  <c r="AH130" i="12"/>
  <c r="AH113" i="12"/>
  <c r="AH122" i="12"/>
  <c r="CH89" i="4"/>
  <c r="AH16" i="4"/>
  <c r="AH148" i="4"/>
  <c r="AH104" i="12"/>
  <c r="CH19" i="4"/>
  <c r="AH94" i="13"/>
  <c r="AH107" i="12"/>
  <c r="AH112" i="12"/>
  <c r="AH19" i="4"/>
  <c r="AH44" i="10"/>
  <c r="CH68" i="4"/>
  <c r="CH103" i="4"/>
  <c r="AH131" i="12"/>
  <c r="AH15" i="11"/>
  <c r="CH16" i="4"/>
  <c r="AH17" i="10"/>
  <c r="AH61" i="13"/>
  <c r="AH104" i="13"/>
  <c r="AH41" i="13"/>
  <c r="AH17" i="13"/>
  <c r="AH73" i="13"/>
  <c r="AH132" i="12"/>
  <c r="GN18" i="5"/>
  <c r="GN15" i="5"/>
  <c r="CJ374" i="5"/>
  <c r="CJ375" i="5"/>
  <c r="CJ376" i="5"/>
  <c r="CJ377" i="5"/>
  <c r="GN292" i="5"/>
  <c r="GN295" i="5"/>
  <c r="GN42" i="5"/>
  <c r="CH20" i="4" l="1"/>
  <c r="AH20" i="4"/>
  <c r="AH75" i="13"/>
  <c r="CH94" i="4"/>
  <c r="GN296" i="5"/>
  <c r="GN297" i="5"/>
  <c r="HC49" i="5" l="1"/>
  <c r="HC48" i="5"/>
  <c r="HC47" i="5"/>
  <c r="Z74" i="13"/>
  <c r="Y74" i="13"/>
  <c r="T74" i="13"/>
  <c r="M74" i="13"/>
  <c r="F60" i="12"/>
  <c r="E132" i="12"/>
  <c r="A74" i="13"/>
  <c r="A94" i="13" s="1"/>
  <c r="C132" i="12"/>
  <c r="A132" i="12"/>
  <c r="AC73" i="13"/>
  <c r="AB73" i="13"/>
  <c r="U73" i="13"/>
  <c r="O73" i="13"/>
  <c r="M73" i="13"/>
  <c r="F59" i="12"/>
  <c r="E131" i="12"/>
  <c r="X72" i="13"/>
  <c r="K72" i="13"/>
  <c r="H72" i="13"/>
  <c r="G72" i="13"/>
  <c r="F58" i="12"/>
  <c r="E130" i="12"/>
  <c r="C130" i="12"/>
  <c r="A130" i="12"/>
  <c r="T70" i="13"/>
  <c r="P70" i="13"/>
  <c r="I70" i="13"/>
  <c r="A70" i="13"/>
  <c r="A90" i="13" s="1"/>
  <c r="C129" i="12"/>
  <c r="B129" i="12"/>
  <c r="A129" i="12"/>
  <c r="P69" i="13"/>
  <c r="G69" i="13"/>
  <c r="F56" i="12"/>
  <c r="E128" i="12"/>
  <c r="C128" i="12"/>
  <c r="S68" i="13"/>
  <c r="K68" i="13"/>
  <c r="J68" i="13"/>
  <c r="F55" i="12"/>
  <c r="B127" i="12"/>
  <c r="A127" i="12"/>
  <c r="AA67" i="13"/>
  <c r="Z67" i="13"/>
  <c r="R67" i="13"/>
  <c r="Q67" i="13"/>
  <c r="F54" i="12"/>
  <c r="E126" i="12"/>
  <c r="D126" i="12"/>
  <c r="C126" i="12"/>
  <c r="B126" i="12"/>
  <c r="A126" i="12"/>
  <c r="Z66" i="13"/>
  <c r="X66" i="13"/>
  <c r="U66" i="13"/>
  <c r="M66" i="13"/>
  <c r="L66" i="13"/>
  <c r="K66" i="13"/>
  <c r="J66" i="13"/>
  <c r="F53" i="12"/>
  <c r="E125" i="12"/>
  <c r="C125" i="12"/>
  <c r="B125" i="12"/>
  <c r="A125" i="12"/>
  <c r="E124" i="12"/>
  <c r="A64" i="13"/>
  <c r="A84" i="13" s="1"/>
  <c r="C124" i="12"/>
  <c r="B124" i="12"/>
  <c r="F51" i="12"/>
  <c r="E123" i="12"/>
  <c r="A63" i="13"/>
  <c r="A83" i="13" s="1"/>
  <c r="C123" i="12"/>
  <c r="B123" i="12"/>
  <c r="A123" i="12"/>
  <c r="Y54" i="13"/>
  <c r="X54" i="13"/>
  <c r="K54" i="13"/>
  <c r="E122" i="12"/>
  <c r="C122" i="12"/>
  <c r="B122" i="12"/>
  <c r="A122" i="12"/>
  <c r="V53" i="13"/>
  <c r="Q53" i="13"/>
  <c r="P53" i="13"/>
  <c r="I53" i="13"/>
  <c r="H53" i="13"/>
  <c r="F49" i="12"/>
  <c r="E121" i="12"/>
  <c r="D121" i="12"/>
  <c r="C121" i="12"/>
  <c r="A121" i="12"/>
  <c r="V52" i="13"/>
  <c r="R52" i="13"/>
  <c r="Q52" i="13"/>
  <c r="G52" i="13"/>
  <c r="E120" i="12"/>
  <c r="C120" i="12"/>
  <c r="B120" i="12"/>
  <c r="A120" i="12"/>
  <c r="R50" i="13"/>
  <c r="Q50" i="13"/>
  <c r="J50" i="13"/>
  <c r="H50" i="13"/>
  <c r="F47" i="12"/>
  <c r="E119" i="12"/>
  <c r="C119" i="12"/>
  <c r="B119" i="12"/>
  <c r="A119" i="12"/>
  <c r="I49" i="13"/>
  <c r="F46" i="12"/>
  <c r="E118" i="12"/>
  <c r="A49" i="13"/>
  <c r="C118" i="12"/>
  <c r="B118" i="12"/>
  <c r="A118" i="12"/>
  <c r="U48" i="13"/>
  <c r="J48" i="13"/>
  <c r="F45" i="12"/>
  <c r="E117" i="12"/>
  <c r="A48" i="13"/>
  <c r="C117" i="12"/>
  <c r="B117" i="12"/>
  <c r="A117" i="12"/>
  <c r="U47" i="13"/>
  <c r="S47" i="13"/>
  <c r="I47" i="13"/>
  <c r="F44" i="12"/>
  <c r="E116" i="12"/>
  <c r="C116" i="12"/>
  <c r="B116" i="12"/>
  <c r="A116" i="12"/>
  <c r="O46" i="13"/>
  <c r="F43" i="12"/>
  <c r="E115" i="12"/>
  <c r="A46" i="13"/>
  <c r="C115" i="12"/>
  <c r="B115" i="12"/>
  <c r="A115" i="12"/>
  <c r="U44" i="13"/>
  <c r="O44" i="13"/>
  <c r="G44" i="13"/>
  <c r="F42" i="12"/>
  <c r="E114" i="12"/>
  <c r="C114" i="12"/>
  <c r="B114" i="12"/>
  <c r="A114" i="12"/>
  <c r="V43" i="13"/>
  <c r="U43" i="13"/>
  <c r="F41" i="12"/>
  <c r="E113" i="12"/>
  <c r="D113" i="12"/>
  <c r="C113" i="12"/>
  <c r="B113" i="12"/>
  <c r="A113" i="12"/>
  <c r="F40" i="12"/>
  <c r="E112" i="12"/>
  <c r="D112" i="12"/>
  <c r="C112" i="12"/>
  <c r="B112" i="12"/>
  <c r="A112" i="12"/>
  <c r="F39" i="12"/>
  <c r="E111" i="12"/>
  <c r="D111" i="12"/>
  <c r="C111" i="12"/>
  <c r="B111" i="12"/>
  <c r="A111" i="12"/>
  <c r="F38" i="12"/>
  <c r="E110" i="12"/>
  <c r="D110" i="12"/>
  <c r="C110" i="12"/>
  <c r="B110" i="12"/>
  <c r="A110" i="12"/>
  <c r="F37" i="12"/>
  <c r="E109" i="12"/>
  <c r="D109" i="12"/>
  <c r="C109" i="12"/>
  <c r="B109" i="12"/>
  <c r="A109" i="12"/>
  <c r="F36" i="12"/>
  <c r="E108" i="12"/>
  <c r="D108" i="12"/>
  <c r="C108" i="12"/>
  <c r="B108" i="12"/>
  <c r="A108" i="12"/>
  <c r="F35" i="12"/>
  <c r="E107" i="12"/>
  <c r="D107" i="12"/>
  <c r="C107" i="12"/>
  <c r="B107" i="12"/>
  <c r="A107" i="12"/>
  <c r="F34" i="12"/>
  <c r="E106" i="12"/>
  <c r="D106" i="12"/>
  <c r="C106" i="12"/>
  <c r="B106" i="12"/>
  <c r="A106" i="12"/>
  <c r="F33" i="12"/>
  <c r="E105" i="12"/>
  <c r="D105" i="12"/>
  <c r="C105" i="12"/>
  <c r="B105" i="12"/>
  <c r="A105" i="12"/>
  <c r="F32" i="12"/>
  <c r="A17" i="13" s="1"/>
  <c r="E104" i="12"/>
  <c r="D104" i="12"/>
  <c r="C104" i="12"/>
  <c r="B27" i="11"/>
  <c r="A19" i="11"/>
  <c r="AG103" i="12"/>
  <c r="AF103" i="12"/>
  <c r="AE103" i="12"/>
  <c r="AD16" i="12"/>
  <c r="AD81" i="13" s="1"/>
  <c r="AC16" i="12"/>
  <c r="AC81" i="13" s="1"/>
  <c r="AB17" i="10"/>
  <c r="AA17" i="10"/>
  <c r="Y16" i="12"/>
  <c r="Y81" i="13" s="1"/>
  <c r="X16" i="12"/>
  <c r="X81" i="13" s="1"/>
  <c r="W17" i="10"/>
  <c r="V15" i="11"/>
  <c r="U17" i="10"/>
  <c r="T17" i="10"/>
  <c r="S17" i="10"/>
  <c r="R17" i="10"/>
  <c r="Q15" i="11"/>
  <c r="P103" i="12"/>
  <c r="O15" i="11"/>
  <c r="N17" i="10"/>
  <c r="M16" i="12"/>
  <c r="M81" i="13" s="1"/>
  <c r="L17" i="10"/>
  <c r="K17" i="10"/>
  <c r="J17" i="10"/>
  <c r="I103" i="12"/>
  <c r="H103" i="12"/>
  <c r="G17" i="10"/>
  <c r="F31" i="12"/>
  <c r="E103" i="12"/>
  <c r="D103" i="12"/>
  <c r="C103" i="12"/>
  <c r="A15" i="11"/>
  <c r="AB130" i="12"/>
  <c r="X130" i="12"/>
  <c r="S130" i="12"/>
  <c r="K130" i="12"/>
  <c r="J128" i="12"/>
  <c r="S122" i="12"/>
  <c r="H122" i="12"/>
  <c r="R117" i="12"/>
  <c r="U109" i="12"/>
  <c r="R109" i="12"/>
  <c r="O109" i="12"/>
  <c r="G109" i="12"/>
  <c r="AG44" i="10"/>
  <c r="AF44" i="10"/>
  <c r="AE44" i="10"/>
  <c r="AD42" i="11"/>
  <c r="AC44" i="10"/>
  <c r="AB44" i="10"/>
  <c r="AA44" i="10"/>
  <c r="Z44" i="10"/>
  <c r="Y44" i="10"/>
  <c r="X44" i="10"/>
  <c r="W44" i="10"/>
  <c r="V42" i="11"/>
  <c r="U44" i="10"/>
  <c r="T44" i="10"/>
  <c r="S44" i="10"/>
  <c r="R44" i="10"/>
  <c r="Q44" i="10"/>
  <c r="P44" i="10"/>
  <c r="O44" i="10"/>
  <c r="N42" i="11"/>
  <c r="M44" i="10"/>
  <c r="L44" i="10"/>
  <c r="K44" i="10"/>
  <c r="J44" i="10"/>
  <c r="I44" i="10"/>
  <c r="H44" i="10"/>
  <c r="G44" i="10"/>
  <c r="C42" i="11"/>
  <c r="B44" i="10"/>
  <c r="B45" i="10" s="1"/>
  <c r="A44" i="10"/>
  <c r="A45" i="10" s="1"/>
  <c r="AE47" i="10"/>
  <c r="AD47" i="10"/>
  <c r="AC47" i="10"/>
  <c r="AB47" i="10"/>
  <c r="W47" i="10"/>
  <c r="V47" i="10"/>
  <c r="U47" i="10"/>
  <c r="T47" i="10"/>
  <c r="O47" i="10"/>
  <c r="N47" i="10"/>
  <c r="M47" i="10"/>
  <c r="L47" i="10"/>
  <c r="G47" i="10"/>
  <c r="C47" i="10"/>
  <c r="B47" i="10"/>
  <c r="B48" i="10" s="1"/>
  <c r="A47" i="10"/>
  <c r="A48" i="10" s="1"/>
  <c r="A14" i="13"/>
  <c r="M109" i="13"/>
  <c r="J74" i="13"/>
  <c r="AA66" i="13"/>
  <c r="C131" i="12"/>
  <c r="A128" i="12"/>
  <c r="AF74" i="13"/>
  <c r="AC74" i="13"/>
  <c r="AB74" i="13"/>
  <c r="S74" i="13"/>
  <c r="R74" i="13"/>
  <c r="Q74" i="13"/>
  <c r="I74" i="13"/>
  <c r="H74" i="13"/>
  <c r="B132" i="12"/>
  <c r="S73" i="13"/>
  <c r="L73" i="13"/>
  <c r="K73" i="13"/>
  <c r="B131" i="12"/>
  <c r="A131" i="12"/>
  <c r="AB72" i="13"/>
  <c r="T72" i="13"/>
  <c r="S72" i="13"/>
  <c r="D130" i="12"/>
  <c r="B130" i="12"/>
  <c r="O70" i="13"/>
  <c r="G70" i="13"/>
  <c r="E129" i="12"/>
  <c r="AA69" i="13"/>
  <c r="Z69" i="13"/>
  <c r="Y69" i="13"/>
  <c r="X69" i="13"/>
  <c r="O69" i="13"/>
  <c r="J69" i="13"/>
  <c r="B128" i="12"/>
  <c r="E127" i="12"/>
  <c r="C127" i="12"/>
  <c r="O67" i="13"/>
  <c r="G67" i="13"/>
  <c r="Y66" i="13"/>
  <c r="A124" i="12"/>
  <c r="H54" i="13"/>
  <c r="B121" i="12"/>
  <c r="F57" i="12"/>
  <c r="F52" i="12"/>
  <c r="F50" i="12"/>
  <c r="F48" i="12"/>
  <c r="D34" i="11"/>
  <c r="D33" i="11"/>
  <c r="D32" i="11"/>
  <c r="D30" i="11"/>
  <c r="D29" i="11"/>
  <c r="D28" i="11"/>
  <c r="D27" i="11"/>
  <c r="D25" i="11"/>
  <c r="D24" i="11"/>
  <c r="D23" i="11"/>
  <c r="D22" i="11"/>
  <c r="D20" i="11"/>
  <c r="D19" i="11"/>
  <c r="D18" i="11"/>
  <c r="I17" i="10"/>
  <c r="Q103" i="12" l="1"/>
  <c r="D132" i="12"/>
  <c r="AG17" i="10"/>
  <c r="Y103" i="12"/>
  <c r="Y17" i="10"/>
  <c r="A16" i="12"/>
  <c r="Q17" i="10"/>
  <c r="AG15" i="11"/>
  <c r="Q16" i="12"/>
  <c r="Q81" i="13" s="1"/>
  <c r="A17" i="10"/>
  <c r="G105" i="12"/>
  <c r="Y125" i="12"/>
  <c r="AG16" i="12"/>
  <c r="AG81" i="13" s="1"/>
  <c r="R132" i="12"/>
  <c r="A37" i="11"/>
  <c r="Y15" i="11"/>
  <c r="I16" i="12"/>
  <c r="I81" i="13" s="1"/>
  <c r="A19" i="10"/>
  <c r="A20" i="10"/>
  <c r="I15" i="11"/>
  <c r="G112" i="12"/>
  <c r="J112" i="12"/>
  <c r="R112" i="12"/>
  <c r="K127" i="12"/>
  <c r="S127" i="12"/>
  <c r="J21" i="10"/>
  <c r="T112" i="12"/>
  <c r="B37" i="11"/>
  <c r="F16" i="12"/>
  <c r="B22" i="10"/>
  <c r="B40" i="10"/>
  <c r="T121" i="12"/>
  <c r="L112" i="12"/>
  <c r="AB112" i="12"/>
  <c r="H111" i="12"/>
  <c r="K125" i="12"/>
  <c r="O21" i="10"/>
  <c r="W21" i="10"/>
  <c r="J125" i="12"/>
  <c r="I132" i="12"/>
  <c r="Q132" i="12"/>
  <c r="Q111" i="12"/>
  <c r="L26" i="10"/>
  <c r="T26" i="10"/>
  <c r="AB26" i="10"/>
  <c r="H17" i="10"/>
  <c r="B25" i="10"/>
  <c r="B32" i="11"/>
  <c r="N103" i="12"/>
  <c r="AD17" i="10"/>
  <c r="N15" i="11"/>
  <c r="U16" i="12"/>
  <c r="A39" i="11"/>
  <c r="O107" i="12"/>
  <c r="W107" i="12"/>
  <c r="H16" i="12"/>
  <c r="H61" i="13" s="1"/>
  <c r="T110" i="12"/>
  <c r="K21" i="10"/>
  <c r="J117" i="12"/>
  <c r="D123" i="12"/>
  <c r="V16" i="12"/>
  <c r="V104" i="13" s="1"/>
  <c r="Q121" i="12"/>
  <c r="I26" i="10"/>
  <c r="Y26" i="10"/>
  <c r="P15" i="11"/>
  <c r="O110" i="12"/>
  <c r="S112" i="12"/>
  <c r="AA112" i="12"/>
  <c r="J34" i="10"/>
  <c r="J26" i="10"/>
  <c r="Z26" i="10"/>
  <c r="I52" i="13"/>
  <c r="O131" i="12"/>
  <c r="H108" i="12"/>
  <c r="W104" i="12"/>
  <c r="Y21" i="10"/>
  <c r="M26" i="10"/>
  <c r="U26" i="10"/>
  <c r="G26" i="10"/>
  <c r="O26" i="10"/>
  <c r="W26" i="10"/>
  <c r="A22" i="10"/>
  <c r="U15" i="11"/>
  <c r="A24" i="11"/>
  <c r="H26" i="10"/>
  <c r="P26" i="10"/>
  <c r="X26" i="10"/>
  <c r="U103" i="12"/>
  <c r="I116" i="12"/>
  <c r="G120" i="12"/>
  <c r="G21" i="10"/>
  <c r="K26" i="10"/>
  <c r="S26" i="10"/>
  <c r="AA26" i="10"/>
  <c r="N20" i="10"/>
  <c r="N26" i="10"/>
  <c r="V26" i="10"/>
  <c r="U20" i="10"/>
  <c r="P21" i="10"/>
  <c r="X21" i="10"/>
  <c r="AB110" i="12"/>
  <c r="R26" i="10"/>
  <c r="Q26" i="10"/>
  <c r="M111" i="12"/>
  <c r="R119" i="12"/>
  <c r="O20" i="10"/>
  <c r="C44" i="10"/>
  <c r="N44" i="10"/>
  <c r="V44" i="10"/>
  <c r="AD44" i="10"/>
  <c r="H47" i="10"/>
  <c r="P47" i="10"/>
  <c r="X47" i="10"/>
  <c r="AF47" i="10"/>
  <c r="G42" i="11"/>
  <c r="O42" i="11"/>
  <c r="W42" i="11"/>
  <c r="AE42" i="11"/>
  <c r="X103" i="12"/>
  <c r="I47" i="10"/>
  <c r="Q47" i="10"/>
  <c r="Y47" i="10"/>
  <c r="AG47" i="10"/>
  <c r="H42" i="11"/>
  <c r="P42" i="11"/>
  <c r="X42" i="11"/>
  <c r="AF42" i="11"/>
  <c r="AC17" i="10"/>
  <c r="J47" i="10"/>
  <c r="R47" i="10"/>
  <c r="Z47" i="10"/>
  <c r="I42" i="11"/>
  <c r="Q42" i="11"/>
  <c r="Y42" i="11"/>
  <c r="AG42" i="11"/>
  <c r="K47" i="10"/>
  <c r="S47" i="10"/>
  <c r="AA47" i="10"/>
  <c r="J42" i="11"/>
  <c r="R42" i="11"/>
  <c r="Z42" i="11"/>
  <c r="A45" i="11"/>
  <c r="A46" i="11" s="1"/>
  <c r="G16" i="12"/>
  <c r="N110" i="12"/>
  <c r="K42" i="11"/>
  <c r="S42" i="11"/>
  <c r="AA42" i="11"/>
  <c r="B45" i="11"/>
  <c r="B46" i="11" s="1"/>
  <c r="I34" i="10"/>
  <c r="A42" i="11"/>
  <c r="A43" i="11" s="1"/>
  <c r="L42" i="11"/>
  <c r="T42" i="11"/>
  <c r="AB42" i="11"/>
  <c r="P108" i="12"/>
  <c r="AD113" i="12"/>
  <c r="AA126" i="12"/>
  <c r="B42" i="11"/>
  <c r="B43" i="11" s="1"/>
  <c r="M42" i="11"/>
  <c r="U42" i="11"/>
  <c r="AC42" i="11"/>
  <c r="X108" i="12"/>
  <c r="L20" i="10"/>
  <c r="V17" i="10"/>
  <c r="N16" i="12"/>
  <c r="N17" i="13" s="1"/>
  <c r="AC103" i="12"/>
  <c r="X17" i="10"/>
  <c r="M15" i="11"/>
  <c r="P16" i="12"/>
  <c r="P41" i="13" s="1"/>
  <c r="AD103" i="12"/>
  <c r="J109" i="12"/>
  <c r="I120" i="12"/>
  <c r="X107" i="12"/>
  <c r="V110" i="12"/>
  <c r="M131" i="12"/>
  <c r="X15" i="11"/>
  <c r="AF16" i="12"/>
  <c r="V113" i="12"/>
  <c r="V103" i="12"/>
  <c r="G108" i="12"/>
  <c r="W108" i="12"/>
  <c r="I110" i="12"/>
  <c r="Q110" i="12"/>
  <c r="K25" i="10"/>
  <c r="I25" i="10"/>
  <c r="Q119" i="12"/>
  <c r="O128" i="12"/>
  <c r="AD15" i="11"/>
  <c r="Y110" i="12"/>
  <c r="O112" i="12"/>
  <c r="AE112" i="12"/>
  <c r="AE16" i="12"/>
  <c r="D118" i="12"/>
  <c r="AB111" i="12"/>
  <c r="L131" i="12"/>
  <c r="AB131" i="12"/>
  <c r="T132" i="12"/>
  <c r="AB132" i="12"/>
  <c r="J104" i="12"/>
  <c r="G20" i="10"/>
  <c r="M20" i="10"/>
  <c r="G34" i="10"/>
  <c r="R109" i="13"/>
  <c r="O17" i="10"/>
  <c r="K34" i="10"/>
  <c r="O16" i="12"/>
  <c r="T111" i="12"/>
  <c r="U131" i="12"/>
  <c r="AC131" i="12"/>
  <c r="AB75" i="13"/>
  <c r="H21" i="10"/>
  <c r="G103" i="12"/>
  <c r="M17" i="10"/>
  <c r="V21" i="10"/>
  <c r="G15" i="11"/>
  <c r="Z126" i="12"/>
  <c r="M103" i="12"/>
  <c r="V108" i="12"/>
  <c r="M109" i="12"/>
  <c r="O103" i="12"/>
  <c r="U109" i="13"/>
  <c r="G114" i="12"/>
  <c r="R126" i="12"/>
  <c r="N21" i="10"/>
  <c r="Z112" i="12"/>
  <c r="V120" i="12"/>
  <c r="AE15" i="11"/>
  <c r="P17" i="10"/>
  <c r="AE17" i="10"/>
  <c r="AF15" i="11"/>
  <c r="AF17" i="10"/>
  <c r="AA104" i="12"/>
  <c r="S132" i="12"/>
  <c r="AA21" i="10"/>
  <c r="Z21" i="10"/>
  <c r="Z104" i="12"/>
  <c r="G107" i="12"/>
  <c r="N108" i="12"/>
  <c r="W15" i="11"/>
  <c r="U113" i="12"/>
  <c r="H107" i="12"/>
  <c r="O108" i="12"/>
  <c r="S109" i="13"/>
  <c r="Q21" i="10"/>
  <c r="T109" i="13"/>
  <c r="W103" i="12"/>
  <c r="A43" i="13"/>
  <c r="AF107" i="12"/>
  <c r="T20" i="10"/>
  <c r="AE107" i="12"/>
  <c r="H20" i="10"/>
  <c r="P107" i="12"/>
  <c r="J25" i="10"/>
  <c r="W16" i="12"/>
  <c r="K20" i="10"/>
  <c r="R21" i="10"/>
  <c r="S21" i="10"/>
  <c r="T129" i="12"/>
  <c r="H15" i="11"/>
  <c r="AG106" i="12"/>
  <c r="N109" i="12"/>
  <c r="G19" i="10"/>
  <c r="I21" i="10"/>
  <c r="S106" i="12"/>
  <c r="S111" i="12"/>
  <c r="O109" i="13"/>
  <c r="L125" i="12"/>
  <c r="I105" i="12"/>
  <c r="P20" i="10"/>
  <c r="K111" i="12"/>
  <c r="P109" i="13"/>
  <c r="U106" i="12"/>
  <c r="U111" i="12"/>
  <c r="AC132" i="12"/>
  <c r="J105" i="12"/>
  <c r="Q109" i="13"/>
  <c r="S20" i="10"/>
  <c r="B27" i="10"/>
  <c r="B32" i="10"/>
  <c r="J16" i="12"/>
  <c r="J103" i="12"/>
  <c r="R15" i="11"/>
  <c r="R103" i="12"/>
  <c r="Z15" i="11"/>
  <c r="Z103" i="12"/>
  <c r="A33" i="11"/>
  <c r="A28" i="11"/>
  <c r="A22" i="11"/>
  <c r="A35" i="10"/>
  <c r="A25" i="10"/>
  <c r="A18" i="11"/>
  <c r="A40" i="11"/>
  <c r="A39" i="10"/>
  <c r="A30" i="10"/>
  <c r="I19" i="10"/>
  <c r="S104" i="12"/>
  <c r="I106" i="12"/>
  <c r="I20" i="10"/>
  <c r="Q106" i="12"/>
  <c r="Q20" i="10"/>
  <c r="Y106" i="12"/>
  <c r="L111" i="12"/>
  <c r="K112" i="12"/>
  <c r="K104" i="12"/>
  <c r="A29" i="11"/>
  <c r="Z16" i="12"/>
  <c r="B23" i="11"/>
  <c r="B18" i="11"/>
  <c r="B37" i="10"/>
  <c r="B42" i="10"/>
  <c r="B31" i="10"/>
  <c r="B21" i="10"/>
  <c r="B40" i="11"/>
  <c r="B39" i="10"/>
  <c r="B30" i="10"/>
  <c r="B26" i="10"/>
  <c r="B36" i="10"/>
  <c r="B33" i="11"/>
  <c r="B28" i="11"/>
  <c r="B22" i="11"/>
  <c r="B35" i="10"/>
  <c r="B19" i="10"/>
  <c r="R104" i="12"/>
  <c r="L110" i="12"/>
  <c r="J19" i="10"/>
  <c r="Z17" i="10"/>
  <c r="B20" i="10"/>
  <c r="J15" i="11"/>
  <c r="A27" i="11"/>
  <c r="A67" i="13"/>
  <c r="A87" i="13" s="1"/>
  <c r="A103" i="12"/>
  <c r="AF43" i="13"/>
  <c r="V44" i="13"/>
  <c r="V45" i="13" s="1"/>
  <c r="Y94" i="13"/>
  <c r="S75" i="13"/>
  <c r="J88" i="13"/>
  <c r="Q104" i="13"/>
  <c r="Q61" i="13"/>
  <c r="Q41" i="13"/>
  <c r="Q17" i="13"/>
  <c r="AC61" i="13"/>
  <c r="AC41" i="13"/>
  <c r="AC104" i="13"/>
  <c r="AC17" i="13"/>
  <c r="L104" i="12"/>
  <c r="T104" i="12"/>
  <c r="AB104" i="12"/>
  <c r="J106" i="12"/>
  <c r="R106" i="12"/>
  <c r="Z106" i="12"/>
  <c r="I107" i="12"/>
  <c r="Q107" i="12"/>
  <c r="Y107" i="12"/>
  <c r="AG107" i="12"/>
  <c r="K43" i="13"/>
  <c r="K113" i="12"/>
  <c r="S113" i="12"/>
  <c r="S43" i="13"/>
  <c r="AA43" i="13"/>
  <c r="AA113" i="12"/>
  <c r="J44" i="13"/>
  <c r="J114" i="12"/>
  <c r="R44" i="13"/>
  <c r="I46" i="13"/>
  <c r="I115" i="12"/>
  <c r="Q46" i="13"/>
  <c r="Q115" i="12"/>
  <c r="H47" i="13"/>
  <c r="H116" i="12"/>
  <c r="P47" i="13"/>
  <c r="G48" i="13"/>
  <c r="G117" i="12"/>
  <c r="O48" i="13"/>
  <c r="O117" i="12"/>
  <c r="M50" i="13"/>
  <c r="M119" i="12"/>
  <c r="U50" i="13"/>
  <c r="U119" i="12"/>
  <c r="A52" i="13"/>
  <c r="D120" i="12"/>
  <c r="L52" i="13"/>
  <c r="L120" i="12"/>
  <c r="T52" i="13"/>
  <c r="T120" i="12"/>
  <c r="AB52" i="13"/>
  <c r="AB120" i="12"/>
  <c r="K53" i="13"/>
  <c r="K93" i="13" s="1"/>
  <c r="K121" i="12"/>
  <c r="S53" i="13"/>
  <c r="S93" i="13" s="1"/>
  <c r="S121" i="12"/>
  <c r="A34" i="10"/>
  <c r="AC15" i="11"/>
  <c r="A23" i="11"/>
  <c r="A32" i="11"/>
  <c r="R16" i="12"/>
  <c r="R81" i="13" s="1"/>
  <c r="I104" i="13"/>
  <c r="I41" i="13"/>
  <c r="I17" i="13"/>
  <c r="U61" i="13"/>
  <c r="U41" i="13"/>
  <c r="U17" i="13"/>
  <c r="A104" i="13"/>
  <c r="A81" i="13"/>
  <c r="A61" i="13"/>
  <c r="A41" i="13"/>
  <c r="AE104" i="12"/>
  <c r="M106" i="12"/>
  <c r="AC106" i="12"/>
  <c r="K108" i="12"/>
  <c r="S108" i="12"/>
  <c r="AG104" i="13"/>
  <c r="AG61" i="13"/>
  <c r="AG17" i="13"/>
  <c r="AG41" i="13"/>
  <c r="A104" i="12"/>
  <c r="A37" i="10"/>
  <c r="A32" i="10"/>
  <c r="A27" i="10"/>
  <c r="A35" i="11"/>
  <c r="A30" i="11"/>
  <c r="A25" i="11"/>
  <c r="A20" i="11"/>
  <c r="A41" i="10"/>
  <c r="A40" i="10"/>
  <c r="A36" i="10"/>
  <c r="A31" i="10"/>
  <c r="A26" i="10"/>
  <c r="I104" i="12"/>
  <c r="Q104" i="12"/>
  <c r="Y104" i="12"/>
  <c r="AG104" i="12"/>
  <c r="H105" i="12"/>
  <c r="G106" i="12"/>
  <c r="O106" i="12"/>
  <c r="W106" i="12"/>
  <c r="AE106" i="12"/>
  <c r="N107" i="12"/>
  <c r="V107" i="12"/>
  <c r="AD107" i="12"/>
  <c r="M108" i="12"/>
  <c r="U108" i="12"/>
  <c r="M61" i="13"/>
  <c r="M41" i="13"/>
  <c r="M17" i="13"/>
  <c r="M104" i="13"/>
  <c r="X17" i="13"/>
  <c r="X104" i="13"/>
  <c r="X61" i="13"/>
  <c r="X41" i="13"/>
  <c r="B103" i="12"/>
  <c r="B15" i="11"/>
  <c r="B17" i="10"/>
  <c r="H19" i="10"/>
  <c r="J20" i="10"/>
  <c r="R20" i="10"/>
  <c r="A21" i="10"/>
  <c r="L21" i="10"/>
  <c r="T21" i="10"/>
  <c r="AB21" i="10"/>
  <c r="A24" i="10"/>
  <c r="A29" i="10"/>
  <c r="A42" i="10"/>
  <c r="A17" i="11"/>
  <c r="A38" i="11"/>
  <c r="B16" i="12"/>
  <c r="Y104" i="13"/>
  <c r="Y61" i="13"/>
  <c r="Y17" i="13"/>
  <c r="Y41" i="13"/>
  <c r="K103" i="12"/>
  <c r="K16" i="12"/>
  <c r="K81" i="13" s="1"/>
  <c r="K15" i="11"/>
  <c r="S103" i="12"/>
  <c r="S16" i="12"/>
  <c r="S81" i="13" s="1"/>
  <c r="S15" i="11"/>
  <c r="AA103" i="12"/>
  <c r="AA16" i="12"/>
  <c r="AA81" i="13" s="1"/>
  <c r="AA15" i="11"/>
  <c r="B104" i="12"/>
  <c r="B35" i="11"/>
  <c r="B30" i="11"/>
  <c r="B25" i="11"/>
  <c r="B20" i="11"/>
  <c r="B41" i="10"/>
  <c r="B39" i="11"/>
  <c r="B17" i="11"/>
  <c r="B34" i="10"/>
  <c r="B29" i="10"/>
  <c r="B24" i="10"/>
  <c r="B38" i="11"/>
  <c r="B34" i="11"/>
  <c r="B29" i="11"/>
  <c r="B24" i="11"/>
  <c r="B19" i="11"/>
  <c r="H106" i="12"/>
  <c r="P106" i="12"/>
  <c r="X106" i="12"/>
  <c r="AF106" i="12"/>
  <c r="D19" i="10"/>
  <c r="M21" i="10"/>
  <c r="U21" i="10"/>
  <c r="A34" i="11"/>
  <c r="L103" i="12"/>
  <c r="L16" i="12"/>
  <c r="L81" i="13" s="1"/>
  <c r="L15" i="11"/>
  <c r="T103" i="12"/>
  <c r="T16" i="12"/>
  <c r="T81" i="13" s="1"/>
  <c r="T15" i="11"/>
  <c r="AB103" i="12"/>
  <c r="AB16" i="12"/>
  <c r="AB81" i="13" s="1"/>
  <c r="AB15" i="11"/>
  <c r="M110" i="12"/>
  <c r="U110" i="12"/>
  <c r="J43" i="13"/>
  <c r="J113" i="12"/>
  <c r="R43" i="13"/>
  <c r="R113" i="12"/>
  <c r="Z43" i="13"/>
  <c r="Z113" i="12"/>
  <c r="I44" i="13"/>
  <c r="I114" i="12"/>
  <c r="Q44" i="13"/>
  <c r="H46" i="13"/>
  <c r="H115" i="12"/>
  <c r="H25" i="10"/>
  <c r="H34" i="10"/>
  <c r="P46" i="13"/>
  <c r="G116" i="12"/>
  <c r="G47" i="13"/>
  <c r="G87" i="13" s="1"/>
  <c r="G25" i="10"/>
  <c r="O47" i="13"/>
  <c r="O87" i="13" s="1"/>
  <c r="O116" i="12"/>
  <c r="N48" i="13"/>
  <c r="N117" i="12"/>
  <c r="A50" i="13"/>
  <c r="D119" i="12"/>
  <c r="L50" i="13"/>
  <c r="L119" i="12"/>
  <c r="T119" i="12"/>
  <c r="T50" i="13"/>
  <c r="T90" i="13" s="1"/>
  <c r="K120" i="12"/>
  <c r="K52" i="13"/>
  <c r="S52" i="13"/>
  <c r="S120" i="12"/>
  <c r="AA52" i="13"/>
  <c r="J53" i="13"/>
  <c r="J121" i="12"/>
  <c r="R53" i="13"/>
  <c r="R121" i="12"/>
  <c r="Z53" i="13"/>
  <c r="Z121" i="12"/>
  <c r="I54" i="13"/>
  <c r="I94" i="13" s="1"/>
  <c r="I122" i="12"/>
  <c r="Q54" i="13"/>
  <c r="Q94" i="13" s="1"/>
  <c r="Q122" i="12"/>
  <c r="V41" i="13"/>
  <c r="V17" i="13"/>
  <c r="AD104" i="13"/>
  <c r="AD61" i="13"/>
  <c r="AD41" i="13"/>
  <c r="AD17" i="13"/>
  <c r="H104" i="12"/>
  <c r="P104" i="12"/>
  <c r="X104" i="12"/>
  <c r="AF104" i="12"/>
  <c r="N106" i="12"/>
  <c r="V106" i="12"/>
  <c r="AD106" i="12"/>
  <c r="M107" i="12"/>
  <c r="U107" i="12"/>
  <c r="AC107" i="12"/>
  <c r="L108" i="12"/>
  <c r="T108" i="12"/>
  <c r="AB108" i="12"/>
  <c r="K109" i="12"/>
  <c r="S109" i="12"/>
  <c r="J110" i="12"/>
  <c r="R110" i="12"/>
  <c r="Z110" i="12"/>
  <c r="I111" i="12"/>
  <c r="Y111" i="12"/>
  <c r="H112" i="12"/>
  <c r="P112" i="12"/>
  <c r="X112" i="12"/>
  <c r="AF112" i="12"/>
  <c r="G43" i="13"/>
  <c r="G113" i="12"/>
  <c r="O43" i="13"/>
  <c r="O113" i="12"/>
  <c r="W43" i="13"/>
  <c r="W113" i="12"/>
  <c r="AE43" i="13"/>
  <c r="AE113" i="12"/>
  <c r="N44" i="13"/>
  <c r="M46" i="13"/>
  <c r="M115" i="12"/>
  <c r="U46" i="13"/>
  <c r="U115" i="12"/>
  <c r="A47" i="13"/>
  <c r="D116" i="12"/>
  <c r="L47" i="13"/>
  <c r="L116" i="12"/>
  <c r="T47" i="13"/>
  <c r="T116" i="12"/>
  <c r="K48" i="13"/>
  <c r="K88" i="13" s="1"/>
  <c r="K117" i="12"/>
  <c r="S48" i="13"/>
  <c r="S88" i="13" s="1"/>
  <c r="J49" i="13"/>
  <c r="J89" i="13" s="1"/>
  <c r="J118" i="12"/>
  <c r="I50" i="13"/>
  <c r="I90" i="13" s="1"/>
  <c r="I119" i="12"/>
  <c r="H52" i="13"/>
  <c r="H120" i="12"/>
  <c r="P52" i="13"/>
  <c r="P120" i="12"/>
  <c r="X52" i="13"/>
  <c r="X120" i="12"/>
  <c r="G121" i="12"/>
  <c r="L109" i="12"/>
  <c r="T109" i="12"/>
  <c r="K110" i="12"/>
  <c r="S110" i="12"/>
  <c r="J111" i="12"/>
  <c r="R111" i="12"/>
  <c r="Z111" i="12"/>
  <c r="I112" i="12"/>
  <c r="Q112" i="12"/>
  <c r="Y112" i="12"/>
  <c r="AG112" i="12"/>
  <c r="H43" i="13"/>
  <c r="H113" i="12"/>
  <c r="P43" i="13"/>
  <c r="P113" i="12"/>
  <c r="X43" i="13"/>
  <c r="X113" i="12"/>
  <c r="I43" i="13"/>
  <c r="I113" i="12"/>
  <c r="Q43" i="13"/>
  <c r="Q113" i="12"/>
  <c r="Y43" i="13"/>
  <c r="Y113" i="12"/>
  <c r="AG43" i="13"/>
  <c r="AG113" i="12"/>
  <c r="H44" i="13"/>
  <c r="H114" i="12"/>
  <c r="P44" i="13"/>
  <c r="G46" i="13"/>
  <c r="G115" i="12"/>
  <c r="J120" i="12"/>
  <c r="AG54" i="13"/>
  <c r="AG122" i="12"/>
  <c r="N66" i="13"/>
  <c r="N125" i="12"/>
  <c r="V66" i="13"/>
  <c r="V125" i="12"/>
  <c r="M126" i="12"/>
  <c r="M67" i="13"/>
  <c r="U67" i="13"/>
  <c r="U87" i="13" s="1"/>
  <c r="U126" i="12"/>
  <c r="A68" i="13"/>
  <c r="A88" i="13" s="1"/>
  <c r="D127" i="12"/>
  <c r="L127" i="12"/>
  <c r="L68" i="13"/>
  <c r="T68" i="13"/>
  <c r="T127" i="12"/>
  <c r="K69" i="13"/>
  <c r="K128" i="12"/>
  <c r="S69" i="13"/>
  <c r="S128" i="12"/>
  <c r="J70" i="13"/>
  <c r="J90" i="13" s="1"/>
  <c r="J129" i="12"/>
  <c r="R70" i="13"/>
  <c r="R90" i="13" s="1"/>
  <c r="R129" i="12"/>
  <c r="Z70" i="13"/>
  <c r="Z129" i="12"/>
  <c r="I72" i="13"/>
  <c r="I130" i="12"/>
  <c r="Q72" i="13"/>
  <c r="Q130" i="12"/>
  <c r="Y72" i="13"/>
  <c r="Y130" i="12"/>
  <c r="AG72" i="13"/>
  <c r="AG130" i="12"/>
  <c r="H73" i="13"/>
  <c r="H93" i="13" s="1"/>
  <c r="H131" i="12"/>
  <c r="P73" i="13"/>
  <c r="P93" i="13" s="1"/>
  <c r="P131" i="12"/>
  <c r="X73" i="13"/>
  <c r="X131" i="12"/>
  <c r="AF73" i="13"/>
  <c r="AF131" i="12"/>
  <c r="G74" i="13"/>
  <c r="G132" i="12"/>
  <c r="O74" i="13"/>
  <c r="O132" i="12"/>
  <c r="W74" i="13"/>
  <c r="W132" i="12"/>
  <c r="AE74" i="13"/>
  <c r="AE132" i="12"/>
  <c r="AA53" i="13"/>
  <c r="J54" i="13"/>
  <c r="J94" i="13" s="1"/>
  <c r="J122" i="12"/>
  <c r="R122" i="12"/>
  <c r="R54" i="13"/>
  <c r="R94" i="13" s="1"/>
  <c r="Z54" i="13"/>
  <c r="Z94" i="13" s="1"/>
  <c r="Z122" i="12"/>
  <c r="G66" i="13"/>
  <c r="G125" i="12"/>
  <c r="O66" i="13"/>
  <c r="O125" i="12"/>
  <c r="W66" i="13"/>
  <c r="W125" i="12"/>
  <c r="N126" i="12"/>
  <c r="N67" i="13"/>
  <c r="V126" i="12"/>
  <c r="V67" i="13"/>
  <c r="M68" i="13"/>
  <c r="M127" i="12"/>
  <c r="U68" i="13"/>
  <c r="U88" i="13" s="1"/>
  <c r="U127" i="12"/>
  <c r="D128" i="12"/>
  <c r="A69" i="13"/>
  <c r="A89" i="13" s="1"/>
  <c r="L69" i="13"/>
  <c r="L128" i="12"/>
  <c r="T69" i="13"/>
  <c r="T128" i="12"/>
  <c r="K70" i="13"/>
  <c r="K129" i="12"/>
  <c r="S70" i="13"/>
  <c r="S129" i="12"/>
  <c r="AA129" i="12"/>
  <c r="AA70" i="13"/>
  <c r="J72" i="13"/>
  <c r="J130" i="12"/>
  <c r="R72" i="13"/>
  <c r="R92" i="13" s="1"/>
  <c r="R130" i="12"/>
  <c r="Z72" i="13"/>
  <c r="Z130" i="12"/>
  <c r="I73" i="13"/>
  <c r="I93" i="13" s="1"/>
  <c r="I131" i="12"/>
  <c r="Q131" i="12"/>
  <c r="Q73" i="13"/>
  <c r="Q93" i="13" s="1"/>
  <c r="Y131" i="12"/>
  <c r="Y73" i="13"/>
  <c r="AG73" i="13"/>
  <c r="AG131" i="12"/>
  <c r="Y122" i="12"/>
  <c r="Y31" i="10"/>
  <c r="M104" i="12"/>
  <c r="U104" i="12"/>
  <c r="AC104" i="12"/>
  <c r="K106" i="12"/>
  <c r="AA106" i="12"/>
  <c r="J107" i="12"/>
  <c r="R107" i="12"/>
  <c r="Z107" i="12"/>
  <c r="I108" i="12"/>
  <c r="Q108" i="12"/>
  <c r="Y108" i="12"/>
  <c r="H109" i="12"/>
  <c r="P109" i="12"/>
  <c r="G110" i="12"/>
  <c r="W110" i="12"/>
  <c r="N111" i="12"/>
  <c r="V111" i="12"/>
  <c r="M112" i="12"/>
  <c r="U112" i="12"/>
  <c r="AC112" i="12"/>
  <c r="L43" i="13"/>
  <c r="L113" i="12"/>
  <c r="T113" i="12"/>
  <c r="T43" i="13"/>
  <c r="AB113" i="12"/>
  <c r="AB43" i="13"/>
  <c r="K44" i="13"/>
  <c r="S44" i="13"/>
  <c r="J46" i="13"/>
  <c r="J115" i="12"/>
  <c r="R115" i="12"/>
  <c r="R46" i="13"/>
  <c r="Q47" i="13"/>
  <c r="Q87" i="13" s="1"/>
  <c r="Q116" i="12"/>
  <c r="H48" i="13"/>
  <c r="H117" i="12"/>
  <c r="P48" i="13"/>
  <c r="G49" i="13"/>
  <c r="G89" i="13" s="1"/>
  <c r="G118" i="12"/>
  <c r="N50" i="13"/>
  <c r="N119" i="12"/>
  <c r="M52" i="13"/>
  <c r="M120" i="12"/>
  <c r="U52" i="13"/>
  <c r="U120" i="12"/>
  <c r="N104" i="12"/>
  <c r="V104" i="12"/>
  <c r="AD104" i="12"/>
  <c r="L106" i="12"/>
  <c r="T106" i="12"/>
  <c r="AB106" i="12"/>
  <c r="K107" i="12"/>
  <c r="S107" i="12"/>
  <c r="AA107" i="12"/>
  <c r="J108" i="12"/>
  <c r="R108" i="12"/>
  <c r="Z108" i="12"/>
  <c r="I109" i="12"/>
  <c r="Q109" i="12"/>
  <c r="H110" i="12"/>
  <c r="P110" i="12"/>
  <c r="X110" i="12"/>
  <c r="G111" i="12"/>
  <c r="O111" i="12"/>
  <c r="W111" i="12"/>
  <c r="N112" i="12"/>
  <c r="V112" i="12"/>
  <c r="AD112" i="12"/>
  <c r="M43" i="13"/>
  <c r="M113" i="12"/>
  <c r="U45" i="13"/>
  <c r="AC43" i="13"/>
  <c r="AC113" i="12"/>
  <c r="A44" i="13"/>
  <c r="D114" i="12"/>
  <c r="T44" i="13"/>
  <c r="K115" i="12"/>
  <c r="K46" i="13"/>
  <c r="S46" i="13"/>
  <c r="J47" i="13"/>
  <c r="J116" i="12"/>
  <c r="R47" i="13"/>
  <c r="R87" i="13" s="1"/>
  <c r="R116" i="12"/>
  <c r="I48" i="13"/>
  <c r="I117" i="12"/>
  <c r="Q117" i="12"/>
  <c r="Q48" i="13"/>
  <c r="H49" i="13"/>
  <c r="H118" i="12"/>
  <c r="G50" i="13"/>
  <c r="G90" i="13" s="1"/>
  <c r="G119" i="12"/>
  <c r="O50" i="13"/>
  <c r="O90" i="13" s="1"/>
  <c r="O119" i="12"/>
  <c r="N52" i="13"/>
  <c r="N120" i="12"/>
  <c r="M53" i="13"/>
  <c r="M93" i="13" s="1"/>
  <c r="M121" i="12"/>
  <c r="U53" i="13"/>
  <c r="U93" i="13" s="1"/>
  <c r="U121" i="12"/>
  <c r="A54" i="13"/>
  <c r="D122" i="12"/>
  <c r="L122" i="12"/>
  <c r="L54" i="13"/>
  <c r="T54" i="13"/>
  <c r="T94" i="13" s="1"/>
  <c r="T122" i="12"/>
  <c r="AB54" i="13"/>
  <c r="AB94" i="13" s="1"/>
  <c r="AB122" i="12"/>
  <c r="I66" i="13"/>
  <c r="I125" i="12"/>
  <c r="Q66" i="13"/>
  <c r="Q125" i="12"/>
  <c r="H67" i="13"/>
  <c r="H126" i="12"/>
  <c r="P67" i="13"/>
  <c r="P126" i="12"/>
  <c r="X126" i="12"/>
  <c r="X67" i="13"/>
  <c r="G127" i="12"/>
  <c r="G68" i="13"/>
  <c r="O68" i="13"/>
  <c r="O127" i="12"/>
  <c r="W68" i="13"/>
  <c r="W127" i="12"/>
  <c r="N69" i="13"/>
  <c r="N128" i="12"/>
  <c r="V128" i="12"/>
  <c r="V69" i="13"/>
  <c r="M70" i="13"/>
  <c r="M129" i="12"/>
  <c r="U129" i="12"/>
  <c r="AA128" i="12"/>
  <c r="N47" i="13"/>
  <c r="N116" i="12"/>
  <c r="M48" i="13"/>
  <c r="M117" i="12"/>
  <c r="K50" i="13"/>
  <c r="K119" i="12"/>
  <c r="S50" i="13"/>
  <c r="S119" i="12"/>
  <c r="Z52" i="13"/>
  <c r="Z120" i="12"/>
  <c r="Y53" i="13"/>
  <c r="Y121" i="12"/>
  <c r="H94" i="13"/>
  <c r="P122" i="12"/>
  <c r="AF122" i="12"/>
  <c r="AF54" i="13"/>
  <c r="AF94" i="13" s="1"/>
  <c r="L67" i="13"/>
  <c r="L126" i="12"/>
  <c r="T67" i="13"/>
  <c r="T126" i="12"/>
  <c r="AA68" i="13"/>
  <c r="AA127" i="12"/>
  <c r="R69" i="13"/>
  <c r="R128" i="12"/>
  <c r="I129" i="12"/>
  <c r="Q70" i="13"/>
  <c r="Q90" i="13" s="1"/>
  <c r="Q129" i="12"/>
  <c r="Y70" i="13"/>
  <c r="Y129" i="12"/>
  <c r="P72" i="13"/>
  <c r="P130" i="12"/>
  <c r="AF72" i="13"/>
  <c r="AF130" i="12"/>
  <c r="G73" i="13"/>
  <c r="G131" i="12"/>
  <c r="W73" i="13"/>
  <c r="W131" i="12"/>
  <c r="AE73" i="13"/>
  <c r="AE131" i="12"/>
  <c r="N132" i="12"/>
  <c r="N74" i="13"/>
  <c r="V132" i="12"/>
  <c r="V74" i="13"/>
  <c r="AD132" i="12"/>
  <c r="AD74" i="13"/>
  <c r="I121" i="12"/>
  <c r="X122" i="12"/>
  <c r="X125" i="12"/>
  <c r="Q126" i="12"/>
  <c r="J127" i="12"/>
  <c r="Z128" i="12"/>
  <c r="J52" i="13"/>
  <c r="A72" i="13"/>
  <c r="A92" i="13" s="1"/>
  <c r="S54" i="13"/>
  <c r="S94" i="13" s="1"/>
  <c r="P74" i="13"/>
  <c r="P132" i="12"/>
  <c r="X74" i="13"/>
  <c r="X94" i="13" s="1"/>
  <c r="X132" i="12"/>
  <c r="A53" i="13"/>
  <c r="L53" i="13"/>
  <c r="L93" i="13" s="1"/>
  <c r="L121" i="12"/>
  <c r="AB121" i="12"/>
  <c r="AB53" i="13"/>
  <c r="AB93" i="13" s="1"/>
  <c r="AA54" i="13"/>
  <c r="AA122" i="12"/>
  <c r="H66" i="13"/>
  <c r="H125" i="12"/>
  <c r="P66" i="13"/>
  <c r="P125" i="12"/>
  <c r="W126" i="12"/>
  <c r="N68" i="13"/>
  <c r="N127" i="12"/>
  <c r="V68" i="13"/>
  <c r="V127" i="12"/>
  <c r="M69" i="13"/>
  <c r="M128" i="12"/>
  <c r="U128" i="12"/>
  <c r="U69" i="13"/>
  <c r="L70" i="13"/>
  <c r="L129" i="12"/>
  <c r="AA72" i="13"/>
  <c r="AA130" i="12"/>
  <c r="J73" i="13"/>
  <c r="J131" i="12"/>
  <c r="R131" i="12"/>
  <c r="R73" i="13"/>
  <c r="Z73" i="13"/>
  <c r="Z131" i="12"/>
  <c r="T130" i="12"/>
  <c r="AF132" i="12"/>
  <c r="R48" i="13"/>
  <c r="G53" i="13"/>
  <c r="W67" i="13"/>
  <c r="L72" i="13"/>
  <c r="L130" i="12"/>
  <c r="J132" i="12"/>
  <c r="O115" i="12"/>
  <c r="D129" i="12"/>
  <c r="H132" i="12"/>
  <c r="AD43" i="13"/>
  <c r="G104" i="12"/>
  <c r="O104" i="12"/>
  <c r="L107" i="12"/>
  <c r="T107" i="12"/>
  <c r="AB107" i="12"/>
  <c r="P111" i="12"/>
  <c r="X111" i="12"/>
  <c r="W112" i="12"/>
  <c r="N43" i="13"/>
  <c r="N113" i="12"/>
  <c r="M44" i="13"/>
  <c r="L46" i="13"/>
  <c r="L115" i="12"/>
  <c r="T115" i="12"/>
  <c r="T46" i="13"/>
  <c r="K47" i="13"/>
  <c r="K116" i="12"/>
  <c r="P50" i="13"/>
  <c r="P90" i="13" s="1"/>
  <c r="P119" i="12"/>
  <c r="G92" i="13"/>
  <c r="O52" i="13"/>
  <c r="O120" i="12"/>
  <c r="W52" i="13"/>
  <c r="W120" i="12"/>
  <c r="N53" i="13"/>
  <c r="N121" i="12"/>
  <c r="M122" i="12"/>
  <c r="U54" i="13"/>
  <c r="U122" i="12"/>
  <c r="AC54" i="13"/>
  <c r="AC94" i="13" s="1"/>
  <c r="AC122" i="12"/>
  <c r="R125" i="12"/>
  <c r="Z125" i="12"/>
  <c r="I67" i="13"/>
  <c r="I87" i="13" s="1"/>
  <c r="I126" i="12"/>
  <c r="Y67" i="13"/>
  <c r="Y126" i="12"/>
  <c r="H68" i="13"/>
  <c r="H127" i="12"/>
  <c r="P68" i="13"/>
  <c r="P127" i="12"/>
  <c r="X68" i="13"/>
  <c r="X127" i="12"/>
  <c r="G128" i="12"/>
  <c r="W128" i="12"/>
  <c r="W69" i="13"/>
  <c r="N70" i="13"/>
  <c r="N129" i="12"/>
  <c r="V129" i="12"/>
  <c r="V70" i="13"/>
  <c r="M72" i="13"/>
  <c r="M75" i="13" s="1"/>
  <c r="M130" i="12"/>
  <c r="U72" i="13"/>
  <c r="U130" i="12"/>
  <c r="AC72" i="13"/>
  <c r="AC75" i="13" s="1"/>
  <c r="AC130" i="12"/>
  <c r="D131" i="12"/>
  <c r="A73" i="13"/>
  <c r="A93" i="13" s="1"/>
  <c r="T73" i="13"/>
  <c r="T75" i="13" s="1"/>
  <c r="T131" i="12"/>
  <c r="K74" i="13"/>
  <c r="K94" i="13" s="1"/>
  <c r="K132" i="12"/>
  <c r="AA74" i="13"/>
  <c r="AA132" i="12"/>
  <c r="D117" i="12"/>
  <c r="U117" i="12"/>
  <c r="H119" i="12"/>
  <c r="V121" i="12"/>
  <c r="K122" i="12"/>
  <c r="M125" i="12"/>
  <c r="G126" i="12"/>
  <c r="P128" i="12"/>
  <c r="G129" i="12"/>
  <c r="T53" i="13"/>
  <c r="U70" i="13"/>
  <c r="O53" i="13"/>
  <c r="O93" i="13" s="1"/>
  <c r="O121" i="12"/>
  <c r="W53" i="13"/>
  <c r="W121" i="12"/>
  <c r="N54" i="13"/>
  <c r="N122" i="12"/>
  <c r="V54" i="13"/>
  <c r="V122" i="12"/>
  <c r="AD54" i="13"/>
  <c r="AD122" i="12"/>
  <c r="S66" i="13"/>
  <c r="S125" i="12"/>
  <c r="AA125" i="12"/>
  <c r="J67" i="13"/>
  <c r="J126" i="12"/>
  <c r="I127" i="12"/>
  <c r="I68" i="13"/>
  <c r="Q68" i="13"/>
  <c r="Q127" i="12"/>
  <c r="Y127" i="12"/>
  <c r="H69" i="13"/>
  <c r="H128" i="12"/>
  <c r="W70" i="13"/>
  <c r="W129" i="12"/>
  <c r="N130" i="12"/>
  <c r="N72" i="13"/>
  <c r="V130" i="12"/>
  <c r="V72" i="13"/>
  <c r="V92" i="13" s="1"/>
  <c r="AD130" i="12"/>
  <c r="AD72" i="13"/>
  <c r="U116" i="12"/>
  <c r="Q120" i="12"/>
  <c r="D124" i="12"/>
  <c r="U125" i="12"/>
  <c r="O126" i="12"/>
  <c r="X128" i="12"/>
  <c r="O129" i="12"/>
  <c r="H130" i="12"/>
  <c r="M54" i="13"/>
  <c r="M94" i="13" s="1"/>
  <c r="Y68" i="13"/>
  <c r="N46" i="13"/>
  <c r="N115" i="12"/>
  <c r="M47" i="13"/>
  <c r="M116" i="12"/>
  <c r="L117" i="12"/>
  <c r="L48" i="13"/>
  <c r="T48" i="13"/>
  <c r="T117" i="12"/>
  <c r="K118" i="12"/>
  <c r="K49" i="13"/>
  <c r="Y52" i="13"/>
  <c r="Y120" i="12"/>
  <c r="P121" i="12"/>
  <c r="X53" i="13"/>
  <c r="X121" i="12"/>
  <c r="G54" i="13"/>
  <c r="G122" i="12"/>
  <c r="O54" i="13"/>
  <c r="O122" i="12"/>
  <c r="W54" i="13"/>
  <c r="W122" i="12"/>
  <c r="AE54" i="13"/>
  <c r="AE122" i="12"/>
  <c r="A66" i="13"/>
  <c r="A86" i="13" s="1"/>
  <c r="D125" i="12"/>
  <c r="T66" i="13"/>
  <c r="T125" i="12"/>
  <c r="K67" i="13"/>
  <c r="K126" i="12"/>
  <c r="S67" i="13"/>
  <c r="S87" i="13" s="1"/>
  <c r="S126" i="12"/>
  <c r="R68" i="13"/>
  <c r="R127" i="12"/>
  <c r="Z127" i="12"/>
  <c r="Z68" i="13"/>
  <c r="I69" i="13"/>
  <c r="I89" i="13" s="1"/>
  <c r="I128" i="12"/>
  <c r="Q69" i="13"/>
  <c r="Q128" i="12"/>
  <c r="H70" i="13"/>
  <c r="H90" i="13" s="1"/>
  <c r="H129" i="12"/>
  <c r="X70" i="13"/>
  <c r="X129" i="12"/>
  <c r="G130" i="12"/>
  <c r="O72" i="13"/>
  <c r="O130" i="12"/>
  <c r="W72" i="13"/>
  <c r="W130" i="12"/>
  <c r="AE130" i="12"/>
  <c r="AE72" i="13"/>
  <c r="N73" i="13"/>
  <c r="N131" i="12"/>
  <c r="V73" i="13"/>
  <c r="V93" i="13" s="1"/>
  <c r="V131" i="12"/>
  <c r="AD131" i="12"/>
  <c r="AD73" i="13"/>
  <c r="M132" i="12"/>
  <c r="U74" i="13"/>
  <c r="U132" i="12"/>
  <c r="AF113" i="12"/>
  <c r="D115" i="12"/>
  <c r="I118" i="12"/>
  <c r="J119" i="12"/>
  <c r="R120" i="12"/>
  <c r="H121" i="12"/>
  <c r="Y128" i="12"/>
  <c r="P129" i="12"/>
  <c r="P54" i="13"/>
  <c r="R66" i="13"/>
  <c r="L74" i="13"/>
  <c r="L132" i="12"/>
  <c r="K131" i="12"/>
  <c r="AG74" i="13"/>
  <c r="AG132" i="12"/>
  <c r="S131" i="12"/>
  <c r="Y132" i="12"/>
  <c r="AA131" i="12"/>
  <c r="AA73" i="13"/>
  <c r="Z132" i="12"/>
  <c r="N109" i="13"/>
  <c r="P104" i="13" l="1"/>
  <c r="I61" i="13"/>
  <c r="N104" i="13"/>
  <c r="N81" i="13"/>
  <c r="Z17" i="13"/>
  <c r="Z81" i="13"/>
  <c r="AF61" i="13"/>
  <c r="AF81" i="13"/>
  <c r="P17" i="13"/>
  <c r="P81" i="13"/>
  <c r="O31" i="10"/>
  <c r="J61" i="13"/>
  <c r="J81" i="13"/>
  <c r="AE17" i="13"/>
  <c r="AE81" i="13"/>
  <c r="G17" i="13"/>
  <c r="G81" i="13"/>
  <c r="H104" i="13"/>
  <c r="H81" i="13"/>
  <c r="U31" i="10"/>
  <c r="U104" i="13"/>
  <c r="U81" i="13"/>
  <c r="W61" i="13"/>
  <c r="W81" i="13"/>
  <c r="O41" i="13"/>
  <c r="O81" i="13"/>
  <c r="V61" i="13"/>
  <c r="V81" i="13"/>
  <c r="R31" i="10"/>
  <c r="R41" i="10" s="1"/>
  <c r="P61" i="13"/>
  <c r="W31" i="10"/>
  <c r="G31" i="10"/>
  <c r="H41" i="13"/>
  <c r="M31" i="10"/>
  <c r="W41" i="13"/>
  <c r="H17" i="13"/>
  <c r="K31" i="10"/>
  <c r="AF104" i="13"/>
  <c r="O17" i="13"/>
  <c r="AF17" i="13"/>
  <c r="J41" i="13"/>
  <c r="AF41" i="13"/>
  <c r="P31" i="10"/>
  <c r="H31" i="10"/>
  <c r="N41" i="13"/>
  <c r="Z104" i="13"/>
  <c r="AA31" i="10"/>
  <c r="Z61" i="13"/>
  <c r="N61" i="13"/>
  <c r="H30" i="10"/>
  <c r="I92" i="13"/>
  <c r="I95" i="13" s="1"/>
  <c r="O104" i="13"/>
  <c r="G104" i="13"/>
  <c r="W17" i="13"/>
  <c r="AE41" i="13"/>
  <c r="X31" i="10"/>
  <c r="P94" i="13"/>
  <c r="AE61" i="13"/>
  <c r="AE104" i="13"/>
  <c r="G41" i="13"/>
  <c r="G61" i="13"/>
  <c r="O61" i="13"/>
  <c r="N31" i="10"/>
  <c r="G22" i="10"/>
  <c r="Z41" i="13"/>
  <c r="K71" i="13"/>
  <c r="K24" i="13" s="1"/>
  <c r="Q55" i="13"/>
  <c r="W104" i="13"/>
  <c r="AB31" i="10"/>
  <c r="V31" i="10"/>
  <c r="Z31" i="10"/>
  <c r="G30" i="10"/>
  <c r="L88" i="13"/>
  <c r="AA71" i="13"/>
  <c r="AA24" i="13" s="1"/>
  <c r="W75" i="13"/>
  <c r="AE94" i="13"/>
  <c r="J17" i="13"/>
  <c r="J104" i="13"/>
  <c r="L31" i="10"/>
  <c r="I30" i="10"/>
  <c r="K30" i="10"/>
  <c r="T93" i="13"/>
  <c r="AF75" i="13"/>
  <c r="Y75" i="13"/>
  <c r="S90" i="13"/>
  <c r="Z71" i="13"/>
  <c r="Z24" i="13" s="1"/>
  <c r="I55" i="13"/>
  <c r="AE75" i="13"/>
  <c r="O71" i="13"/>
  <c r="O24" i="13" s="1"/>
  <c r="L71" i="13"/>
  <c r="L24" i="13" s="1"/>
  <c r="T88" i="13"/>
  <c r="U75" i="13"/>
  <c r="N94" i="13"/>
  <c r="M87" i="13"/>
  <c r="W93" i="13"/>
  <c r="J75" i="13"/>
  <c r="Q75" i="13"/>
  <c r="I31" i="10"/>
  <c r="T87" i="13"/>
  <c r="Z93" i="13"/>
  <c r="O75" i="13"/>
  <c r="L94" i="13"/>
  <c r="N88" i="13"/>
  <c r="G55" i="13"/>
  <c r="P75" i="13"/>
  <c r="I22" i="10"/>
  <c r="M71" i="13"/>
  <c r="M24" i="13" s="1"/>
  <c r="Q92" i="13"/>
  <c r="Q95" i="13" s="1"/>
  <c r="J71" i="13"/>
  <c r="J24" i="13" s="1"/>
  <c r="U94" i="13"/>
  <c r="G71" i="13"/>
  <c r="G24" i="13" s="1"/>
  <c r="AA93" i="13"/>
  <c r="X93" i="13"/>
  <c r="K90" i="13"/>
  <c r="Q71" i="13"/>
  <c r="Q24" i="13" s="1"/>
  <c r="T71" i="13"/>
  <c r="T24" i="13" s="1"/>
  <c r="W94" i="13"/>
  <c r="K89" i="13"/>
  <c r="X71" i="13"/>
  <c r="X24" i="13" s="1"/>
  <c r="Y71" i="13"/>
  <c r="Y24" i="13" s="1"/>
  <c r="G75" i="13"/>
  <c r="M88" i="13"/>
  <c r="J92" i="13"/>
  <c r="J55" i="13"/>
  <c r="N75" i="13"/>
  <c r="K87" i="13"/>
  <c r="L75" i="13"/>
  <c r="AA75" i="13"/>
  <c r="J87" i="13"/>
  <c r="H45" i="13"/>
  <c r="X92" i="13"/>
  <c r="X55" i="13"/>
  <c r="O45" i="13"/>
  <c r="P86" i="13"/>
  <c r="T31" i="10"/>
  <c r="AB92" i="13"/>
  <c r="AB95" i="13" s="1"/>
  <c r="AB55" i="13"/>
  <c r="K45" i="13"/>
  <c r="Q45" i="13"/>
  <c r="L87" i="13"/>
  <c r="U19" i="13"/>
  <c r="R86" i="13"/>
  <c r="R75" i="13"/>
  <c r="W71" i="13"/>
  <c r="W24" i="13" s="1"/>
  <c r="V71" i="13"/>
  <c r="V24" i="13" s="1"/>
  <c r="R45" i="13"/>
  <c r="L61" i="13"/>
  <c r="L41" i="13"/>
  <c r="L104" i="13"/>
  <c r="L17" i="13"/>
  <c r="H22" i="10"/>
  <c r="M92" i="13"/>
  <c r="M95" i="13" s="1"/>
  <c r="M55" i="13"/>
  <c r="P88" i="13"/>
  <c r="T45" i="13"/>
  <c r="I75" i="13"/>
  <c r="G94" i="13"/>
  <c r="S71" i="13"/>
  <c r="S24" i="13" s="1"/>
  <c r="K75" i="13"/>
  <c r="H71" i="13"/>
  <c r="H24" i="13" s="1"/>
  <c r="AA94" i="13"/>
  <c r="X75" i="13"/>
  <c r="R71" i="13"/>
  <c r="R24" i="13" s="1"/>
  <c r="Y92" i="13"/>
  <c r="Y55" i="13"/>
  <c r="AD94" i="13"/>
  <c r="N93" i="13"/>
  <c r="V19" i="13"/>
  <c r="G93" i="13"/>
  <c r="Y93" i="13"/>
  <c r="N87" i="13"/>
  <c r="I71" i="13"/>
  <c r="I24" i="13" s="1"/>
  <c r="N92" i="13"/>
  <c r="N55" i="13"/>
  <c r="H89" i="13"/>
  <c r="I88" i="13"/>
  <c r="P92" i="13"/>
  <c r="P95" i="13" s="1"/>
  <c r="P55" i="13"/>
  <c r="G45" i="13"/>
  <c r="J93" i="13"/>
  <c r="K61" i="13"/>
  <c r="K41" i="13"/>
  <c r="K17" i="13"/>
  <c r="K104" i="13"/>
  <c r="O88" i="13"/>
  <c r="P87" i="13"/>
  <c r="Q86" i="13"/>
  <c r="T86" i="13"/>
  <c r="S86" i="13"/>
  <c r="U92" i="13"/>
  <c r="U95" i="13" s="1"/>
  <c r="U55" i="13"/>
  <c r="N90" i="13"/>
  <c r="Y41" i="10"/>
  <c r="N71" i="13"/>
  <c r="N24" i="13" s="1"/>
  <c r="U86" i="13"/>
  <c r="J45" i="13"/>
  <c r="AB61" i="13"/>
  <c r="AB41" i="13"/>
  <c r="AB104" i="13"/>
  <c r="AB17" i="13"/>
  <c r="T92" i="13"/>
  <c r="T55" i="13"/>
  <c r="AD75" i="13"/>
  <c r="V94" i="13"/>
  <c r="V95" i="13" s="1"/>
  <c r="R88" i="13"/>
  <c r="H75" i="13"/>
  <c r="M45" i="13"/>
  <c r="J86" i="13"/>
  <c r="J51" i="13"/>
  <c r="J20" i="13" s="1"/>
  <c r="AG94" i="13"/>
  <c r="H92" i="13"/>
  <c r="H95" i="13" s="1"/>
  <c r="H55" i="13"/>
  <c r="AA92" i="13"/>
  <c r="AA55" i="13"/>
  <c r="AA61" i="13"/>
  <c r="AA41" i="13"/>
  <c r="AA104" i="13"/>
  <c r="AA17" i="13"/>
  <c r="S31" i="10"/>
  <c r="U90" i="13"/>
  <c r="G88" i="13"/>
  <c r="H87" i="13"/>
  <c r="I86" i="13"/>
  <c r="I51" i="13"/>
  <c r="I20" i="13" s="1"/>
  <c r="Q31" i="10"/>
  <c r="N45" i="13"/>
  <c r="M86" i="13"/>
  <c r="H86" i="13"/>
  <c r="H51" i="13"/>
  <c r="H20" i="13" s="1"/>
  <c r="J30" i="10"/>
  <c r="J22" i="10"/>
  <c r="S45" i="13"/>
  <c r="J31" i="10"/>
  <c r="W92" i="13"/>
  <c r="W55" i="13"/>
  <c r="K86" i="13"/>
  <c r="K51" i="13"/>
  <c r="K20" i="13" s="1"/>
  <c r="L86" i="13"/>
  <c r="P45" i="13"/>
  <c r="S92" i="13"/>
  <c r="S95" i="13" s="1"/>
  <c r="S55" i="13"/>
  <c r="L90" i="13"/>
  <c r="T104" i="13"/>
  <c r="T61" i="13"/>
  <c r="T41" i="13"/>
  <c r="T17" i="13"/>
  <c r="D34" i="10"/>
  <c r="D29" i="10"/>
  <c r="D24" i="10"/>
  <c r="D32" i="10"/>
  <c r="D27" i="10"/>
  <c r="D36" i="10"/>
  <c r="D25" i="10"/>
  <c r="D30" i="10"/>
  <c r="D20" i="10"/>
  <c r="D22" i="10"/>
  <c r="D35" i="10"/>
  <c r="D31" i="10"/>
  <c r="D26" i="10"/>
  <c r="D21" i="10"/>
  <c r="L92" i="13"/>
  <c r="L55" i="13"/>
  <c r="M90" i="13"/>
  <c r="V75" i="13"/>
  <c r="U71" i="13"/>
  <c r="U24" i="13" s="1"/>
  <c r="Z92" i="13"/>
  <c r="Z55" i="13"/>
  <c r="O94" i="13"/>
  <c r="N86" i="13"/>
  <c r="O92" i="13"/>
  <c r="O55" i="13"/>
  <c r="P71" i="13"/>
  <c r="P24" i="13" s="1"/>
  <c r="R55" i="13"/>
  <c r="O86" i="13"/>
  <c r="V55" i="13"/>
  <c r="Q88" i="13"/>
  <c r="H88" i="13"/>
  <c r="Z75" i="13"/>
  <c r="AG75" i="13"/>
  <c r="G86" i="13"/>
  <c r="G51" i="13"/>
  <c r="G20" i="13" s="1"/>
  <c r="I45" i="13"/>
  <c r="R93" i="13"/>
  <c r="R95" i="13" s="1"/>
  <c r="K92" i="13"/>
  <c r="K95" i="13" s="1"/>
  <c r="K55" i="13"/>
  <c r="S104" i="13"/>
  <c r="S41" i="13"/>
  <c r="S17" i="13"/>
  <c r="S61" i="13"/>
  <c r="R61" i="13"/>
  <c r="R104" i="13"/>
  <c r="R41" i="13"/>
  <c r="R17" i="13"/>
  <c r="L41" i="10" l="1"/>
  <c r="Z41" i="10"/>
  <c r="N41" i="10"/>
  <c r="AA41" i="10"/>
  <c r="G41" i="10"/>
  <c r="V41" i="10"/>
  <c r="W41" i="10"/>
  <c r="U41" i="10"/>
  <c r="AB41" i="10"/>
  <c r="O41" i="10"/>
  <c r="H41" i="10"/>
  <c r="K41" i="10"/>
  <c r="S41" i="10"/>
  <c r="P41" i="10"/>
  <c r="J41" i="10"/>
  <c r="I41" i="10"/>
  <c r="H40" i="10"/>
  <c r="K40" i="10"/>
  <c r="M41" i="10"/>
  <c r="I40" i="10"/>
  <c r="G40" i="10"/>
  <c r="X41" i="10"/>
  <c r="T95" i="13"/>
  <c r="Z95" i="13"/>
  <c r="W95" i="13"/>
  <c r="K91" i="13"/>
  <c r="G95" i="13"/>
  <c r="AA95" i="13"/>
  <c r="G91" i="13"/>
  <c r="L95" i="13"/>
  <c r="X95" i="13"/>
  <c r="N95" i="13"/>
  <c r="Y95" i="13"/>
  <c r="I91" i="13"/>
  <c r="H91" i="13"/>
  <c r="J95" i="13"/>
  <c r="O95" i="13"/>
  <c r="T41" i="10"/>
  <c r="P19" i="13"/>
  <c r="I57" i="13"/>
  <c r="I19" i="13"/>
  <c r="H28" i="13"/>
  <c r="H32" i="13" s="1"/>
  <c r="N19" i="13"/>
  <c r="J57" i="13"/>
  <c r="J19" i="13"/>
  <c r="S19" i="13"/>
  <c r="J40" i="10"/>
  <c r="Q19" i="13"/>
  <c r="K57" i="13"/>
  <c r="K19" i="13"/>
  <c r="G28" i="13"/>
  <c r="G32" i="13" s="1"/>
  <c r="R19" i="13"/>
  <c r="H57" i="13"/>
  <c r="H19" i="13"/>
  <c r="Q41" i="10"/>
  <c r="J28" i="13"/>
  <c r="J32" i="13" s="1"/>
  <c r="K28" i="13"/>
  <c r="K32" i="13" s="1"/>
  <c r="J91" i="13"/>
  <c r="I28" i="13"/>
  <c r="I32" i="13" s="1"/>
  <c r="M19" i="13"/>
  <c r="G57" i="13"/>
  <c r="G19" i="13"/>
  <c r="T19" i="13"/>
  <c r="O19" i="13"/>
  <c r="I21" i="13" l="1"/>
  <c r="H21" i="13"/>
  <c r="K21" i="13"/>
  <c r="J21" i="13"/>
  <c r="G21" i="13"/>
  <c r="CI374" i="5" l="1"/>
  <c r="CI375" i="5"/>
  <c r="CI376" i="5"/>
  <c r="CI377" i="5"/>
  <c r="CI56" i="5"/>
  <c r="GM15" i="5" l="1"/>
  <c r="GK41" i="5" l="1"/>
  <c r="GJ41" i="5"/>
  <c r="W34" i="9"/>
  <c r="F157" i="9"/>
  <c r="F153" i="9"/>
  <c r="F154" i="9"/>
  <c r="F155" i="9"/>
  <c r="F152" i="9"/>
  <c r="G152" i="9" s="1"/>
  <c r="G157" i="9" s="1"/>
  <c r="F139" i="9"/>
  <c r="F140" i="9"/>
  <c r="F141" i="9"/>
  <c r="F138" i="9"/>
  <c r="G141" i="9"/>
  <c r="F143" i="9"/>
  <c r="F124" i="9"/>
  <c r="F125" i="9"/>
  <c r="F126" i="9"/>
  <c r="F127" i="9"/>
  <c r="F129" i="9"/>
  <c r="F115" i="9"/>
  <c r="F101" i="9"/>
  <c r="F111" i="9"/>
  <c r="F112" i="9"/>
  <c r="F113" i="9"/>
  <c r="F110" i="9"/>
  <c r="F97" i="9"/>
  <c r="F98" i="9"/>
  <c r="F99" i="9"/>
  <c r="F96" i="9"/>
  <c r="G153" i="9"/>
  <c r="G154" i="9"/>
  <c r="G155" i="9"/>
  <c r="G139" i="9"/>
  <c r="G140" i="9"/>
  <c r="G138" i="9"/>
  <c r="Z15" i="9"/>
  <c r="Y14" i="9"/>
  <c r="R80" i="9"/>
  <c r="S80" i="9"/>
  <c r="T80" i="9"/>
  <c r="U80" i="9"/>
  <c r="R66" i="9"/>
  <c r="S66" i="9"/>
  <c r="T66" i="9"/>
  <c r="U66" i="9"/>
  <c r="T52" i="9"/>
  <c r="U52" i="9"/>
  <c r="R39" i="9"/>
  <c r="R40" i="9" s="1"/>
  <c r="S39" i="9"/>
  <c r="T39" i="9"/>
  <c r="U39" i="9"/>
  <c r="U40" i="9" s="1"/>
  <c r="S40" i="9"/>
  <c r="T40" i="9"/>
  <c r="R34" i="9"/>
  <c r="R52" i="9" s="1"/>
  <c r="S34" i="9"/>
  <c r="S52" i="9" s="1"/>
  <c r="T34" i="9"/>
  <c r="U34" i="9"/>
  <c r="R19" i="9"/>
  <c r="S19" i="9"/>
  <c r="T19" i="9"/>
  <c r="U19" i="9"/>
  <c r="Z77" i="9"/>
  <c r="Y76" i="9"/>
  <c r="Z31" i="9"/>
  <c r="X30" i="9"/>
  <c r="Z14" i="9"/>
  <c r="X14" i="9"/>
  <c r="W14" i="9"/>
  <c r="W15" i="9"/>
  <c r="X15" i="9"/>
  <c r="Y15" i="9"/>
  <c r="W16" i="9"/>
  <c r="X16" i="9"/>
  <c r="Y16" i="9"/>
  <c r="Z16" i="9"/>
  <c r="W17" i="9"/>
  <c r="X17" i="9"/>
  <c r="Y17" i="9"/>
  <c r="Z17" i="9"/>
  <c r="W27" i="9"/>
  <c r="X27" i="9"/>
  <c r="Y27" i="9"/>
  <c r="Z27" i="9"/>
  <c r="AA27" i="9"/>
  <c r="W29" i="9"/>
  <c r="X29" i="9"/>
  <c r="Y29" i="9"/>
  <c r="Z29" i="9"/>
  <c r="W30" i="9"/>
  <c r="Y30" i="9"/>
  <c r="Z30" i="9"/>
  <c r="W31" i="9"/>
  <c r="X31" i="9"/>
  <c r="Y31" i="9"/>
  <c r="W32" i="9"/>
  <c r="X32" i="9"/>
  <c r="Y32" i="9"/>
  <c r="Z32" i="9"/>
  <c r="W59" i="9"/>
  <c r="X59" i="9"/>
  <c r="Y59" i="9"/>
  <c r="Z59" i="9"/>
  <c r="AA59" i="9"/>
  <c r="W73" i="9"/>
  <c r="X73" i="9"/>
  <c r="Y73" i="9"/>
  <c r="Z73" i="9"/>
  <c r="AA73" i="9"/>
  <c r="W75" i="9"/>
  <c r="X75" i="9"/>
  <c r="Y75" i="9"/>
  <c r="Z75" i="9"/>
  <c r="W76" i="9"/>
  <c r="X76" i="9"/>
  <c r="Z76" i="9"/>
  <c r="W77" i="9"/>
  <c r="X77" i="9"/>
  <c r="Y77" i="9"/>
  <c r="W78" i="9"/>
  <c r="X78" i="9"/>
  <c r="Y78" i="9"/>
  <c r="Z78" i="9"/>
  <c r="AA78" i="9" l="1"/>
  <c r="AA16" i="9"/>
  <c r="AA29" i="9"/>
  <c r="AA14" i="9"/>
  <c r="AA75" i="9"/>
  <c r="AA17" i="9"/>
  <c r="AA30" i="9"/>
  <c r="AA31" i="9"/>
  <c r="AA15" i="9"/>
  <c r="AA76" i="9"/>
  <c r="AA32" i="9"/>
  <c r="AA77" i="9"/>
  <c r="Q61" i="9"/>
  <c r="Q62" i="9"/>
  <c r="Q63" i="9"/>
  <c r="Q64" i="9"/>
  <c r="Q47" i="9"/>
  <c r="Q48" i="9"/>
  <c r="Q49" i="9"/>
  <c r="Q50" i="9"/>
  <c r="Q34" i="9"/>
  <c r="GL18" i="5"/>
  <c r="GL23" i="5"/>
  <c r="CK56" i="5"/>
  <c r="CL56" i="5"/>
  <c r="CJ56" i="5"/>
  <c r="CH374" i="5"/>
  <c r="CH375" i="5"/>
  <c r="CH376" i="5"/>
  <c r="CH377" i="5"/>
  <c r="GM18" i="5" l="1"/>
  <c r="HF48" i="5"/>
  <c r="R74" i="5"/>
  <c r="R72" i="5"/>
  <c r="R71" i="5"/>
  <c r="R70" i="5"/>
  <c r="R66" i="5"/>
  <c r="R65" i="5"/>
  <c r="R61" i="5"/>
  <c r="R60" i="5"/>
  <c r="GV43" i="5"/>
  <c r="GW43" i="5"/>
  <c r="GU20" i="5"/>
  <c r="GV20" i="5"/>
  <c r="GV21" i="5" s="1"/>
  <c r="GS16" i="5"/>
  <c r="GT16" i="5"/>
  <c r="GU16" i="5"/>
  <c r="GV16" i="5"/>
  <c r="GL16" i="5"/>
  <c r="GM16" i="5"/>
  <c r="GN16" i="5"/>
  <c r="GO16" i="5"/>
  <c r="GP16" i="5"/>
  <c r="GQ16" i="5"/>
  <c r="GR16" i="5"/>
  <c r="GW16" i="5"/>
  <c r="GM20" i="5"/>
  <c r="GO20" i="5"/>
  <c r="GP20" i="5"/>
  <c r="GP21" i="5" s="1"/>
  <c r="GN20" i="5"/>
  <c r="GL20" i="5"/>
  <c r="GQ20" i="5"/>
  <c r="GR20" i="5"/>
  <c r="GS20" i="5"/>
  <c r="GS21" i="5" s="1"/>
  <c r="GT20" i="5"/>
  <c r="GT21" i="5" s="1"/>
  <c r="GQ21" i="5"/>
  <c r="GR21" i="5"/>
  <c r="GU21" i="5"/>
  <c r="GO25" i="5"/>
  <c r="GP25" i="5"/>
  <c r="GP42" i="5" s="1"/>
  <c r="GL25" i="5"/>
  <c r="GL42" i="5" s="1"/>
  <c r="GM25" i="5"/>
  <c r="GN25" i="5"/>
  <c r="GQ25" i="5"/>
  <c r="GQ26" i="5" s="1"/>
  <c r="GR25" i="5"/>
  <c r="GR26" i="5" s="1"/>
  <c r="GS25" i="5"/>
  <c r="GS26" i="5" s="1"/>
  <c r="GT25" i="5"/>
  <c r="GT26" i="5" s="1"/>
  <c r="GU25" i="5"/>
  <c r="GU26" i="5" s="1"/>
  <c r="GV25" i="5"/>
  <c r="GV26" i="5" s="1"/>
  <c r="GW25" i="5"/>
  <c r="GW26" i="5" s="1"/>
  <c r="GL31" i="5"/>
  <c r="GL33" i="5" s="1"/>
  <c r="GM31" i="5"/>
  <c r="GM33" i="5" s="1"/>
  <c r="GM300" i="5" s="1"/>
  <c r="GN31" i="5"/>
  <c r="GO31" i="5"/>
  <c r="GP31" i="5"/>
  <c r="GQ31" i="5"/>
  <c r="GQ33" i="5" s="1"/>
  <c r="GQ35" i="5" s="1"/>
  <c r="GR31" i="5"/>
  <c r="GR33" i="5" s="1"/>
  <c r="GS31" i="5"/>
  <c r="GS33" i="5" s="1"/>
  <c r="GS35" i="5" s="1"/>
  <c r="GT31" i="5"/>
  <c r="GT33" i="5" s="1"/>
  <c r="GT35" i="5" s="1"/>
  <c r="GU31" i="5"/>
  <c r="GU33" i="5" s="1"/>
  <c r="GV31" i="5"/>
  <c r="GV33" i="5" s="1"/>
  <c r="GV35" i="5" s="1"/>
  <c r="GW31" i="5"/>
  <c r="GW33" i="5" s="1"/>
  <c r="GW35" i="5" s="1"/>
  <c r="GU43" i="5"/>
  <c r="GT43" i="5"/>
  <c r="HD42" i="5" l="1"/>
  <c r="HE42" i="5"/>
  <c r="HG42" i="5"/>
  <c r="HF42" i="5"/>
  <c r="GP33" i="5"/>
  <c r="HE31" i="5"/>
  <c r="HF31" i="5"/>
  <c r="HE25" i="5"/>
  <c r="GP295" i="5"/>
  <c r="GP296" i="5" s="1"/>
  <c r="GP297" i="5" s="1"/>
  <c r="HF25" i="5"/>
  <c r="GO21" i="5"/>
  <c r="GO33" i="5"/>
  <c r="GN43" i="5"/>
  <c r="GN33" i="5"/>
  <c r="CI57" i="5" s="1"/>
  <c r="CI59" i="5" s="1"/>
  <c r="GN26" i="5"/>
  <c r="GM43" i="5"/>
  <c r="GM42" i="5"/>
  <c r="GM295" i="5"/>
  <c r="R67" i="5"/>
  <c r="R68" i="5" s="1"/>
  <c r="GU35" i="5"/>
  <c r="CL57" i="5"/>
  <c r="CL59" i="5" s="1"/>
  <c r="GO35" i="5"/>
  <c r="CJ57" i="5"/>
  <c r="CJ59" i="5" s="1"/>
  <c r="GR35" i="5"/>
  <c r="CK57" i="5"/>
  <c r="CK59" i="5" s="1"/>
  <c r="GL35" i="5"/>
  <c r="GL300" i="5"/>
  <c r="GM35" i="5"/>
  <c r="GM21" i="5"/>
  <c r="GM26" i="5"/>
  <c r="R62" i="5"/>
  <c r="R63" i="5" s="1"/>
  <c r="GL21" i="5"/>
  <c r="GL43" i="5"/>
  <c r="GL295" i="5"/>
  <c r="GL26" i="5"/>
  <c r="R73" i="5"/>
  <c r="R78" i="5" s="1"/>
  <c r="GO26" i="5"/>
  <c r="GO43" i="5"/>
  <c r="GP26" i="5"/>
  <c r="GP43" i="5"/>
  <c r="HD43" i="5" s="1"/>
  <c r="GS43" i="5"/>
  <c r="GN21" i="5"/>
  <c r="GR43" i="5"/>
  <c r="GQ43" i="5"/>
  <c r="GW20" i="5"/>
  <c r="GW21" i="5" s="1"/>
  <c r="CH56" i="5"/>
  <c r="HG43" i="5" l="1"/>
  <c r="HI42" i="5"/>
  <c r="GP35" i="5"/>
  <c r="HE33" i="5"/>
  <c r="HF33" i="5"/>
  <c r="GP300" i="5"/>
  <c r="GP301" i="5" s="1"/>
  <c r="GP302" i="5" s="1"/>
  <c r="GO300" i="5"/>
  <c r="GO301" i="5" s="1"/>
  <c r="GO302" i="5" s="1"/>
  <c r="GN300" i="5"/>
  <c r="GN35" i="5"/>
  <c r="R75" i="5"/>
  <c r="R77" i="5" s="1"/>
  <c r="CG374" i="5"/>
  <c r="CG375" i="5"/>
  <c r="CG376" i="5"/>
  <c r="CG377" i="5"/>
  <c r="GN301" i="5" l="1"/>
  <c r="GN302" i="5"/>
  <c r="GK25" i="5"/>
  <c r="GK42" i="5" s="1"/>
  <c r="GK43" i="5" s="1"/>
  <c r="GK295" i="5" l="1"/>
  <c r="GJ18" i="5"/>
  <c r="GI18" i="5"/>
  <c r="CF374" i="5"/>
  <c r="CF375" i="5"/>
  <c r="CF376" i="5"/>
  <c r="CF377" i="5"/>
  <c r="P61" i="9" l="1"/>
  <c r="X61" i="9" s="1"/>
  <c r="P62" i="9"/>
  <c r="X62" i="9" s="1"/>
  <c r="P63" i="9"/>
  <c r="X63" i="9" s="1"/>
  <c r="P64" i="9"/>
  <c r="X64" i="9" s="1"/>
  <c r="P47" i="9"/>
  <c r="P48" i="9"/>
  <c r="P49" i="9"/>
  <c r="P50" i="9"/>
  <c r="P34" i="9"/>
  <c r="X34" i="9" s="1"/>
  <c r="CG56" i="5" l="1"/>
  <c r="CE374" i="5" l="1"/>
  <c r="CE375" i="5"/>
  <c r="CE376" i="5"/>
  <c r="CE377" i="5"/>
  <c r="O34" i="9"/>
  <c r="O61" i="9"/>
  <c r="O62" i="9"/>
  <c r="O63" i="9"/>
  <c r="O64" i="9"/>
  <c r="O47" i="9"/>
  <c r="O48" i="9"/>
  <c r="O49" i="9"/>
  <c r="O50" i="9"/>
  <c r="O66" i="9" l="1"/>
  <c r="CD374" i="5"/>
  <c r="CD375" i="5"/>
  <c r="CD376" i="5"/>
  <c r="CD377" i="5"/>
  <c r="GH18" i="5" l="1"/>
  <c r="N49" i="9" l="1"/>
  <c r="N63" i="9"/>
  <c r="Y63" i="9" s="1"/>
  <c r="HF47" i="5" l="1"/>
  <c r="GF49" i="5" l="1"/>
  <c r="GG18" i="5" l="1"/>
  <c r="GG23" i="5"/>
  <c r="N64" i="9" l="1"/>
  <c r="Y64" i="9" s="1"/>
  <c r="N62" i="9"/>
  <c r="Y62" i="9" s="1"/>
  <c r="N61" i="9"/>
  <c r="Y61" i="9" s="1"/>
  <c r="N50" i="9"/>
  <c r="N48" i="9"/>
  <c r="N47" i="9"/>
  <c r="N34" i="9"/>
  <c r="Y34" i="9" s="1"/>
  <c r="CC374" i="5"/>
  <c r="CC375" i="5"/>
  <c r="CC376" i="5"/>
  <c r="CC377" i="5"/>
  <c r="N66" i="9" l="1"/>
  <c r="CB374" i="5"/>
  <c r="CB375" i="5"/>
  <c r="CB376" i="5"/>
  <c r="CB377" i="5"/>
  <c r="CA374" i="5"/>
  <c r="CA375" i="5"/>
  <c r="CA376" i="5"/>
  <c r="CA377" i="5"/>
  <c r="GE18" i="5"/>
  <c r="CE56" i="5"/>
  <c r="GE49" i="5" l="1"/>
  <c r="CF56" i="5"/>
  <c r="BZ374" i="5"/>
  <c r="BZ375" i="5"/>
  <c r="BZ376" i="5"/>
  <c r="BZ377" i="5"/>
  <c r="GD23" i="5"/>
  <c r="GD18" i="5"/>
  <c r="GD49" i="5" l="1"/>
  <c r="CV83" i="5"/>
  <c r="GB15" i="5" l="1"/>
  <c r="GA15" i="5"/>
  <c r="FY15" i="5"/>
  <c r="FX15" i="5"/>
  <c r="FW15" i="5"/>
  <c r="FV15" i="5"/>
  <c r="FU15" i="5"/>
  <c r="FT15" i="5"/>
  <c r="FS15" i="5"/>
  <c r="FR15" i="5"/>
  <c r="FQ15" i="5"/>
  <c r="FP15" i="5"/>
  <c r="FO15" i="5"/>
  <c r="GC15" i="5" l="1"/>
  <c r="GC18" i="5"/>
  <c r="GB19" i="5"/>
  <c r="GC23" i="5"/>
  <c r="BY374" i="5"/>
  <c r="BY375" i="5"/>
  <c r="BY376" i="5"/>
  <c r="BY377" i="5"/>
  <c r="AG111" i="4"/>
  <c r="AG158" i="4"/>
  <c r="FY18" i="5"/>
  <c r="FR18" i="5"/>
  <c r="FP18" i="5"/>
  <c r="FQ18" i="5"/>
  <c r="FS18" i="5"/>
  <c r="FT18" i="5"/>
  <c r="FU18" i="5"/>
  <c r="FX18" i="5"/>
  <c r="FX20" i="5" s="1"/>
  <c r="FN19" i="5"/>
  <c r="FO18" i="5"/>
  <c r="GA18" i="5"/>
  <c r="HG48" i="5"/>
  <c r="HE47" i="5"/>
  <c r="HE48" i="5"/>
  <c r="HG47" i="5" l="1"/>
  <c r="HG49" i="5"/>
  <c r="HH47" i="5"/>
  <c r="HH48" i="5"/>
  <c r="HH49" i="5" s="1"/>
  <c r="GK18" i="5"/>
  <c r="GK20" i="5" s="1"/>
  <c r="GD15" i="5"/>
  <c r="GG15" i="5" s="1"/>
  <c r="GC49" i="5"/>
  <c r="HI48" i="5" l="1"/>
  <c r="HI47" i="5"/>
  <c r="GH15" i="5"/>
  <c r="GI15" i="5"/>
  <c r="GJ15" i="5"/>
  <c r="GK15" i="5"/>
  <c r="DK42" i="5"/>
  <c r="FN42" i="5"/>
  <c r="FN43" i="5" l="1"/>
  <c r="B375" i="5"/>
  <c r="C375" i="5"/>
  <c r="D375" i="5"/>
  <c r="E375" i="5"/>
  <c r="F375" i="5"/>
  <c r="G375" i="5"/>
  <c r="H375" i="5"/>
  <c r="I375" i="5"/>
  <c r="J375" i="5"/>
  <c r="K375" i="5"/>
  <c r="L375" i="5"/>
  <c r="M375" i="5"/>
  <c r="N375" i="5"/>
  <c r="O375" i="5"/>
  <c r="P375" i="5"/>
  <c r="Q375" i="5"/>
  <c r="R375" i="5"/>
  <c r="S375" i="5"/>
  <c r="T375" i="5"/>
  <c r="U375" i="5"/>
  <c r="V375" i="5"/>
  <c r="W375" i="5"/>
  <c r="X375" i="5"/>
  <c r="Y375" i="5"/>
  <c r="Z375" i="5"/>
  <c r="AA375" i="5"/>
  <c r="AB375" i="5"/>
  <c r="AC375" i="5"/>
  <c r="AD375" i="5"/>
  <c r="AE375" i="5"/>
  <c r="AF375" i="5"/>
  <c r="AG375" i="5"/>
  <c r="AH375" i="5"/>
  <c r="AI375" i="5"/>
  <c r="AJ375" i="5"/>
  <c r="AK375" i="5"/>
  <c r="AL375" i="5"/>
  <c r="AM375" i="5"/>
  <c r="AN375" i="5"/>
  <c r="AO375" i="5"/>
  <c r="AP375" i="5"/>
  <c r="AQ375" i="5"/>
  <c r="AR375" i="5"/>
  <c r="AS375" i="5"/>
  <c r="AT375" i="5"/>
  <c r="AU375" i="5"/>
  <c r="AV375" i="5"/>
  <c r="AW375" i="5"/>
  <c r="AX375" i="5"/>
  <c r="AY375" i="5"/>
  <c r="AZ375" i="5"/>
  <c r="BA375" i="5"/>
  <c r="BB375" i="5"/>
  <c r="BC375" i="5"/>
  <c r="BD375" i="5"/>
  <c r="BE375" i="5"/>
  <c r="BF375" i="5"/>
  <c r="BG375" i="5"/>
  <c r="BH375" i="5"/>
  <c r="BI375" i="5"/>
  <c r="BJ375" i="5"/>
  <c r="BK375" i="5"/>
  <c r="BL375" i="5"/>
  <c r="BM375" i="5"/>
  <c r="BN375" i="5"/>
  <c r="BO375" i="5"/>
  <c r="BP375" i="5"/>
  <c r="BQ375" i="5"/>
  <c r="BR375" i="5"/>
  <c r="BS375" i="5"/>
  <c r="BT375" i="5"/>
  <c r="BU375" i="5"/>
  <c r="BV375" i="5"/>
  <c r="BW375" i="5"/>
  <c r="BX375" i="5"/>
  <c r="B376" i="5"/>
  <c r="C376" i="5"/>
  <c r="D376" i="5"/>
  <c r="E376" i="5"/>
  <c r="F376" i="5"/>
  <c r="H376" i="5"/>
  <c r="I376" i="5"/>
  <c r="J376" i="5"/>
  <c r="K376" i="5"/>
  <c r="L376" i="5"/>
  <c r="M376" i="5"/>
  <c r="N376" i="5"/>
  <c r="O376" i="5"/>
  <c r="P376" i="5"/>
  <c r="Q376" i="5"/>
  <c r="R376" i="5"/>
  <c r="S376" i="5"/>
  <c r="T376" i="5"/>
  <c r="U376" i="5"/>
  <c r="V376" i="5"/>
  <c r="W376" i="5"/>
  <c r="X376" i="5"/>
  <c r="Y376" i="5"/>
  <c r="Z376" i="5"/>
  <c r="AA376" i="5"/>
  <c r="AB376" i="5"/>
  <c r="AC376" i="5"/>
  <c r="AD376" i="5"/>
  <c r="AE376" i="5"/>
  <c r="AF376" i="5"/>
  <c r="AG376" i="5"/>
  <c r="AH376" i="5"/>
  <c r="AI376" i="5"/>
  <c r="AJ376" i="5"/>
  <c r="AK376" i="5"/>
  <c r="AL376" i="5"/>
  <c r="AM376" i="5"/>
  <c r="AN376" i="5"/>
  <c r="AO376" i="5"/>
  <c r="AP376" i="5"/>
  <c r="AQ376" i="5"/>
  <c r="AR376" i="5"/>
  <c r="AS376" i="5"/>
  <c r="AT376" i="5"/>
  <c r="AU376" i="5"/>
  <c r="AV376" i="5"/>
  <c r="AW376" i="5"/>
  <c r="AX376" i="5"/>
  <c r="AY376" i="5"/>
  <c r="AZ376" i="5"/>
  <c r="BA376" i="5"/>
  <c r="BB376" i="5"/>
  <c r="BC376" i="5"/>
  <c r="BD376" i="5"/>
  <c r="BE376" i="5"/>
  <c r="BF376" i="5"/>
  <c r="BG376" i="5"/>
  <c r="BH376" i="5"/>
  <c r="BI376" i="5"/>
  <c r="BL376" i="5"/>
  <c r="BM376" i="5"/>
  <c r="BN376" i="5"/>
  <c r="BO376" i="5"/>
  <c r="BP376" i="5"/>
  <c r="BQ376" i="5"/>
  <c r="BR376" i="5"/>
  <c r="BS376" i="5"/>
  <c r="BT376" i="5"/>
  <c r="BU376" i="5"/>
  <c r="BV376" i="5"/>
  <c r="BW376" i="5"/>
  <c r="BX376" i="5"/>
  <c r="B377" i="5"/>
  <c r="C377" i="5"/>
  <c r="D377" i="5"/>
  <c r="E377" i="5"/>
  <c r="F377" i="5"/>
  <c r="G377" i="5"/>
  <c r="H377" i="5"/>
  <c r="I377" i="5"/>
  <c r="J377" i="5"/>
  <c r="K377" i="5"/>
  <c r="L377" i="5"/>
  <c r="M377" i="5"/>
  <c r="N377" i="5"/>
  <c r="O377" i="5"/>
  <c r="P377" i="5"/>
  <c r="Q377" i="5"/>
  <c r="R377" i="5"/>
  <c r="S377" i="5"/>
  <c r="T377" i="5"/>
  <c r="U377" i="5"/>
  <c r="V377" i="5"/>
  <c r="W377" i="5"/>
  <c r="X377" i="5"/>
  <c r="Y377" i="5"/>
  <c r="Z377" i="5"/>
  <c r="AA377" i="5"/>
  <c r="AB377" i="5"/>
  <c r="AC377" i="5"/>
  <c r="AD377" i="5"/>
  <c r="AE377" i="5"/>
  <c r="AF377" i="5"/>
  <c r="AG377" i="5"/>
  <c r="AH377" i="5"/>
  <c r="AI377" i="5"/>
  <c r="AJ377" i="5"/>
  <c r="AK377" i="5"/>
  <c r="AL377" i="5"/>
  <c r="AM377" i="5"/>
  <c r="AN377" i="5"/>
  <c r="AO377" i="5"/>
  <c r="AP377" i="5"/>
  <c r="AQ377" i="5"/>
  <c r="AR377" i="5"/>
  <c r="AS377" i="5"/>
  <c r="AT377" i="5"/>
  <c r="AU377" i="5"/>
  <c r="AV377" i="5"/>
  <c r="AW377" i="5"/>
  <c r="AX377" i="5"/>
  <c r="AY377" i="5"/>
  <c r="AZ377" i="5"/>
  <c r="BA377" i="5"/>
  <c r="BB377" i="5"/>
  <c r="BC377" i="5"/>
  <c r="BD377" i="5"/>
  <c r="BE377" i="5"/>
  <c r="BF377" i="5"/>
  <c r="BG377" i="5"/>
  <c r="BH377" i="5"/>
  <c r="BI377" i="5"/>
  <c r="BJ377" i="5"/>
  <c r="BK377" i="5"/>
  <c r="BL377" i="5"/>
  <c r="BM377" i="5"/>
  <c r="BN377" i="5"/>
  <c r="BO377" i="5"/>
  <c r="BP377" i="5"/>
  <c r="BQ377" i="5"/>
  <c r="BR377" i="5"/>
  <c r="BS377" i="5"/>
  <c r="BT377" i="5"/>
  <c r="BU377" i="5"/>
  <c r="BV377" i="5"/>
  <c r="BW377" i="5"/>
  <c r="BX377" i="5"/>
  <c r="M374" i="5"/>
  <c r="N374" i="5"/>
  <c r="O374" i="5"/>
  <c r="P374" i="5"/>
  <c r="Q374" i="5"/>
  <c r="R374" i="5"/>
  <c r="S374" i="5"/>
  <c r="T374" i="5"/>
  <c r="U374" i="5"/>
  <c r="V374" i="5"/>
  <c r="W374" i="5"/>
  <c r="X374" i="5"/>
  <c r="Y374" i="5"/>
  <c r="Z374" i="5"/>
  <c r="AA374" i="5"/>
  <c r="AB374" i="5"/>
  <c r="AC374" i="5"/>
  <c r="AD374" i="5"/>
  <c r="AE374" i="5"/>
  <c r="AF374" i="5"/>
  <c r="AG374" i="5"/>
  <c r="AH374" i="5"/>
  <c r="AI374" i="5"/>
  <c r="AJ374" i="5"/>
  <c r="AK374" i="5"/>
  <c r="AL374" i="5"/>
  <c r="AM374" i="5"/>
  <c r="AN374" i="5"/>
  <c r="AO374" i="5"/>
  <c r="AP374" i="5"/>
  <c r="AQ374" i="5"/>
  <c r="AR374" i="5"/>
  <c r="AS374" i="5"/>
  <c r="AT374" i="5"/>
  <c r="AU374" i="5"/>
  <c r="AV374" i="5"/>
  <c r="AW374" i="5"/>
  <c r="AX374" i="5"/>
  <c r="AY374" i="5"/>
  <c r="AZ374" i="5"/>
  <c r="BA374" i="5"/>
  <c r="BB374" i="5"/>
  <c r="BC374" i="5"/>
  <c r="BD374" i="5"/>
  <c r="BE374" i="5"/>
  <c r="BF374" i="5"/>
  <c r="BG374" i="5"/>
  <c r="BH374" i="5"/>
  <c r="BI374" i="5"/>
  <c r="BJ374" i="5"/>
  <c r="BK374" i="5"/>
  <c r="BL374" i="5"/>
  <c r="BM374" i="5"/>
  <c r="BN374" i="5"/>
  <c r="BO374" i="5"/>
  <c r="BP374" i="5"/>
  <c r="BQ374" i="5"/>
  <c r="BR374" i="5"/>
  <c r="BS374" i="5"/>
  <c r="BT374" i="5"/>
  <c r="BU374" i="5"/>
  <c r="BV374" i="5"/>
  <c r="BW374" i="5"/>
  <c r="BX374" i="5"/>
  <c r="B374" i="5"/>
  <c r="C374" i="5"/>
  <c r="D374" i="5"/>
  <c r="E374" i="5"/>
  <c r="F374" i="5"/>
  <c r="G374" i="5"/>
  <c r="H374" i="5"/>
  <c r="I374" i="5"/>
  <c r="J374" i="5"/>
  <c r="K374" i="5"/>
  <c r="L374" i="5"/>
  <c r="A375" i="5"/>
  <c r="FW292" i="5" l="1"/>
  <c r="FX292" i="5" s="1"/>
  <c r="FY292" i="5" s="1"/>
  <c r="FZ292" i="5" s="1"/>
  <c r="GA292" i="5" s="1"/>
  <c r="GB292" i="5" s="1"/>
  <c r="GC292" i="5" s="1"/>
  <c r="GD292" i="5" s="1"/>
  <c r="GE292" i="5" s="1"/>
  <c r="GF292" i="5" s="1"/>
  <c r="GG292" i="5" s="1"/>
  <c r="GH292" i="5" s="1"/>
  <c r="GI292" i="5" s="1"/>
  <c r="GJ292" i="5" s="1"/>
  <c r="GK292" i="5" s="1"/>
  <c r="GL292" i="5" l="1"/>
  <c r="GK296" i="5"/>
  <c r="GK297" i="5" s="1"/>
  <c r="E153" i="9"/>
  <c r="E154" i="9"/>
  <c r="E155" i="9"/>
  <c r="E152" i="9"/>
  <c r="E139" i="9"/>
  <c r="E140" i="9"/>
  <c r="E141" i="9"/>
  <c r="E138" i="9"/>
  <c r="E111" i="9"/>
  <c r="E125" i="9" s="1"/>
  <c r="E112" i="9"/>
  <c r="E113" i="9"/>
  <c r="E110" i="9"/>
  <c r="E97" i="9"/>
  <c r="E98" i="9"/>
  <c r="E99" i="9"/>
  <c r="E96" i="9"/>
  <c r="M64" i="9"/>
  <c r="W64" i="9" s="1"/>
  <c r="M63" i="9"/>
  <c r="W63" i="9" s="1"/>
  <c r="M62" i="9"/>
  <c r="W62" i="9" s="1"/>
  <c r="M61" i="9"/>
  <c r="W61" i="9" s="1"/>
  <c r="M50" i="9"/>
  <c r="M49" i="9"/>
  <c r="M48" i="9"/>
  <c r="M47" i="9"/>
  <c r="P66" i="9"/>
  <c r="Q66" i="9"/>
  <c r="N80" i="9"/>
  <c r="Y80" i="9" s="1"/>
  <c r="O80" i="9"/>
  <c r="P80" i="9"/>
  <c r="Q80" i="9"/>
  <c r="N19" i="9"/>
  <c r="O19" i="9"/>
  <c r="O52" i="9" s="1"/>
  <c r="P19" i="9"/>
  <c r="Q19" i="9"/>
  <c r="Q71" i="5"/>
  <c r="Q72" i="5"/>
  <c r="Q70" i="5"/>
  <c r="Q66" i="5"/>
  <c r="Q65" i="5"/>
  <c r="D99" i="9"/>
  <c r="L61" i="9"/>
  <c r="L62" i="9"/>
  <c r="L63" i="9"/>
  <c r="L64" i="9"/>
  <c r="L47" i="9"/>
  <c r="L48" i="9"/>
  <c r="L49" i="9"/>
  <c r="L50" i="9"/>
  <c r="K47" i="9"/>
  <c r="K48" i="9"/>
  <c r="K49" i="9"/>
  <c r="K50" i="9"/>
  <c r="K61" i="9"/>
  <c r="K62" i="9"/>
  <c r="K63" i="9"/>
  <c r="K64" i="9"/>
  <c r="CD56" i="5"/>
  <c r="GA25" i="5"/>
  <c r="GB25" i="5"/>
  <c r="GC25" i="5"/>
  <c r="GD25" i="5"/>
  <c r="GE25" i="5"/>
  <c r="GF25" i="5"/>
  <c r="GF42" i="5" s="1"/>
  <c r="GF43" i="5" s="1"/>
  <c r="GG25" i="5"/>
  <c r="GH25" i="5"/>
  <c r="GI25" i="5"/>
  <c r="GJ25" i="5"/>
  <c r="GJ42" i="5" s="1"/>
  <c r="GJ43" i="5" s="1"/>
  <c r="GK26" i="5"/>
  <c r="FZ25" i="5"/>
  <c r="GK31" i="5"/>
  <c r="GJ31" i="5"/>
  <c r="GI31" i="5"/>
  <c r="GH31" i="5"/>
  <c r="GG31" i="5"/>
  <c r="GF31" i="5"/>
  <c r="GE31" i="5"/>
  <c r="GD31" i="5"/>
  <c r="GC31" i="5"/>
  <c r="GB31" i="5"/>
  <c r="GA31" i="5"/>
  <c r="FZ31" i="5"/>
  <c r="GK21" i="5"/>
  <c r="GI21" i="5"/>
  <c r="GH20" i="5"/>
  <c r="GG20" i="5"/>
  <c r="GF20" i="5"/>
  <c r="GD20" i="5"/>
  <c r="GA20" i="5"/>
  <c r="FZ20" i="5"/>
  <c r="FZ21" i="5" s="1"/>
  <c r="GC20" i="5"/>
  <c r="GK16" i="5"/>
  <c r="GJ16" i="5"/>
  <c r="GI16" i="5"/>
  <c r="GH16" i="5"/>
  <c r="GG16" i="5"/>
  <c r="GF16" i="5"/>
  <c r="GE16" i="5"/>
  <c r="GD16" i="5"/>
  <c r="FZ16" i="5"/>
  <c r="GC16" i="5"/>
  <c r="GB16" i="5"/>
  <c r="GA16" i="5"/>
  <c r="FN29" i="5"/>
  <c r="FO30" i="5"/>
  <c r="DK295" i="5"/>
  <c r="DK296" i="5" s="1"/>
  <c r="DK297" i="5" s="1"/>
  <c r="FN295" i="5"/>
  <c r="FN296" i="5" s="1"/>
  <c r="FN297" i="5" s="1"/>
  <c r="CC56" i="5"/>
  <c r="GA21" i="5" l="1"/>
  <c r="GA49" i="5"/>
  <c r="GI295" i="5"/>
  <c r="GI42" i="5"/>
  <c r="GA42" i="5"/>
  <c r="GM292" i="5"/>
  <c r="GL301" i="5"/>
  <c r="GL302" i="5" s="1"/>
  <c r="GL296" i="5"/>
  <c r="GL297" i="5" s="1"/>
  <c r="X19" i="9"/>
  <c r="Q52" i="9"/>
  <c r="X66" i="9"/>
  <c r="W66" i="9"/>
  <c r="Y66" i="9"/>
  <c r="Y19" i="9"/>
  <c r="X80" i="9"/>
  <c r="P52" i="9"/>
  <c r="GG42" i="5"/>
  <c r="GG43" i="5" s="1"/>
  <c r="GG295" i="5"/>
  <c r="GK33" i="5"/>
  <c r="GI296" i="5"/>
  <c r="GI297" i="5" s="1"/>
  <c r="GH295" i="5"/>
  <c r="GH296" i="5" s="1"/>
  <c r="GH297" i="5" s="1"/>
  <c r="GH42" i="5"/>
  <c r="GH43" i="5" s="1"/>
  <c r="GJ26" i="5"/>
  <c r="GJ295" i="5"/>
  <c r="E124" i="9"/>
  <c r="GI26" i="5"/>
  <c r="N52" i="9"/>
  <c r="GH21" i="5"/>
  <c r="GH26" i="5"/>
  <c r="E127" i="9"/>
  <c r="E126" i="9"/>
  <c r="E157" i="9"/>
  <c r="M66" i="9"/>
  <c r="E101" i="9"/>
  <c r="E143" i="9"/>
  <c r="E115" i="9"/>
  <c r="GG21" i="5"/>
  <c r="GG26" i="5"/>
  <c r="GF295" i="5"/>
  <c r="GF296" i="5" s="1"/>
  <c r="GF297" i="5" s="1"/>
  <c r="GF33" i="5"/>
  <c r="GF21" i="5"/>
  <c r="GF26" i="5"/>
  <c r="GE42" i="5"/>
  <c r="GE295" i="5"/>
  <c r="GE296" i="5" s="1"/>
  <c r="GE297" i="5" s="1"/>
  <c r="GE26" i="5"/>
  <c r="GD295" i="5"/>
  <c r="GD296" i="5" s="1"/>
  <c r="GD297" i="5" s="1"/>
  <c r="GD42" i="5"/>
  <c r="GE33" i="5"/>
  <c r="GE300" i="5" s="1"/>
  <c r="GD26" i="5"/>
  <c r="GC42" i="5"/>
  <c r="GD21" i="5"/>
  <c r="GC21" i="5"/>
  <c r="GC26" i="5"/>
  <c r="GC295" i="5"/>
  <c r="GC296" i="5" s="1"/>
  <c r="GC297" i="5" s="1"/>
  <c r="GB42" i="5"/>
  <c r="GB43" i="5" s="1"/>
  <c r="FZ49" i="5"/>
  <c r="GB49" i="5"/>
  <c r="FZ26" i="5"/>
  <c r="FZ42" i="5"/>
  <c r="BK376" i="5"/>
  <c r="GB33" i="5"/>
  <c r="BJ376" i="5"/>
  <c r="FZ295" i="5"/>
  <c r="FZ296" i="5" s="1"/>
  <c r="GB295" i="5"/>
  <c r="GB296" i="5" s="1"/>
  <c r="GB297" i="5" s="1"/>
  <c r="GB26" i="5"/>
  <c r="Q67" i="5"/>
  <c r="Q68" i="5" s="1"/>
  <c r="GA26" i="5"/>
  <c r="GA295" i="5"/>
  <c r="Q73" i="5"/>
  <c r="Q78" i="5" s="1"/>
  <c r="FZ33" i="5"/>
  <c r="Q74" i="5"/>
  <c r="GA33" i="5"/>
  <c r="GJ33" i="5"/>
  <c r="GJ300" i="5" s="1"/>
  <c r="GC33" i="5"/>
  <c r="GD33" i="5"/>
  <c r="GI33" i="5"/>
  <c r="GI300" i="5" s="1"/>
  <c r="GI301" i="5" s="1"/>
  <c r="GI302" i="5" s="1"/>
  <c r="GE20" i="5"/>
  <c r="AA70" i="8"/>
  <c r="AA102" i="8"/>
  <c r="AA140" i="8"/>
  <c r="AA185" i="8"/>
  <c r="AA230" i="8"/>
  <c r="AA255" i="8"/>
  <c r="AA302" i="8"/>
  <c r="AA330" i="8"/>
  <c r="AA380" i="8"/>
  <c r="AA405" i="8"/>
  <c r="AA425" i="8"/>
  <c r="AA452" i="8"/>
  <c r="AA465" i="8"/>
  <c r="AA475" i="8"/>
  <c r="AA485" i="8"/>
  <c r="AA502" i="8"/>
  <c r="AA70" i="7"/>
  <c r="AA102" i="7"/>
  <c r="AA140" i="7"/>
  <c r="AA185" i="7"/>
  <c r="AA230" i="7"/>
  <c r="AA255" i="7"/>
  <c r="AA302" i="7"/>
  <c r="AA330" i="7"/>
  <c r="AA380" i="7"/>
  <c r="AA405" i="7"/>
  <c r="AA425" i="7"/>
  <c r="AA452" i="7"/>
  <c r="AA465" i="7"/>
  <c r="AA475" i="7"/>
  <c r="AA485" i="7"/>
  <c r="AA502" i="7"/>
  <c r="D152" i="9"/>
  <c r="D110" i="9"/>
  <c r="D96" i="9"/>
  <c r="J61" i="9"/>
  <c r="Z61" i="9" s="1"/>
  <c r="AA61" i="9" s="1"/>
  <c r="J62" i="9"/>
  <c r="Z62" i="9" s="1"/>
  <c r="AA62" i="9" s="1"/>
  <c r="J63" i="9"/>
  <c r="Z63" i="9" s="1"/>
  <c r="AA63" i="9" s="1"/>
  <c r="J64" i="9"/>
  <c r="Z64" i="9" s="1"/>
  <c r="AA64" i="9" s="1"/>
  <c r="J47" i="9"/>
  <c r="J48" i="9"/>
  <c r="J49" i="9"/>
  <c r="J50" i="9"/>
  <c r="FR16" i="5"/>
  <c r="FQ16" i="5"/>
  <c r="FP16" i="5"/>
  <c r="FO16" i="5"/>
  <c r="CB56" i="5"/>
  <c r="CA56" i="5"/>
  <c r="FS16" i="5"/>
  <c r="FT16" i="5"/>
  <c r="FU16" i="5"/>
  <c r="FV16" i="5"/>
  <c r="FW16" i="5"/>
  <c r="FX16" i="5"/>
  <c r="FY16" i="5"/>
  <c r="FN16" i="5"/>
  <c r="CU83" i="5"/>
  <c r="GA43" i="5" l="1"/>
  <c r="GM301" i="5"/>
  <c r="GM302" i="5" s="1"/>
  <c r="GM296" i="5"/>
  <c r="GM297" i="5" s="1"/>
  <c r="D138" i="9"/>
  <c r="GK300" i="5"/>
  <c r="CH57" i="5"/>
  <c r="CH59" i="5" s="1"/>
  <c r="Q37" i="9" s="1"/>
  <c r="Q36" i="9" s="1"/>
  <c r="Q39" i="9" s="1"/>
  <c r="GK35" i="5"/>
  <c r="GI43" i="5"/>
  <c r="GJ301" i="5"/>
  <c r="GJ302" i="5"/>
  <c r="GG296" i="5"/>
  <c r="GG297" i="5" s="1"/>
  <c r="CF57" i="5"/>
  <c r="CF59" i="5" s="1"/>
  <c r="O37" i="9" s="1"/>
  <c r="GJ296" i="5"/>
  <c r="GJ297" i="5" s="1"/>
  <c r="GI35" i="5"/>
  <c r="E129" i="9"/>
  <c r="GF300" i="5"/>
  <c r="GE43" i="5"/>
  <c r="GE301" i="5"/>
  <c r="GE302" i="5" s="1"/>
  <c r="GF35" i="5"/>
  <c r="GE35" i="5"/>
  <c r="GE21" i="5"/>
  <c r="GD43" i="5"/>
  <c r="GD35" i="5"/>
  <c r="GD300" i="5"/>
  <c r="GC43" i="5"/>
  <c r="GC300" i="5"/>
  <c r="GC301" i="5" s="1"/>
  <c r="GC302" i="5" s="1"/>
  <c r="GC35" i="5"/>
  <c r="Q75" i="5"/>
  <c r="FZ43" i="5"/>
  <c r="CE57" i="5"/>
  <c r="CE59" i="5" s="1"/>
  <c r="N37" i="9" s="1"/>
  <c r="FZ297" i="5"/>
  <c r="GA296" i="5"/>
  <c r="GA297" i="5" s="1"/>
  <c r="GB35" i="5"/>
  <c r="GB300" i="5"/>
  <c r="GB301" i="5" s="1"/>
  <c r="GB302" i="5" s="1"/>
  <c r="FZ35" i="5"/>
  <c r="FZ300" i="5"/>
  <c r="GA35" i="5"/>
  <c r="GA300" i="5"/>
  <c r="GG33" i="5"/>
  <c r="GG300" i="5" s="1"/>
  <c r="GG301" i="5" s="1"/>
  <c r="GG302" i="5" s="1"/>
  <c r="GH33" i="5"/>
  <c r="GH300" i="5" s="1"/>
  <c r="B62" i="9"/>
  <c r="C62" i="9"/>
  <c r="D62" i="9"/>
  <c r="E62" i="9"/>
  <c r="F62" i="9"/>
  <c r="G62" i="9"/>
  <c r="H62" i="9"/>
  <c r="I62" i="9"/>
  <c r="B63" i="9"/>
  <c r="C63" i="9"/>
  <c r="D63" i="9"/>
  <c r="E63" i="9"/>
  <c r="F63" i="9"/>
  <c r="G63" i="9"/>
  <c r="H63" i="9"/>
  <c r="I63" i="9"/>
  <c r="B64" i="9"/>
  <c r="C64" i="9"/>
  <c r="D64" i="9"/>
  <c r="E64" i="9"/>
  <c r="F64" i="9"/>
  <c r="G64" i="9"/>
  <c r="H64" i="9"/>
  <c r="I64" i="9"/>
  <c r="C61" i="9"/>
  <c r="D61" i="9"/>
  <c r="E61" i="9"/>
  <c r="F61" i="9"/>
  <c r="G61" i="9"/>
  <c r="H61" i="9"/>
  <c r="I61" i="9"/>
  <c r="B61" i="9"/>
  <c r="C48" i="9"/>
  <c r="D48" i="9"/>
  <c r="E48" i="9"/>
  <c r="F48" i="9"/>
  <c r="G48" i="9"/>
  <c r="H48" i="9"/>
  <c r="I48" i="9"/>
  <c r="C49" i="9"/>
  <c r="D49" i="9"/>
  <c r="E49" i="9"/>
  <c r="F49" i="9"/>
  <c r="G49" i="9"/>
  <c r="H49" i="9"/>
  <c r="I49" i="9"/>
  <c r="C50" i="9"/>
  <c r="D50" i="9"/>
  <c r="E50" i="9"/>
  <c r="F50" i="9"/>
  <c r="G50" i="9"/>
  <c r="H50" i="9"/>
  <c r="I50" i="9"/>
  <c r="C47" i="9"/>
  <c r="D47" i="9"/>
  <c r="E47" i="9"/>
  <c r="F47" i="9"/>
  <c r="G47" i="9"/>
  <c r="H47" i="9"/>
  <c r="I47" i="9"/>
  <c r="D155" i="9"/>
  <c r="C155" i="9"/>
  <c r="D154" i="9"/>
  <c r="C154" i="9"/>
  <c r="D153" i="9"/>
  <c r="C153" i="9"/>
  <c r="C152" i="9"/>
  <c r="D141" i="9"/>
  <c r="D140" i="9"/>
  <c r="D139" i="9"/>
  <c r="D113" i="9"/>
  <c r="C113" i="9"/>
  <c r="D112" i="9"/>
  <c r="C112" i="9"/>
  <c r="D111" i="9"/>
  <c r="C111" i="9"/>
  <c r="C110" i="9"/>
  <c r="C99" i="9"/>
  <c r="D98" i="9"/>
  <c r="C98" i="9"/>
  <c r="D97" i="9"/>
  <c r="C97" i="9"/>
  <c r="D124" i="9"/>
  <c r="C96" i="9"/>
  <c r="M80" i="9"/>
  <c r="W80" i="9" s="1"/>
  <c r="L80" i="9"/>
  <c r="K80" i="9"/>
  <c r="J80" i="9"/>
  <c r="I80" i="9"/>
  <c r="H80" i="9"/>
  <c r="G80" i="9"/>
  <c r="F80" i="9"/>
  <c r="E80" i="9"/>
  <c r="D80" i="9"/>
  <c r="C80" i="9"/>
  <c r="L66" i="9"/>
  <c r="K66" i="9"/>
  <c r="J66" i="9"/>
  <c r="M34" i="9"/>
  <c r="L34" i="9"/>
  <c r="K34" i="9"/>
  <c r="J34" i="9"/>
  <c r="I34" i="9"/>
  <c r="H34" i="9"/>
  <c r="G34" i="9"/>
  <c r="F34" i="9"/>
  <c r="E34" i="9"/>
  <c r="D34" i="9"/>
  <c r="C34" i="9"/>
  <c r="M19" i="9"/>
  <c r="W19" i="9" s="1"/>
  <c r="L19" i="9"/>
  <c r="K19" i="9"/>
  <c r="J19" i="9"/>
  <c r="I19" i="9"/>
  <c r="H19" i="9"/>
  <c r="G19" i="9"/>
  <c r="F19" i="9"/>
  <c r="E19" i="9"/>
  <c r="D19" i="9"/>
  <c r="C19" i="9"/>
  <c r="FN23" i="5"/>
  <c r="BI95" i="4"/>
  <c r="K60" i="5"/>
  <c r="K62" i="5" s="1"/>
  <c r="K63" i="5" s="1"/>
  <c r="L61" i="5"/>
  <c r="L60" i="5"/>
  <c r="O60" i="5"/>
  <c r="O61" i="5"/>
  <c r="N61" i="5"/>
  <c r="M61" i="5"/>
  <c r="N60" i="5"/>
  <c r="M60" i="5"/>
  <c r="FW20" i="5"/>
  <c r="FW21" i="5" s="1"/>
  <c r="FV20" i="5"/>
  <c r="FV21" i="5" s="1"/>
  <c r="FU20" i="5"/>
  <c r="FT20" i="5"/>
  <c r="FR20" i="5"/>
  <c r="FR21" i="5" s="1"/>
  <c r="FQ20" i="5"/>
  <c r="FP20" i="5"/>
  <c r="FP21" i="5" s="1"/>
  <c r="FO20" i="5"/>
  <c r="FO21" i="5" s="1"/>
  <c r="FN20" i="5"/>
  <c r="FM20" i="5"/>
  <c r="FM21" i="5" s="1"/>
  <c r="FL20" i="5"/>
  <c r="FL21" i="5" s="1"/>
  <c r="FK20" i="5"/>
  <c r="FK21" i="5" s="1"/>
  <c r="FJ20" i="5"/>
  <c r="FJ21" i="5" s="1"/>
  <c r="FI20" i="5"/>
  <c r="FI21" i="5" s="1"/>
  <c r="FH20" i="5"/>
  <c r="FH21" i="5" s="1"/>
  <c r="FG20" i="5"/>
  <c r="FG21" i="5" s="1"/>
  <c r="FF20" i="5"/>
  <c r="FF21" i="5" s="1"/>
  <c r="FE20" i="5"/>
  <c r="FE21" i="5" s="1"/>
  <c r="FD20" i="5"/>
  <c r="FD21" i="5" s="1"/>
  <c r="FC20" i="5"/>
  <c r="FC21" i="5" s="1"/>
  <c r="FB20" i="5"/>
  <c r="FB21" i="5" s="1"/>
  <c r="FA20" i="5"/>
  <c r="FA21" i="5" s="1"/>
  <c r="EZ20" i="5"/>
  <c r="EZ21" i="5" s="1"/>
  <c r="EY20" i="5"/>
  <c r="EY21" i="5" s="1"/>
  <c r="EX20" i="5"/>
  <c r="EX21" i="5" s="1"/>
  <c r="EW20" i="5"/>
  <c r="EW21" i="5" s="1"/>
  <c r="EV20" i="5"/>
  <c r="EV21" i="5" s="1"/>
  <c r="EU20" i="5"/>
  <c r="EU21" i="5" s="1"/>
  <c r="ET20" i="5"/>
  <c r="ET21" i="5" s="1"/>
  <c r="ES20" i="5"/>
  <c r="ES21" i="5" s="1"/>
  <c r="ER20" i="5"/>
  <c r="ER21" i="5" s="1"/>
  <c r="EQ20" i="5"/>
  <c r="EQ21" i="5" s="1"/>
  <c r="EP20" i="5"/>
  <c r="EP21" i="5" s="1"/>
  <c r="EO20" i="5"/>
  <c r="EO21" i="5" s="1"/>
  <c r="EN20" i="5"/>
  <c r="EN21" i="5" s="1"/>
  <c r="EM20" i="5"/>
  <c r="EM21" i="5" s="1"/>
  <c r="EL20" i="5"/>
  <c r="EL21" i="5" s="1"/>
  <c r="EK20" i="5"/>
  <c r="EK21" i="5" s="1"/>
  <c r="EJ20" i="5"/>
  <c r="EJ21" i="5" s="1"/>
  <c r="EI20" i="5"/>
  <c r="EI21" i="5" s="1"/>
  <c r="EH20" i="5"/>
  <c r="EH21" i="5" s="1"/>
  <c r="EG20" i="5"/>
  <c r="EG21" i="5" s="1"/>
  <c r="EF20" i="5"/>
  <c r="EF21" i="5" s="1"/>
  <c r="EE20" i="5"/>
  <c r="EE21" i="5" s="1"/>
  <c r="ED20" i="5"/>
  <c r="ED21" i="5" s="1"/>
  <c r="EC20" i="5"/>
  <c r="EC21" i="5" s="1"/>
  <c r="EB20" i="5"/>
  <c r="EB21" i="5" s="1"/>
  <c r="EA20" i="5"/>
  <c r="EA21" i="5" s="1"/>
  <c r="DZ20" i="5"/>
  <c r="DZ21" i="5" s="1"/>
  <c r="DY20" i="5"/>
  <c r="DY21" i="5" s="1"/>
  <c r="DX20" i="5"/>
  <c r="DX21" i="5" s="1"/>
  <c r="DW20" i="5"/>
  <c r="DW21" i="5" s="1"/>
  <c r="DV20" i="5"/>
  <c r="DV21" i="5" s="1"/>
  <c r="DU20" i="5"/>
  <c r="DU21" i="5" s="1"/>
  <c r="DT20" i="5"/>
  <c r="DT21" i="5" s="1"/>
  <c r="DS20" i="5"/>
  <c r="DS21" i="5" s="1"/>
  <c r="DR20" i="5"/>
  <c r="DR21" i="5" s="1"/>
  <c r="DX25" i="5"/>
  <c r="P71" i="5"/>
  <c r="P70" i="5"/>
  <c r="P66" i="5"/>
  <c r="FY31" i="5"/>
  <c r="FX31" i="5"/>
  <c r="FX49" i="5" s="1"/>
  <c r="FW31" i="5"/>
  <c r="FW49" i="5" s="1"/>
  <c r="FV31" i="5"/>
  <c r="FV49" i="5" s="1"/>
  <c r="FU31" i="5"/>
  <c r="FT31" i="5"/>
  <c r="FS31" i="5"/>
  <c r="FR31" i="5"/>
  <c r="FR49" i="5" s="1"/>
  <c r="FQ31" i="5"/>
  <c r="FP31" i="5"/>
  <c r="FO31" i="5"/>
  <c r="FO49" i="5" s="1"/>
  <c r="FN31" i="5"/>
  <c r="FN26" i="5"/>
  <c r="FY25" i="5"/>
  <c r="FX25" i="5"/>
  <c r="FW25" i="5"/>
  <c r="FV25" i="5"/>
  <c r="FV42" i="5" s="1"/>
  <c r="FV43" i="5" s="1"/>
  <c r="FU25" i="5"/>
  <c r="FT25" i="5"/>
  <c r="FS25" i="5"/>
  <c r="FR25" i="5"/>
  <c r="FR42" i="5" s="1"/>
  <c r="FR43" i="5" s="1"/>
  <c r="FQ25" i="5"/>
  <c r="FP25" i="5"/>
  <c r="FP42" i="5" s="1"/>
  <c r="FO25" i="5"/>
  <c r="FO42" i="5" s="1"/>
  <c r="BZ56" i="5"/>
  <c r="BY56" i="5"/>
  <c r="F504" i="7"/>
  <c r="C407" i="7"/>
  <c r="F408" i="7"/>
  <c r="C409" i="7"/>
  <c r="C382" i="7"/>
  <c r="B384" i="7"/>
  <c r="E190" i="7"/>
  <c r="B190" i="7"/>
  <c r="Z502" i="8"/>
  <c r="Y502" i="8"/>
  <c r="X502" i="8"/>
  <c r="W502" i="8"/>
  <c r="V502" i="8"/>
  <c r="U502" i="8"/>
  <c r="T502" i="8"/>
  <c r="S502" i="8"/>
  <c r="R502" i="8"/>
  <c r="Q502" i="8"/>
  <c r="P502" i="8"/>
  <c r="O502" i="8"/>
  <c r="N502" i="8"/>
  <c r="M502" i="8"/>
  <c r="L502" i="8"/>
  <c r="K502" i="8"/>
  <c r="J502" i="8"/>
  <c r="I502" i="8"/>
  <c r="H502" i="8"/>
  <c r="G502" i="8"/>
  <c r="F502" i="8"/>
  <c r="E502" i="8"/>
  <c r="D502" i="8"/>
  <c r="C502" i="8"/>
  <c r="B502" i="8"/>
  <c r="Z485" i="8"/>
  <c r="Y485" i="8"/>
  <c r="X485" i="8"/>
  <c r="W485" i="8"/>
  <c r="V485" i="8"/>
  <c r="U485" i="8"/>
  <c r="T485" i="8"/>
  <c r="S485" i="8"/>
  <c r="R485" i="8"/>
  <c r="Q485" i="8"/>
  <c r="P485" i="8"/>
  <c r="O485" i="8"/>
  <c r="N485" i="8"/>
  <c r="M485" i="8"/>
  <c r="L485" i="8"/>
  <c r="K485" i="8"/>
  <c r="J485" i="8"/>
  <c r="I485" i="8"/>
  <c r="H485" i="8"/>
  <c r="G485" i="8"/>
  <c r="F485" i="8"/>
  <c r="E485" i="8"/>
  <c r="D485" i="8"/>
  <c r="C485" i="8"/>
  <c r="B485" i="8"/>
  <c r="Z475" i="8"/>
  <c r="Y475" i="8"/>
  <c r="X475" i="8"/>
  <c r="W475" i="8"/>
  <c r="V475" i="8"/>
  <c r="U475" i="8"/>
  <c r="T475" i="8"/>
  <c r="S475" i="8"/>
  <c r="R475" i="8"/>
  <c r="Q475" i="8"/>
  <c r="P475" i="8"/>
  <c r="O475" i="8"/>
  <c r="N475" i="8"/>
  <c r="M475" i="8"/>
  <c r="L475" i="8"/>
  <c r="K475" i="8"/>
  <c r="J475" i="8"/>
  <c r="I475" i="8"/>
  <c r="H475" i="8"/>
  <c r="G475" i="8"/>
  <c r="F475" i="8"/>
  <c r="E475" i="8"/>
  <c r="D475" i="8"/>
  <c r="C475" i="8"/>
  <c r="B475" i="8"/>
  <c r="Z465" i="8"/>
  <c r="Y465" i="8"/>
  <c r="X465" i="8"/>
  <c r="W465" i="8"/>
  <c r="V465" i="8"/>
  <c r="U465" i="8"/>
  <c r="T465" i="8"/>
  <c r="S465" i="8"/>
  <c r="R465" i="8"/>
  <c r="Q465" i="8"/>
  <c r="P465" i="8"/>
  <c r="O465" i="8"/>
  <c r="N465" i="8"/>
  <c r="M465" i="8"/>
  <c r="L465" i="8"/>
  <c r="K465" i="8"/>
  <c r="J465" i="8"/>
  <c r="I465" i="8"/>
  <c r="H465" i="8"/>
  <c r="G465" i="8"/>
  <c r="F465" i="8"/>
  <c r="E465" i="8"/>
  <c r="D465" i="8"/>
  <c r="C465" i="8"/>
  <c r="B465" i="8"/>
  <c r="Z452" i="8"/>
  <c r="Y452" i="8"/>
  <c r="X452" i="8"/>
  <c r="W452" i="8"/>
  <c r="V452" i="8"/>
  <c r="U452" i="8"/>
  <c r="T452" i="8"/>
  <c r="S452" i="8"/>
  <c r="R452" i="8"/>
  <c r="Q452" i="8"/>
  <c r="P452" i="8"/>
  <c r="O452" i="8"/>
  <c r="N452" i="8"/>
  <c r="M452" i="8"/>
  <c r="L452" i="8"/>
  <c r="K452" i="8"/>
  <c r="J452" i="8"/>
  <c r="I452" i="8"/>
  <c r="H452" i="8"/>
  <c r="G452" i="8"/>
  <c r="F452" i="8"/>
  <c r="E452" i="8"/>
  <c r="D452" i="8"/>
  <c r="C452" i="8"/>
  <c r="B452" i="8"/>
  <c r="Z425" i="8"/>
  <c r="Y425" i="8"/>
  <c r="X425" i="8"/>
  <c r="W425" i="8"/>
  <c r="V425" i="8"/>
  <c r="U425" i="8"/>
  <c r="T425" i="8"/>
  <c r="S425" i="8"/>
  <c r="R425" i="8"/>
  <c r="Q425" i="8"/>
  <c r="P425" i="8"/>
  <c r="O425" i="8"/>
  <c r="N425" i="8"/>
  <c r="M425" i="8"/>
  <c r="L425" i="8"/>
  <c r="K425" i="8"/>
  <c r="J425" i="8"/>
  <c r="I425" i="8"/>
  <c r="H425" i="8"/>
  <c r="G425" i="8"/>
  <c r="F425" i="8"/>
  <c r="E425" i="8"/>
  <c r="D425" i="8"/>
  <c r="C425" i="8"/>
  <c r="B425" i="8"/>
  <c r="Z405" i="8"/>
  <c r="Y405" i="8"/>
  <c r="X405" i="8"/>
  <c r="W405" i="8"/>
  <c r="V405" i="8"/>
  <c r="U405" i="8"/>
  <c r="T405" i="8"/>
  <c r="S405" i="8"/>
  <c r="R405" i="8"/>
  <c r="Q405" i="8"/>
  <c r="P405" i="8"/>
  <c r="O405" i="8"/>
  <c r="N405" i="8"/>
  <c r="M405" i="8"/>
  <c r="L405" i="8"/>
  <c r="K405" i="8"/>
  <c r="J405" i="8"/>
  <c r="I405" i="8"/>
  <c r="H405" i="8"/>
  <c r="G405" i="8"/>
  <c r="F405" i="8"/>
  <c r="E405" i="8"/>
  <c r="D405" i="8"/>
  <c r="C405" i="8"/>
  <c r="B405" i="8"/>
  <c r="Z380" i="8"/>
  <c r="Y380" i="8"/>
  <c r="X380" i="8"/>
  <c r="W380" i="8"/>
  <c r="V380" i="8"/>
  <c r="U380" i="8"/>
  <c r="T380" i="8"/>
  <c r="S380" i="8"/>
  <c r="R380" i="8"/>
  <c r="Q380" i="8"/>
  <c r="P380" i="8"/>
  <c r="O380" i="8"/>
  <c r="N380" i="8"/>
  <c r="M380" i="8"/>
  <c r="L380" i="8"/>
  <c r="K380" i="8"/>
  <c r="J380" i="8"/>
  <c r="I380" i="8"/>
  <c r="H380" i="8"/>
  <c r="G380" i="8"/>
  <c r="F380" i="8"/>
  <c r="E380" i="8"/>
  <c r="D380" i="8"/>
  <c r="C380" i="8"/>
  <c r="B380" i="8"/>
  <c r="Z330" i="8"/>
  <c r="Y330" i="8"/>
  <c r="X330" i="8"/>
  <c r="W330" i="8"/>
  <c r="V330" i="8"/>
  <c r="U330" i="8"/>
  <c r="T330" i="8"/>
  <c r="S330" i="8"/>
  <c r="R330" i="8"/>
  <c r="Q330" i="8"/>
  <c r="P330" i="8"/>
  <c r="O330" i="8"/>
  <c r="N330" i="8"/>
  <c r="M330" i="8"/>
  <c r="L330" i="8"/>
  <c r="K330" i="8"/>
  <c r="J330" i="8"/>
  <c r="I330" i="8"/>
  <c r="H330" i="8"/>
  <c r="G330" i="8"/>
  <c r="F330" i="8"/>
  <c r="E330" i="8"/>
  <c r="D330" i="8"/>
  <c r="C330" i="8"/>
  <c r="B330" i="8"/>
  <c r="Z302" i="8"/>
  <c r="Y302" i="8"/>
  <c r="X302" i="8"/>
  <c r="W302" i="8"/>
  <c r="V302" i="8"/>
  <c r="U302" i="8"/>
  <c r="T302" i="8"/>
  <c r="S302" i="8"/>
  <c r="R302" i="8"/>
  <c r="Q302" i="8"/>
  <c r="P302" i="8"/>
  <c r="O302" i="8"/>
  <c r="N302" i="8"/>
  <c r="M302" i="8"/>
  <c r="L302" i="8"/>
  <c r="K302" i="8"/>
  <c r="J302" i="8"/>
  <c r="I302" i="8"/>
  <c r="H302" i="8"/>
  <c r="G302" i="8"/>
  <c r="F302" i="8"/>
  <c r="E302" i="8"/>
  <c r="D302" i="8"/>
  <c r="C302" i="8"/>
  <c r="B302" i="8"/>
  <c r="Z255" i="8"/>
  <c r="Y255" i="8"/>
  <c r="X255" i="8"/>
  <c r="W255" i="8"/>
  <c r="V255" i="8"/>
  <c r="U255" i="8"/>
  <c r="T255" i="8"/>
  <c r="S255" i="8"/>
  <c r="R255" i="8"/>
  <c r="Q255" i="8"/>
  <c r="P255" i="8"/>
  <c r="O255" i="8"/>
  <c r="N255" i="8"/>
  <c r="M255" i="8"/>
  <c r="L255" i="8"/>
  <c r="K255" i="8"/>
  <c r="J255" i="8"/>
  <c r="I255" i="8"/>
  <c r="H255" i="8"/>
  <c r="G255" i="8"/>
  <c r="F255" i="8"/>
  <c r="E255" i="8"/>
  <c r="D255" i="8"/>
  <c r="C255" i="8"/>
  <c r="B255" i="8"/>
  <c r="Z230" i="8"/>
  <c r="Y230" i="8"/>
  <c r="X230" i="8"/>
  <c r="W230" i="8"/>
  <c r="V230" i="8"/>
  <c r="U230" i="8"/>
  <c r="T230" i="8"/>
  <c r="S230" i="8"/>
  <c r="R230" i="8"/>
  <c r="Q230" i="8"/>
  <c r="P230" i="8"/>
  <c r="O230" i="8"/>
  <c r="N230" i="8"/>
  <c r="M230" i="8"/>
  <c r="L230" i="8"/>
  <c r="K230" i="8"/>
  <c r="J230" i="8"/>
  <c r="I230" i="8"/>
  <c r="H230" i="8"/>
  <c r="G230" i="8"/>
  <c r="F230" i="8"/>
  <c r="E230" i="8"/>
  <c r="D230" i="8"/>
  <c r="C230" i="8"/>
  <c r="B230" i="8"/>
  <c r="Z185" i="8"/>
  <c r="Y185" i="8"/>
  <c r="X185" i="8"/>
  <c r="W185" i="8"/>
  <c r="V185" i="8"/>
  <c r="U185" i="8"/>
  <c r="T185" i="8"/>
  <c r="S185" i="8"/>
  <c r="R185" i="8"/>
  <c r="Q185" i="8"/>
  <c r="P185" i="8"/>
  <c r="O185" i="8"/>
  <c r="N185" i="8"/>
  <c r="M185" i="8"/>
  <c r="L185" i="8"/>
  <c r="K185" i="8"/>
  <c r="J185" i="8"/>
  <c r="I185" i="8"/>
  <c r="H185" i="8"/>
  <c r="G185" i="8"/>
  <c r="F185" i="8"/>
  <c r="E185" i="8"/>
  <c r="D185" i="8"/>
  <c r="C185" i="8"/>
  <c r="B185" i="8"/>
  <c r="Z140" i="8"/>
  <c r="Y140" i="8"/>
  <c r="X140" i="8"/>
  <c r="W140" i="8"/>
  <c r="V140" i="8"/>
  <c r="U140" i="8"/>
  <c r="T140" i="8"/>
  <c r="S140" i="8"/>
  <c r="R140" i="8"/>
  <c r="Q140" i="8"/>
  <c r="P140" i="8"/>
  <c r="O140" i="8"/>
  <c r="N140" i="8"/>
  <c r="M140" i="8"/>
  <c r="L140" i="8"/>
  <c r="K140" i="8"/>
  <c r="J140" i="8"/>
  <c r="I140" i="8"/>
  <c r="H140" i="8"/>
  <c r="G140" i="8"/>
  <c r="F140" i="8"/>
  <c r="E140" i="8"/>
  <c r="D140" i="8"/>
  <c r="C140" i="8"/>
  <c r="B140" i="8"/>
  <c r="Z102" i="8"/>
  <c r="Y102" i="8"/>
  <c r="X102" i="8"/>
  <c r="W102" i="8"/>
  <c r="V102" i="8"/>
  <c r="U102" i="8"/>
  <c r="T102" i="8"/>
  <c r="S102" i="8"/>
  <c r="R102" i="8"/>
  <c r="Q102" i="8"/>
  <c r="P102" i="8"/>
  <c r="O102" i="8"/>
  <c r="N102" i="8"/>
  <c r="M102" i="8"/>
  <c r="L102" i="8"/>
  <c r="K102" i="8"/>
  <c r="J102" i="8"/>
  <c r="I102" i="8"/>
  <c r="H102" i="8"/>
  <c r="G102" i="8"/>
  <c r="F102" i="8"/>
  <c r="E102" i="8"/>
  <c r="D102" i="8"/>
  <c r="C102" i="8"/>
  <c r="B102" i="8"/>
  <c r="Z70" i="8"/>
  <c r="Y70" i="8"/>
  <c r="X70" i="8"/>
  <c r="W70" i="8"/>
  <c r="V70" i="8"/>
  <c r="U70" i="8"/>
  <c r="T70" i="8"/>
  <c r="S70" i="8"/>
  <c r="R70" i="8"/>
  <c r="Q70" i="8"/>
  <c r="P70" i="8"/>
  <c r="O70" i="8"/>
  <c r="N70" i="8"/>
  <c r="M70" i="8"/>
  <c r="L70" i="8"/>
  <c r="K70" i="8"/>
  <c r="J70" i="8"/>
  <c r="I70" i="8"/>
  <c r="H70" i="8"/>
  <c r="G70" i="8"/>
  <c r="F70" i="8"/>
  <c r="E70" i="8"/>
  <c r="D70" i="8"/>
  <c r="C70" i="8"/>
  <c r="B70" i="8"/>
  <c r="B6" i="8"/>
  <c r="A3" i="8"/>
  <c r="Z502" i="7"/>
  <c r="Y502" i="7"/>
  <c r="X502" i="7"/>
  <c r="W502" i="7"/>
  <c r="V502" i="7"/>
  <c r="U502" i="7"/>
  <c r="T502" i="7"/>
  <c r="S502" i="7"/>
  <c r="R502" i="7"/>
  <c r="Q502" i="7"/>
  <c r="P502" i="7"/>
  <c r="O502" i="7"/>
  <c r="N502" i="7"/>
  <c r="M502" i="7"/>
  <c r="L502" i="7"/>
  <c r="K502" i="7"/>
  <c r="J502" i="7"/>
  <c r="I502" i="7"/>
  <c r="H502" i="7"/>
  <c r="G502" i="7"/>
  <c r="F502" i="7"/>
  <c r="E502" i="7"/>
  <c r="D502" i="7"/>
  <c r="C502" i="7"/>
  <c r="B502" i="7"/>
  <c r="Z485" i="7"/>
  <c r="Y485" i="7"/>
  <c r="X485" i="7"/>
  <c r="W485" i="7"/>
  <c r="V485" i="7"/>
  <c r="U485" i="7"/>
  <c r="T485" i="7"/>
  <c r="S485" i="7"/>
  <c r="R485" i="7"/>
  <c r="Q485" i="7"/>
  <c r="P485" i="7"/>
  <c r="O485" i="7"/>
  <c r="N485" i="7"/>
  <c r="M485" i="7"/>
  <c r="L485" i="7"/>
  <c r="K485" i="7"/>
  <c r="J485" i="7"/>
  <c r="I485" i="7"/>
  <c r="H485" i="7"/>
  <c r="G485" i="7"/>
  <c r="F485" i="7"/>
  <c r="E485" i="7"/>
  <c r="D485" i="7"/>
  <c r="C485" i="7"/>
  <c r="B485" i="7"/>
  <c r="Z475" i="7"/>
  <c r="Y475" i="7"/>
  <c r="X475" i="7"/>
  <c r="W475" i="7"/>
  <c r="V475" i="7"/>
  <c r="U475" i="7"/>
  <c r="T475" i="7"/>
  <c r="S475" i="7"/>
  <c r="R475" i="7"/>
  <c r="Q475" i="7"/>
  <c r="P475" i="7"/>
  <c r="O475" i="7"/>
  <c r="N475" i="7"/>
  <c r="M475" i="7"/>
  <c r="L475" i="7"/>
  <c r="K475" i="7"/>
  <c r="J475" i="7"/>
  <c r="I475" i="7"/>
  <c r="H475" i="7"/>
  <c r="G475" i="7"/>
  <c r="F475" i="7"/>
  <c r="E475" i="7"/>
  <c r="D475" i="7"/>
  <c r="C475" i="7"/>
  <c r="B475" i="7"/>
  <c r="Z465" i="7"/>
  <c r="Y465" i="7"/>
  <c r="X465" i="7"/>
  <c r="W465" i="7"/>
  <c r="V465" i="7"/>
  <c r="U465" i="7"/>
  <c r="T465" i="7"/>
  <c r="S465" i="7"/>
  <c r="R465" i="7"/>
  <c r="Q465" i="7"/>
  <c r="P465" i="7"/>
  <c r="O465" i="7"/>
  <c r="N465" i="7"/>
  <c r="M465" i="7"/>
  <c r="L465" i="7"/>
  <c r="K465" i="7"/>
  <c r="J465" i="7"/>
  <c r="I465" i="7"/>
  <c r="H465" i="7"/>
  <c r="G465" i="7"/>
  <c r="F465" i="7"/>
  <c r="E465" i="7"/>
  <c r="D465" i="7"/>
  <c r="C465" i="7"/>
  <c r="B465" i="7"/>
  <c r="Z452" i="7"/>
  <c r="Y452" i="7"/>
  <c r="X452" i="7"/>
  <c r="W452" i="7"/>
  <c r="V452" i="7"/>
  <c r="U452" i="7"/>
  <c r="T452" i="7"/>
  <c r="S452" i="7"/>
  <c r="R452" i="7"/>
  <c r="Q452" i="7"/>
  <c r="P452" i="7"/>
  <c r="O452" i="7"/>
  <c r="N452" i="7"/>
  <c r="M452" i="7"/>
  <c r="L452" i="7"/>
  <c r="K452" i="7"/>
  <c r="J452" i="7"/>
  <c r="I452" i="7"/>
  <c r="H452" i="7"/>
  <c r="G452" i="7"/>
  <c r="F452" i="7"/>
  <c r="E452" i="7"/>
  <c r="D452" i="7"/>
  <c r="C452" i="7"/>
  <c r="B452" i="7"/>
  <c r="Z425" i="7"/>
  <c r="Y425" i="7"/>
  <c r="X425" i="7"/>
  <c r="W425" i="7"/>
  <c r="V425" i="7"/>
  <c r="U425" i="7"/>
  <c r="T425" i="7"/>
  <c r="S425" i="7"/>
  <c r="R425" i="7"/>
  <c r="Q425" i="7"/>
  <c r="P425" i="7"/>
  <c r="O425" i="7"/>
  <c r="N425" i="7"/>
  <c r="M425" i="7"/>
  <c r="L425" i="7"/>
  <c r="K425" i="7"/>
  <c r="J425" i="7"/>
  <c r="I425" i="7"/>
  <c r="H425" i="7"/>
  <c r="G425" i="7"/>
  <c r="F425" i="7"/>
  <c r="E425" i="7"/>
  <c r="D425" i="7"/>
  <c r="C425" i="7"/>
  <c r="B425" i="7"/>
  <c r="Z405" i="7"/>
  <c r="Y405" i="7"/>
  <c r="X405" i="7"/>
  <c r="W405" i="7"/>
  <c r="V405" i="7"/>
  <c r="U405" i="7"/>
  <c r="T405" i="7"/>
  <c r="S405" i="7"/>
  <c r="R405" i="7"/>
  <c r="Q405" i="7"/>
  <c r="P405" i="7"/>
  <c r="O405" i="7"/>
  <c r="N405" i="7"/>
  <c r="M405" i="7"/>
  <c r="L405" i="7"/>
  <c r="K405" i="7"/>
  <c r="J405" i="7"/>
  <c r="I405" i="7"/>
  <c r="H405" i="7"/>
  <c r="G405" i="7"/>
  <c r="F405" i="7"/>
  <c r="E405" i="7"/>
  <c r="D405" i="7"/>
  <c r="C405" i="7"/>
  <c r="B405" i="7"/>
  <c r="Z380" i="7"/>
  <c r="Y380" i="7"/>
  <c r="X380" i="7"/>
  <c r="W380" i="7"/>
  <c r="V380" i="7"/>
  <c r="U380" i="7"/>
  <c r="T380" i="7"/>
  <c r="S380" i="7"/>
  <c r="R380" i="7"/>
  <c r="Q380" i="7"/>
  <c r="P380" i="7"/>
  <c r="O380" i="7"/>
  <c r="N380" i="7"/>
  <c r="M380" i="7"/>
  <c r="L380" i="7"/>
  <c r="K380" i="7"/>
  <c r="J380" i="7"/>
  <c r="I380" i="7"/>
  <c r="H380" i="7"/>
  <c r="G380" i="7"/>
  <c r="F380" i="7"/>
  <c r="E380" i="7"/>
  <c r="D380" i="7"/>
  <c r="C380" i="7"/>
  <c r="B380" i="7"/>
  <c r="Z330" i="7"/>
  <c r="Y330" i="7"/>
  <c r="X330" i="7"/>
  <c r="W330" i="7"/>
  <c r="V330" i="7"/>
  <c r="U330" i="7"/>
  <c r="T330" i="7"/>
  <c r="S330" i="7"/>
  <c r="R330" i="7"/>
  <c r="Q330" i="7"/>
  <c r="P330" i="7"/>
  <c r="O330" i="7"/>
  <c r="N330" i="7"/>
  <c r="M330" i="7"/>
  <c r="L330" i="7"/>
  <c r="K330" i="7"/>
  <c r="J330" i="7"/>
  <c r="I330" i="7"/>
  <c r="H330" i="7"/>
  <c r="G330" i="7"/>
  <c r="F330" i="7"/>
  <c r="E330" i="7"/>
  <c r="D330" i="7"/>
  <c r="C330" i="7"/>
  <c r="B330" i="7"/>
  <c r="Z302" i="7"/>
  <c r="Y302" i="7"/>
  <c r="X302" i="7"/>
  <c r="W302" i="7"/>
  <c r="V302" i="7"/>
  <c r="U302" i="7"/>
  <c r="T302" i="7"/>
  <c r="S302" i="7"/>
  <c r="R302" i="7"/>
  <c r="Q302" i="7"/>
  <c r="P302" i="7"/>
  <c r="O302" i="7"/>
  <c r="N302" i="7"/>
  <c r="M302" i="7"/>
  <c r="L302" i="7"/>
  <c r="K302" i="7"/>
  <c r="J302" i="7"/>
  <c r="I302" i="7"/>
  <c r="H302" i="7"/>
  <c r="G302" i="7"/>
  <c r="F302" i="7"/>
  <c r="E302" i="7"/>
  <c r="D302" i="7"/>
  <c r="C302" i="7"/>
  <c r="B302" i="7"/>
  <c r="Z255" i="7"/>
  <c r="Y255" i="7"/>
  <c r="X255" i="7"/>
  <c r="W255" i="7"/>
  <c r="V255" i="7"/>
  <c r="U255" i="7"/>
  <c r="T255" i="7"/>
  <c r="S255" i="7"/>
  <c r="R255" i="7"/>
  <c r="Q255" i="7"/>
  <c r="P255" i="7"/>
  <c r="O255" i="7"/>
  <c r="N255" i="7"/>
  <c r="M255" i="7"/>
  <c r="L255" i="7"/>
  <c r="K255" i="7"/>
  <c r="J255" i="7"/>
  <c r="I255" i="7"/>
  <c r="H255" i="7"/>
  <c r="G255" i="7"/>
  <c r="F255" i="7"/>
  <c r="E255" i="7"/>
  <c r="D255" i="7"/>
  <c r="C255" i="7"/>
  <c r="B255" i="7"/>
  <c r="Z230" i="7"/>
  <c r="Y230" i="7"/>
  <c r="X230" i="7"/>
  <c r="W230" i="7"/>
  <c r="V230" i="7"/>
  <c r="U230" i="7"/>
  <c r="T230" i="7"/>
  <c r="S230" i="7"/>
  <c r="R230" i="7"/>
  <c r="Q230" i="7"/>
  <c r="P230" i="7"/>
  <c r="O230" i="7"/>
  <c r="N230" i="7"/>
  <c r="M230" i="7"/>
  <c r="L230" i="7"/>
  <c r="K230" i="7"/>
  <c r="J230" i="7"/>
  <c r="I230" i="7"/>
  <c r="H230" i="7"/>
  <c r="G230" i="7"/>
  <c r="F230" i="7"/>
  <c r="E230" i="7"/>
  <c r="D230" i="7"/>
  <c r="C230" i="7"/>
  <c r="B230" i="7"/>
  <c r="Z185" i="7"/>
  <c r="Y185" i="7"/>
  <c r="X185" i="7"/>
  <c r="W185" i="7"/>
  <c r="V185" i="7"/>
  <c r="U185" i="7"/>
  <c r="T185" i="7"/>
  <c r="S185" i="7"/>
  <c r="R185" i="7"/>
  <c r="Q185" i="7"/>
  <c r="P185" i="7"/>
  <c r="O185" i="7"/>
  <c r="N185" i="7"/>
  <c r="M185" i="7"/>
  <c r="L185" i="7"/>
  <c r="K185" i="7"/>
  <c r="J185" i="7"/>
  <c r="I185" i="7"/>
  <c r="H185" i="7"/>
  <c r="G185" i="7"/>
  <c r="F185" i="7"/>
  <c r="E185" i="7"/>
  <c r="D185" i="7"/>
  <c r="C185" i="7"/>
  <c r="B185" i="7"/>
  <c r="Z140" i="7"/>
  <c r="Y140" i="7"/>
  <c r="X140" i="7"/>
  <c r="W140" i="7"/>
  <c r="V140" i="7"/>
  <c r="U140" i="7"/>
  <c r="T140" i="7"/>
  <c r="S140" i="7"/>
  <c r="R140" i="7"/>
  <c r="Q140" i="7"/>
  <c r="P140" i="7"/>
  <c r="O140" i="7"/>
  <c r="N140" i="7"/>
  <c r="M140" i="7"/>
  <c r="L140" i="7"/>
  <c r="K140" i="7"/>
  <c r="J140" i="7"/>
  <c r="I140" i="7"/>
  <c r="H140" i="7"/>
  <c r="G140" i="7"/>
  <c r="F140" i="7"/>
  <c r="E140" i="7"/>
  <c r="D140" i="7"/>
  <c r="C140" i="7"/>
  <c r="B140" i="7"/>
  <c r="Z102" i="7"/>
  <c r="Y102" i="7"/>
  <c r="X102" i="7"/>
  <c r="W102" i="7"/>
  <c r="V102" i="7"/>
  <c r="U102" i="7"/>
  <c r="T102" i="7"/>
  <c r="S102" i="7"/>
  <c r="R102" i="7"/>
  <c r="Q102" i="7"/>
  <c r="P102" i="7"/>
  <c r="O102" i="7"/>
  <c r="N102" i="7"/>
  <c r="M102" i="7"/>
  <c r="L102" i="7"/>
  <c r="K102" i="7"/>
  <c r="J102" i="7"/>
  <c r="I102" i="7"/>
  <c r="H102" i="7"/>
  <c r="G102" i="7"/>
  <c r="F102" i="7"/>
  <c r="E102" i="7"/>
  <c r="D102" i="7"/>
  <c r="C102" i="7"/>
  <c r="B102" i="7"/>
  <c r="Z70" i="7"/>
  <c r="Y70" i="7"/>
  <c r="X70" i="7"/>
  <c r="W70" i="7"/>
  <c r="V70" i="7"/>
  <c r="U70" i="7"/>
  <c r="T70" i="7"/>
  <c r="S70" i="7"/>
  <c r="R70" i="7"/>
  <c r="Q70" i="7"/>
  <c r="P70" i="7"/>
  <c r="O70" i="7"/>
  <c r="N70" i="7"/>
  <c r="M70" i="7"/>
  <c r="L70" i="7"/>
  <c r="K70" i="7"/>
  <c r="J70" i="7"/>
  <c r="I70" i="7"/>
  <c r="H70" i="7"/>
  <c r="G70" i="7"/>
  <c r="F70" i="7"/>
  <c r="E70" i="7"/>
  <c r="D70" i="7"/>
  <c r="C70" i="7"/>
  <c r="B70" i="7"/>
  <c r="B6" i="7"/>
  <c r="D506" i="7" s="1"/>
  <c r="A3" i="7"/>
  <c r="AM56" i="5"/>
  <c r="AN56" i="5"/>
  <c r="AO56" i="5"/>
  <c r="AP56" i="5"/>
  <c r="AQ56" i="5"/>
  <c r="AR56" i="5"/>
  <c r="AS56" i="5"/>
  <c r="AT56" i="5"/>
  <c r="AU56" i="5"/>
  <c r="AV56" i="5"/>
  <c r="AW56" i="5"/>
  <c r="AX56" i="5"/>
  <c r="AY56" i="5"/>
  <c r="AZ56" i="5"/>
  <c r="BA56" i="5"/>
  <c r="BB56" i="5"/>
  <c r="BC56" i="5"/>
  <c r="BD56" i="5"/>
  <c r="BE56" i="5"/>
  <c r="BF56" i="5"/>
  <c r="BG56" i="5"/>
  <c r="BJ56" i="5"/>
  <c r="BK56" i="5"/>
  <c r="BL56" i="5"/>
  <c r="BM56" i="5"/>
  <c r="BN56" i="5"/>
  <c r="BO56" i="5"/>
  <c r="BP56" i="5"/>
  <c r="BQ56" i="5"/>
  <c r="BR56" i="5"/>
  <c r="BS56" i="5"/>
  <c r="BT56" i="5"/>
  <c r="BU56" i="5"/>
  <c r="BV56" i="5"/>
  <c r="BW56" i="5"/>
  <c r="BX56" i="5"/>
  <c r="CT83" i="5"/>
  <c r="O65" i="5"/>
  <c r="FF25" i="5"/>
  <c r="FF42" i="5" s="1"/>
  <c r="FD31" i="5"/>
  <c r="FE31" i="5"/>
  <c r="FF31" i="5"/>
  <c r="FB16" i="5"/>
  <c r="O66" i="5"/>
  <c r="N65" i="5"/>
  <c r="FM31" i="5"/>
  <c r="FL31" i="5"/>
  <c r="FK31" i="5"/>
  <c r="FJ31" i="5"/>
  <c r="FI31" i="5"/>
  <c r="FH31" i="5"/>
  <c r="FG31" i="5"/>
  <c r="FC31" i="5"/>
  <c r="FB31" i="5"/>
  <c r="O74" i="5"/>
  <c r="O72" i="5"/>
  <c r="O71" i="5"/>
  <c r="O70" i="5"/>
  <c r="FB25" i="5"/>
  <c r="FB42" i="5" s="1"/>
  <c r="FC25" i="5"/>
  <c r="FC42" i="5" s="1"/>
  <c r="FD25" i="5"/>
  <c r="FD42" i="5" s="1"/>
  <c r="FG25" i="5"/>
  <c r="FG42" i="5" s="1"/>
  <c r="FH25" i="5"/>
  <c r="FH42" i="5" s="1"/>
  <c r="FI25" i="5"/>
  <c r="FI42" i="5" s="1"/>
  <c r="FJ25" i="5"/>
  <c r="FJ42" i="5" s="1"/>
  <c r="FK25" i="5"/>
  <c r="FK42" i="5" s="1"/>
  <c r="FL25" i="5"/>
  <c r="FL42" i="5" s="1"/>
  <c r="FM25" i="5"/>
  <c r="FM42" i="5" s="1"/>
  <c r="CS83" i="5"/>
  <c r="N74" i="5"/>
  <c r="N71" i="5"/>
  <c r="N72" i="5"/>
  <c r="N70" i="5"/>
  <c r="N66" i="5"/>
  <c r="EX31" i="5"/>
  <c r="EY31" i="5"/>
  <c r="EP25" i="5"/>
  <c r="EP42" i="5" s="1"/>
  <c r="EQ25" i="5"/>
  <c r="EQ42" i="5" s="1"/>
  <c r="ER25" i="5"/>
  <c r="ER42" i="5" s="1"/>
  <c r="ES25" i="5"/>
  <c r="ES42" i="5" s="1"/>
  <c r="ET25" i="5"/>
  <c r="ET42" i="5" s="1"/>
  <c r="EU25" i="5"/>
  <c r="EU42" i="5" s="1"/>
  <c r="EV25" i="5"/>
  <c r="EW25" i="5"/>
  <c r="EW42" i="5" s="1"/>
  <c r="EX25" i="5"/>
  <c r="EX42" i="5" s="1"/>
  <c r="EY25" i="5"/>
  <c r="EY42" i="5" s="1"/>
  <c r="EZ25" i="5"/>
  <c r="EZ42" i="5" s="1"/>
  <c r="FA25" i="5"/>
  <c r="FA42" i="5" s="1"/>
  <c r="EP31" i="5"/>
  <c r="EQ31" i="5"/>
  <c r="ER31" i="5"/>
  <c r="ES31" i="5"/>
  <c r="ET31" i="5"/>
  <c r="EU31" i="5"/>
  <c r="EV31" i="5"/>
  <c r="EW31" i="5"/>
  <c r="EZ31" i="5"/>
  <c r="FA31" i="5"/>
  <c r="G242" i="5"/>
  <c r="G243" i="5"/>
  <c r="G241" i="5"/>
  <c r="F235" i="5"/>
  <c r="F237" i="5"/>
  <c r="G230" i="5"/>
  <c r="G231" i="5"/>
  <c r="G229" i="5"/>
  <c r="G224" i="5"/>
  <c r="G225" i="5"/>
  <c r="G223" i="5"/>
  <c r="BK175" i="5"/>
  <c r="BL175" i="5"/>
  <c r="BM175" i="5"/>
  <c r="BN175" i="5"/>
  <c r="BK163" i="5"/>
  <c r="BL163" i="5"/>
  <c r="BM163" i="5"/>
  <c r="BN163" i="5"/>
  <c r="BK157" i="5"/>
  <c r="BL157" i="5"/>
  <c r="BM157" i="5"/>
  <c r="BN157" i="5"/>
  <c r="BZ175" i="5"/>
  <c r="BY175" i="5"/>
  <c r="BX175" i="5"/>
  <c r="BW175" i="5"/>
  <c r="BV175" i="5"/>
  <c r="BU175" i="5"/>
  <c r="BQ175" i="5"/>
  <c r="BO175" i="5"/>
  <c r="BT175" i="5"/>
  <c r="BP175" i="5"/>
  <c r="BZ169" i="5"/>
  <c r="BY169" i="5"/>
  <c r="BX169" i="5"/>
  <c r="BW169" i="5"/>
  <c r="BV169" i="5"/>
  <c r="BU169" i="5"/>
  <c r="BT169" i="5"/>
  <c r="BS169" i="5"/>
  <c r="BR169" i="5"/>
  <c r="BQ169" i="5"/>
  <c r="BO169" i="5"/>
  <c r="BP169" i="5"/>
  <c r="BW163" i="5"/>
  <c r="BV163" i="5"/>
  <c r="BU163" i="5"/>
  <c r="BT163" i="5"/>
  <c r="BZ157" i="5"/>
  <c r="BY157" i="5"/>
  <c r="BX157" i="5"/>
  <c r="BW157" i="5"/>
  <c r="BV157" i="5"/>
  <c r="BU157" i="5"/>
  <c r="BT157" i="5"/>
  <c r="BS157" i="5"/>
  <c r="BR157" i="5"/>
  <c r="BQ157" i="5"/>
  <c r="BO157" i="5"/>
  <c r="BP157" i="5"/>
  <c r="BK169" i="5"/>
  <c r="BX163" i="5"/>
  <c r="BY163" i="5"/>
  <c r="BR163" i="5"/>
  <c r="BZ163" i="5"/>
  <c r="BO163" i="5"/>
  <c r="BQ163" i="5"/>
  <c r="BS163" i="5"/>
  <c r="BR175" i="5"/>
  <c r="BS175" i="5"/>
  <c r="BP163" i="5"/>
  <c r="CN83" i="5"/>
  <c r="CO83" i="5"/>
  <c r="CQ83" i="5"/>
  <c r="CR83" i="5"/>
  <c r="CM83" i="5"/>
  <c r="CB83" i="5"/>
  <c r="CC83" i="5"/>
  <c r="CD83" i="5"/>
  <c r="CE83" i="5"/>
  <c r="CF83" i="5"/>
  <c r="CG83" i="5"/>
  <c r="CH83" i="5"/>
  <c r="CI83" i="5"/>
  <c r="CJ83" i="5"/>
  <c r="CK83" i="5"/>
  <c r="CL83" i="5"/>
  <c r="CA83" i="5"/>
  <c r="EL25" i="5"/>
  <c r="EL42" i="5" s="1"/>
  <c r="V68" i="4"/>
  <c r="V67" i="4"/>
  <c r="U68" i="4"/>
  <c r="U67" i="4"/>
  <c r="T67" i="4"/>
  <c r="W69" i="4"/>
  <c r="BX67" i="4"/>
  <c r="BY67" i="4" s="1"/>
  <c r="BZ67" i="4" s="1"/>
  <c r="CA67" i="4" s="1"/>
  <c r="CB67" i="4" s="1"/>
  <c r="CC67" i="4" s="1"/>
  <c r="CD67" i="4" s="1"/>
  <c r="CE67" i="4" s="1"/>
  <c r="CF67" i="4" s="1"/>
  <c r="CG67" i="4" s="1"/>
  <c r="BJ178" i="5"/>
  <c r="BJ179" i="5"/>
  <c r="BJ180" i="5"/>
  <c r="BJ162" i="5"/>
  <c r="BJ161" i="5"/>
  <c r="BJ160" i="5"/>
  <c r="BI161" i="5"/>
  <c r="BI167" i="5" s="1"/>
  <c r="F236" i="5" s="1"/>
  <c r="BJ175" i="5"/>
  <c r="BJ169" i="5"/>
  <c r="BJ157" i="5"/>
  <c r="M70" i="5"/>
  <c r="BI180" i="5"/>
  <c r="BI162" i="5"/>
  <c r="BI178" i="5"/>
  <c r="BI160" i="5"/>
  <c r="BI173" i="5"/>
  <c r="F242" i="5" s="1"/>
  <c r="BI157" i="5"/>
  <c r="BE156" i="5"/>
  <c r="BE162" i="5" s="1"/>
  <c r="BH180" i="5"/>
  <c r="BH179" i="5"/>
  <c r="BH178" i="5"/>
  <c r="BH175" i="5"/>
  <c r="BF169" i="5"/>
  <c r="BG169" i="5"/>
  <c r="BH169" i="5"/>
  <c r="BF163" i="5"/>
  <c r="BG163" i="5"/>
  <c r="BF157" i="5"/>
  <c r="BG157" i="5"/>
  <c r="BH157" i="5"/>
  <c r="BH162" i="5"/>
  <c r="BH161" i="5"/>
  <c r="BH160" i="5"/>
  <c r="BE154" i="5"/>
  <c r="BE160" i="5" s="1"/>
  <c r="BE155" i="5"/>
  <c r="BE161" i="5" s="1"/>
  <c r="BD156" i="5"/>
  <c r="BD162" i="5" s="1"/>
  <c r="BD155" i="5"/>
  <c r="BD161" i="5" s="1"/>
  <c r="BD169" i="5"/>
  <c r="BE169" i="5"/>
  <c r="BB157" i="5"/>
  <c r="BC157" i="5"/>
  <c r="BC169" i="5"/>
  <c r="BC175" i="5"/>
  <c r="BC178" i="5"/>
  <c r="BC179" i="5"/>
  <c r="BC180" i="5"/>
  <c r="BC160" i="5"/>
  <c r="BC161" i="5"/>
  <c r="BC162" i="5"/>
  <c r="M74" i="5"/>
  <c r="M72" i="5"/>
  <c r="M66" i="5"/>
  <c r="M65" i="5"/>
  <c r="F243" i="5"/>
  <c r="F241" i="5"/>
  <c r="BB160" i="5"/>
  <c r="BB161" i="5"/>
  <c r="BB162" i="5"/>
  <c r="BB169" i="5"/>
  <c r="BB175" i="5"/>
  <c r="BB178" i="5"/>
  <c r="BB179" i="5"/>
  <c r="BB180" i="5"/>
  <c r="EO25" i="5"/>
  <c r="EO42" i="5" s="1"/>
  <c r="EO31" i="5"/>
  <c r="ED25" i="5"/>
  <c r="ED42" i="5" s="1"/>
  <c r="EE25" i="5"/>
  <c r="EE42" i="5" s="1"/>
  <c r="EF25" i="5"/>
  <c r="EF42" i="5" s="1"/>
  <c r="EG25" i="5"/>
  <c r="EG42" i="5" s="1"/>
  <c r="EH25" i="5"/>
  <c r="EH42" i="5" s="1"/>
  <c r="EI25" i="5"/>
  <c r="EI42" i="5" s="1"/>
  <c r="EJ25" i="5"/>
  <c r="EJ42" i="5" s="1"/>
  <c r="EK25" i="5"/>
  <c r="EK42" i="5" s="1"/>
  <c r="EM25" i="5"/>
  <c r="EM42" i="5" s="1"/>
  <c r="EN25" i="5"/>
  <c r="ED31" i="5"/>
  <c r="EE31" i="5"/>
  <c r="EF31" i="5"/>
  <c r="EG31" i="5"/>
  <c r="EH31" i="5"/>
  <c r="EI31" i="5"/>
  <c r="EJ31" i="5"/>
  <c r="EK31" i="5"/>
  <c r="EN31" i="5"/>
  <c r="EL33" i="5"/>
  <c r="BA175" i="5"/>
  <c r="BA178" i="5"/>
  <c r="BA179" i="5"/>
  <c r="BA180" i="5"/>
  <c r="BA169" i="5"/>
  <c r="BA157" i="5"/>
  <c r="BA160" i="5"/>
  <c r="BA161" i="5"/>
  <c r="BA162" i="5"/>
  <c r="AZ178" i="5"/>
  <c r="AZ179" i="5"/>
  <c r="AZ180" i="5"/>
  <c r="AZ175" i="5"/>
  <c r="AZ169" i="5"/>
  <c r="AZ157" i="5"/>
  <c r="AZ160" i="5"/>
  <c r="AZ161" i="5"/>
  <c r="AZ162" i="5"/>
  <c r="AY160" i="5"/>
  <c r="AY161" i="5"/>
  <c r="AY162" i="5"/>
  <c r="AY175" i="5"/>
  <c r="AY169" i="5"/>
  <c r="AY157" i="5"/>
  <c r="AY178" i="5"/>
  <c r="AY179" i="5"/>
  <c r="AY180" i="5"/>
  <c r="L74" i="5"/>
  <c r="AX160" i="5"/>
  <c r="AX161" i="5"/>
  <c r="AX162" i="5"/>
  <c r="AX178" i="5"/>
  <c r="AX179" i="5"/>
  <c r="AX180" i="5"/>
  <c r="AX175" i="5"/>
  <c r="AX169" i="5"/>
  <c r="AX157" i="5"/>
  <c r="L127" i="4"/>
  <c r="M127" i="4"/>
  <c r="N169" i="4"/>
  <c r="N176" i="4" s="1"/>
  <c r="M170" i="4"/>
  <c r="O170" i="4"/>
  <c r="P170" i="4"/>
  <c r="L171" i="4"/>
  <c r="L178" i="4" s="1"/>
  <c r="M171" i="4"/>
  <c r="N171" i="4"/>
  <c r="O171" i="4"/>
  <c r="P171" i="4"/>
  <c r="M168" i="4"/>
  <c r="N168" i="4"/>
  <c r="L168" i="4"/>
  <c r="AW175" i="5"/>
  <c r="AW178" i="5"/>
  <c r="AW179" i="5"/>
  <c r="AW180" i="5"/>
  <c r="AW169" i="5"/>
  <c r="AW157" i="5"/>
  <c r="AW160" i="5"/>
  <c r="AW161" i="5"/>
  <c r="AW162" i="5"/>
  <c r="AV162" i="5"/>
  <c r="AV161" i="5"/>
  <c r="AV160" i="5"/>
  <c r="AU172" i="5"/>
  <c r="AU175" i="5" s="1"/>
  <c r="AT172" i="5"/>
  <c r="AT175" i="5" s="1"/>
  <c r="AV157" i="5"/>
  <c r="AV169" i="5"/>
  <c r="AV179" i="5"/>
  <c r="AV180" i="5"/>
  <c r="AU179" i="5"/>
  <c r="AU180" i="5"/>
  <c r="AU157" i="5"/>
  <c r="AU169" i="5"/>
  <c r="AU161" i="5"/>
  <c r="AU162" i="5"/>
  <c r="AU160" i="5"/>
  <c r="DW25" i="5"/>
  <c r="DW42" i="5" s="1"/>
  <c r="DY25" i="5"/>
  <c r="DY42" i="5" s="1"/>
  <c r="AT169" i="5"/>
  <c r="AT157" i="5"/>
  <c r="AT179" i="5"/>
  <c r="AT180" i="5"/>
  <c r="AT161" i="5"/>
  <c r="AT162" i="5"/>
  <c r="AT160" i="5"/>
  <c r="AS178" i="5"/>
  <c r="AS179" i="5"/>
  <c r="AS180" i="5"/>
  <c r="AS175" i="5"/>
  <c r="AS169" i="5"/>
  <c r="AS157" i="5"/>
  <c r="AS160" i="5"/>
  <c r="AS161" i="5"/>
  <c r="AS162" i="5"/>
  <c r="DS15" i="5"/>
  <c r="AR179" i="5"/>
  <c r="AR180" i="5"/>
  <c r="AR172" i="5"/>
  <c r="AR175" i="5" s="1"/>
  <c r="AR161" i="5"/>
  <c r="AR162" i="5"/>
  <c r="AR154" i="5"/>
  <c r="E223" i="5" s="1"/>
  <c r="AR166" i="5"/>
  <c r="AR169" i="5" s="1"/>
  <c r="AQ178" i="5"/>
  <c r="AQ179" i="5"/>
  <c r="AQ180" i="5"/>
  <c r="AQ175" i="5"/>
  <c r="AQ169" i="5"/>
  <c r="AQ157" i="5"/>
  <c r="AQ160" i="5"/>
  <c r="AQ161" i="5"/>
  <c r="AQ162" i="5"/>
  <c r="K74" i="5"/>
  <c r="J74" i="5"/>
  <c r="I74" i="5"/>
  <c r="H74" i="5"/>
  <c r="G74" i="5"/>
  <c r="F74" i="5"/>
  <c r="L72" i="5"/>
  <c r="J72" i="5"/>
  <c r="I72" i="5"/>
  <c r="H72" i="5"/>
  <c r="G72" i="5"/>
  <c r="F72" i="5"/>
  <c r="L71" i="5"/>
  <c r="K71" i="5"/>
  <c r="J71" i="5"/>
  <c r="I71" i="5"/>
  <c r="H71" i="5"/>
  <c r="G71" i="5"/>
  <c r="F71" i="5"/>
  <c r="L70" i="5"/>
  <c r="K70" i="5"/>
  <c r="J70" i="5"/>
  <c r="I70" i="5"/>
  <c r="H70" i="5"/>
  <c r="G70" i="5"/>
  <c r="F70" i="5"/>
  <c r="F66" i="5"/>
  <c r="G66" i="5"/>
  <c r="H66" i="5"/>
  <c r="I66" i="5"/>
  <c r="J66" i="5"/>
  <c r="L66" i="5"/>
  <c r="L65" i="5"/>
  <c r="J65" i="5"/>
  <c r="I65" i="5"/>
  <c r="H65" i="5"/>
  <c r="G65" i="5"/>
  <c r="F65" i="5"/>
  <c r="DR25" i="5"/>
  <c r="DR42" i="5" s="1"/>
  <c r="DS25" i="5"/>
  <c r="DS42" i="5" s="1"/>
  <c r="DT25" i="5"/>
  <c r="DT42" i="5" s="1"/>
  <c r="DU25" i="5"/>
  <c r="DU42" i="5" s="1"/>
  <c r="DV25" i="5"/>
  <c r="DV42" i="5" s="1"/>
  <c r="DZ25" i="5"/>
  <c r="DZ42" i="5" s="1"/>
  <c r="EA25" i="5"/>
  <c r="EA42" i="5" s="1"/>
  <c r="EB25" i="5"/>
  <c r="EB42" i="5" s="1"/>
  <c r="EC25" i="5"/>
  <c r="EC42" i="5" s="1"/>
  <c r="DW31" i="5"/>
  <c r="DR31" i="5"/>
  <c r="DS31" i="5"/>
  <c r="DT31" i="5"/>
  <c r="DU31" i="5"/>
  <c r="DV31" i="5"/>
  <c r="DX31" i="5"/>
  <c r="DY31" i="5"/>
  <c r="EA31" i="5"/>
  <c r="EB31" i="5"/>
  <c r="EC31" i="5"/>
  <c r="E224" i="5"/>
  <c r="E225" i="5"/>
  <c r="E242" i="5"/>
  <c r="E243" i="5"/>
  <c r="AP161" i="5"/>
  <c r="AP160" i="5"/>
  <c r="AP157" i="5"/>
  <c r="AP179" i="5"/>
  <c r="AP180" i="5"/>
  <c r="AP175" i="5"/>
  <c r="AP162" i="5"/>
  <c r="AP178" i="5"/>
  <c r="AP169" i="5"/>
  <c r="DP31" i="5"/>
  <c r="BR84" i="4"/>
  <c r="BS84" i="4"/>
  <c r="BT84" i="4"/>
  <c r="BU84" i="4"/>
  <c r="BH89" i="4"/>
  <c r="BI89" i="4"/>
  <c r="BJ89" i="4"/>
  <c r="BK89" i="4"/>
  <c r="BL89" i="4"/>
  <c r="BM89" i="4"/>
  <c r="BQ79" i="4"/>
  <c r="BR79" i="4"/>
  <c r="BT79" i="4"/>
  <c r="BG89" i="4"/>
  <c r="DP25" i="5"/>
  <c r="DP42" i="5" s="1"/>
  <c r="AN178" i="5"/>
  <c r="AO178" i="5"/>
  <c r="AN179" i="5"/>
  <c r="AO179" i="5"/>
  <c r="AN180" i="5"/>
  <c r="AO180" i="5"/>
  <c r="AN175" i="5"/>
  <c r="AO175" i="5"/>
  <c r="AN157" i="5"/>
  <c r="AO157" i="5"/>
  <c r="AN169" i="5"/>
  <c r="AO169" i="5"/>
  <c r="AN161" i="5"/>
  <c r="AO161" i="5"/>
  <c r="AN162" i="5"/>
  <c r="AO162" i="5"/>
  <c r="AN160" i="5"/>
  <c r="AO160" i="5"/>
  <c r="DO25" i="5"/>
  <c r="AM161" i="5"/>
  <c r="AM162" i="5"/>
  <c r="AM175" i="5"/>
  <c r="AM157" i="5"/>
  <c r="AM169" i="5"/>
  <c r="AM178" i="5"/>
  <c r="AM179" i="5"/>
  <c r="AM180" i="5"/>
  <c r="AM160" i="5"/>
  <c r="DM16" i="5"/>
  <c r="AL178" i="5"/>
  <c r="AL179" i="5"/>
  <c r="AL180" i="5"/>
  <c r="AL175" i="5"/>
  <c r="AL160" i="5"/>
  <c r="AL161" i="5"/>
  <c r="AL162" i="5"/>
  <c r="AL157" i="5"/>
  <c r="AL169" i="5"/>
  <c r="DK16" i="5"/>
  <c r="DL16" i="5"/>
  <c r="DL24" i="5"/>
  <c r="DL25" i="5"/>
  <c r="AK161" i="5"/>
  <c r="AK160" i="5"/>
  <c r="AK159" i="5"/>
  <c r="AK175" i="5"/>
  <c r="AK177" i="5"/>
  <c r="AK178" i="5"/>
  <c r="AK179" i="5"/>
  <c r="AK180" i="5"/>
  <c r="AK162" i="5"/>
  <c r="AK157" i="5"/>
  <c r="AK169" i="5"/>
  <c r="DK30" i="5"/>
  <c r="G376" i="5" s="1"/>
  <c r="DK24" i="5"/>
  <c r="BH56" i="5" s="1"/>
  <c r="AJ171" i="5"/>
  <c r="D240" i="5" s="1"/>
  <c r="AJ165" i="5"/>
  <c r="AJ153" i="5" s="1"/>
  <c r="D222" i="5" s="1"/>
  <c r="AJ172" i="5"/>
  <c r="AV172" i="5" s="1"/>
  <c r="AV175" i="5" s="1"/>
  <c r="AJ154" i="5"/>
  <c r="D223" i="5" s="1"/>
  <c r="AJ155" i="5"/>
  <c r="D224" i="5" s="1"/>
  <c r="AJ166" i="5"/>
  <c r="AJ173" i="5"/>
  <c r="D242" i="5" s="1"/>
  <c r="AJ167" i="5"/>
  <c r="AJ174" i="5"/>
  <c r="D243" i="5" s="1"/>
  <c r="AJ156" i="5"/>
  <c r="D225" i="5" s="1"/>
  <c r="AJ168" i="5"/>
  <c r="AI175" i="5"/>
  <c r="AI177" i="5"/>
  <c r="AI178" i="5"/>
  <c r="AI179" i="5"/>
  <c r="AI180" i="5"/>
  <c r="AI159" i="5"/>
  <c r="AI160" i="5"/>
  <c r="AI162" i="5"/>
  <c r="AI161" i="5"/>
  <c r="AI169" i="5"/>
  <c r="AI157" i="5"/>
  <c r="C28" i="4"/>
  <c r="C35" i="4" s="1"/>
  <c r="D28" i="4"/>
  <c r="D35" i="4" s="1"/>
  <c r="E28" i="4"/>
  <c r="F28" i="4"/>
  <c r="G28" i="4"/>
  <c r="H28" i="4"/>
  <c r="I28" i="4"/>
  <c r="J28" i="4"/>
  <c r="K28" i="4"/>
  <c r="L28" i="4"/>
  <c r="M28" i="4"/>
  <c r="G32" i="4"/>
  <c r="H32" i="4"/>
  <c r="I32" i="4"/>
  <c r="J32" i="4"/>
  <c r="K32" i="4"/>
  <c r="L32" i="4"/>
  <c r="M32" i="4"/>
  <c r="Q85" i="4"/>
  <c r="R85" i="4"/>
  <c r="S85" i="4"/>
  <c r="Q86" i="4"/>
  <c r="R86" i="4"/>
  <c r="S86" i="4"/>
  <c r="T86" i="4"/>
  <c r="R87" i="4"/>
  <c r="S87" i="4"/>
  <c r="T87" i="4"/>
  <c r="K53" i="4"/>
  <c r="K64" i="4" s="1"/>
  <c r="O161" i="4"/>
  <c r="P27" i="4"/>
  <c r="Q161" i="4"/>
  <c r="R161" i="4"/>
  <c r="S161" i="4"/>
  <c r="L57" i="4"/>
  <c r="L59" i="4" s="1"/>
  <c r="M57" i="4"/>
  <c r="M163" i="4"/>
  <c r="N34" i="4"/>
  <c r="N163" i="4"/>
  <c r="O163" i="4"/>
  <c r="P163" i="4"/>
  <c r="Q163" i="4"/>
  <c r="R163" i="4"/>
  <c r="L63" i="4"/>
  <c r="L164" i="4" s="1"/>
  <c r="L179" i="4" s="1"/>
  <c r="Q67" i="4"/>
  <c r="R67" i="4"/>
  <c r="S67" i="4"/>
  <c r="Q68" i="4"/>
  <c r="R68" i="4"/>
  <c r="S68" i="4"/>
  <c r="T68" i="4"/>
  <c r="G124" i="4"/>
  <c r="H124" i="4"/>
  <c r="I124" i="4"/>
  <c r="J124" i="4"/>
  <c r="K124" i="4"/>
  <c r="G126" i="4"/>
  <c r="H126" i="4"/>
  <c r="I126" i="4"/>
  <c r="J126" i="4"/>
  <c r="G127" i="4"/>
  <c r="H127" i="4"/>
  <c r="I127" i="4"/>
  <c r="J127" i="4"/>
  <c r="K127" i="4"/>
  <c r="G128" i="4"/>
  <c r="H128" i="4"/>
  <c r="I128" i="4"/>
  <c r="J128" i="4"/>
  <c r="K128" i="4"/>
  <c r="G129" i="4"/>
  <c r="H129" i="4"/>
  <c r="I129" i="4"/>
  <c r="J129" i="4"/>
  <c r="K129" i="4"/>
  <c r="K130" i="4"/>
  <c r="G168" i="4"/>
  <c r="G175" i="4" s="1"/>
  <c r="H168" i="4"/>
  <c r="H175" i="4" s="1"/>
  <c r="I168" i="4"/>
  <c r="I175" i="4" s="1"/>
  <c r="J168" i="4"/>
  <c r="K168" i="4"/>
  <c r="G169" i="4"/>
  <c r="H169" i="4"/>
  <c r="H176" i="4" s="1"/>
  <c r="I169" i="4"/>
  <c r="I176" i="4" s="1"/>
  <c r="J169" i="4"/>
  <c r="J176" i="4" s="1"/>
  <c r="K169" i="4"/>
  <c r="K176" i="4" s="1"/>
  <c r="G170" i="4"/>
  <c r="G177" i="4" s="1"/>
  <c r="H170" i="4"/>
  <c r="H177" i="4" s="1"/>
  <c r="I170" i="4"/>
  <c r="I177" i="4" s="1"/>
  <c r="J170" i="4"/>
  <c r="J177" i="4" s="1"/>
  <c r="K170" i="4"/>
  <c r="G171" i="4"/>
  <c r="G178" i="4" s="1"/>
  <c r="H171" i="4"/>
  <c r="H178" i="4" s="1"/>
  <c r="I171" i="4"/>
  <c r="I178" i="4" s="1"/>
  <c r="J171" i="4"/>
  <c r="J178" i="4" s="1"/>
  <c r="K171" i="4"/>
  <c r="AH159" i="5"/>
  <c r="AH160" i="5"/>
  <c r="AH161" i="5"/>
  <c r="AH162" i="5"/>
  <c r="AH157" i="5"/>
  <c r="AG157" i="5"/>
  <c r="AH177" i="5"/>
  <c r="AH178" i="5"/>
  <c r="AH179" i="5"/>
  <c r="AH180" i="5"/>
  <c r="AH169" i="5"/>
  <c r="AH175" i="5"/>
  <c r="DG25" i="5"/>
  <c r="DG42" i="5" s="1"/>
  <c r="DF25" i="5"/>
  <c r="DF42" i="5" s="1"/>
  <c r="DH23" i="5"/>
  <c r="DH25" i="5" s="1"/>
  <c r="DH42" i="5" s="1"/>
  <c r="AG175" i="5"/>
  <c r="AG177" i="5"/>
  <c r="AG178" i="5"/>
  <c r="AG179" i="5"/>
  <c r="AG180" i="5"/>
  <c r="AG169" i="5"/>
  <c r="AG160" i="5"/>
  <c r="AG161" i="5"/>
  <c r="AG162" i="5"/>
  <c r="AG159" i="5"/>
  <c r="C241" i="5"/>
  <c r="C242" i="5"/>
  <c r="C243" i="5"/>
  <c r="C240" i="5"/>
  <c r="B241" i="5"/>
  <c r="B242" i="5"/>
  <c r="B243" i="5"/>
  <c r="B240" i="5"/>
  <c r="C222" i="5"/>
  <c r="C223" i="5"/>
  <c r="C224" i="5"/>
  <c r="C225" i="5"/>
  <c r="B223" i="5"/>
  <c r="B224" i="5"/>
  <c r="B225" i="5"/>
  <c r="B222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R175" i="5"/>
  <c r="F175" i="5"/>
  <c r="E157" i="5"/>
  <c r="E180" i="5"/>
  <c r="D180" i="5"/>
  <c r="C180" i="5"/>
  <c r="B180" i="5"/>
  <c r="E179" i="5"/>
  <c r="D179" i="5"/>
  <c r="C179" i="5"/>
  <c r="B179" i="5"/>
  <c r="E178" i="5"/>
  <c r="D178" i="5"/>
  <c r="C178" i="5"/>
  <c r="B178" i="5"/>
  <c r="E177" i="5"/>
  <c r="D177" i="5"/>
  <c r="C177" i="5"/>
  <c r="B177" i="5"/>
  <c r="AF175" i="5"/>
  <c r="AE175" i="5"/>
  <c r="AD175" i="5"/>
  <c r="AC175" i="5"/>
  <c r="AB175" i="5"/>
  <c r="AA175" i="5"/>
  <c r="Z175" i="5"/>
  <c r="Y175" i="5"/>
  <c r="X175" i="5"/>
  <c r="W175" i="5"/>
  <c r="V175" i="5"/>
  <c r="U175" i="5"/>
  <c r="S175" i="5"/>
  <c r="Q175" i="5"/>
  <c r="P175" i="5"/>
  <c r="O175" i="5"/>
  <c r="N175" i="5"/>
  <c r="M175" i="5"/>
  <c r="L175" i="5"/>
  <c r="K175" i="5"/>
  <c r="J175" i="5"/>
  <c r="I175" i="5"/>
  <c r="G175" i="5"/>
  <c r="E175" i="5"/>
  <c r="D175" i="5"/>
  <c r="C175" i="5"/>
  <c r="B175" i="5"/>
  <c r="AF169" i="5"/>
  <c r="AE169" i="5"/>
  <c r="AD169" i="5"/>
  <c r="AC169" i="5"/>
  <c r="AB169" i="5"/>
  <c r="AA169" i="5"/>
  <c r="Z169" i="5"/>
  <c r="Y169" i="5"/>
  <c r="X169" i="5"/>
  <c r="W169" i="5"/>
  <c r="V169" i="5"/>
  <c r="U169" i="5"/>
  <c r="T169" i="5"/>
  <c r="S169" i="5"/>
  <c r="R169" i="5"/>
  <c r="Q169" i="5"/>
  <c r="P169" i="5"/>
  <c r="O169" i="5"/>
  <c r="N169" i="5"/>
  <c r="M169" i="5"/>
  <c r="L169" i="5"/>
  <c r="K169" i="5"/>
  <c r="J169" i="5"/>
  <c r="I169" i="5"/>
  <c r="H169" i="5"/>
  <c r="G169" i="5"/>
  <c r="F169" i="5"/>
  <c r="E169" i="5"/>
  <c r="D169" i="5"/>
  <c r="C169" i="5"/>
  <c r="B169" i="5"/>
  <c r="AF162" i="5"/>
  <c r="AE162" i="5"/>
  <c r="AD162" i="5"/>
  <c r="AC162" i="5"/>
  <c r="AB162" i="5"/>
  <c r="AA162" i="5"/>
  <c r="Z162" i="5"/>
  <c r="Y162" i="5"/>
  <c r="X162" i="5"/>
  <c r="W162" i="5"/>
  <c r="V162" i="5"/>
  <c r="U162" i="5"/>
  <c r="T162" i="5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AF161" i="5"/>
  <c r="AE161" i="5"/>
  <c r="AD161" i="5"/>
  <c r="AC161" i="5"/>
  <c r="AB161" i="5"/>
  <c r="AA161" i="5"/>
  <c r="Z161" i="5"/>
  <c r="Y161" i="5"/>
  <c r="X161" i="5"/>
  <c r="W161" i="5"/>
  <c r="V161" i="5"/>
  <c r="U161" i="5"/>
  <c r="T161" i="5"/>
  <c r="S161" i="5"/>
  <c r="R161" i="5"/>
  <c r="Q161" i="5"/>
  <c r="P161" i="5"/>
  <c r="O161" i="5"/>
  <c r="N161" i="5"/>
  <c r="M161" i="5"/>
  <c r="L161" i="5"/>
  <c r="K161" i="5"/>
  <c r="J161" i="5"/>
  <c r="I161" i="5"/>
  <c r="H161" i="5"/>
  <c r="G161" i="5"/>
  <c r="E161" i="5"/>
  <c r="D161" i="5"/>
  <c r="C161" i="5"/>
  <c r="B161" i="5"/>
  <c r="AF160" i="5"/>
  <c r="AE160" i="5"/>
  <c r="AD160" i="5"/>
  <c r="AC160" i="5"/>
  <c r="AB160" i="5"/>
  <c r="AA160" i="5"/>
  <c r="Z160" i="5"/>
  <c r="Y160" i="5"/>
  <c r="X160" i="5"/>
  <c r="W160" i="5"/>
  <c r="V160" i="5"/>
  <c r="U160" i="5"/>
  <c r="T160" i="5"/>
  <c r="S160" i="5"/>
  <c r="R160" i="5"/>
  <c r="Q160" i="5"/>
  <c r="P160" i="5"/>
  <c r="O160" i="5"/>
  <c r="N160" i="5"/>
  <c r="M160" i="5"/>
  <c r="L160" i="5"/>
  <c r="K160" i="5"/>
  <c r="J160" i="5"/>
  <c r="I160" i="5"/>
  <c r="H160" i="5"/>
  <c r="G160" i="5"/>
  <c r="F160" i="5"/>
  <c r="E160" i="5"/>
  <c r="D160" i="5"/>
  <c r="C160" i="5"/>
  <c r="B160" i="5"/>
  <c r="AF159" i="5"/>
  <c r="AE159" i="5"/>
  <c r="AD159" i="5"/>
  <c r="AC159" i="5"/>
  <c r="AB159" i="5"/>
  <c r="AA159" i="5"/>
  <c r="Z159" i="5"/>
  <c r="Y159" i="5"/>
  <c r="X159" i="5"/>
  <c r="W159" i="5"/>
  <c r="V159" i="5"/>
  <c r="U159" i="5"/>
  <c r="T159" i="5"/>
  <c r="S159" i="5"/>
  <c r="R159" i="5"/>
  <c r="Q159" i="5"/>
  <c r="P159" i="5"/>
  <c r="O159" i="5"/>
  <c r="N159" i="5"/>
  <c r="M159" i="5"/>
  <c r="L159" i="5"/>
  <c r="K159" i="5"/>
  <c r="J159" i="5"/>
  <c r="I159" i="5"/>
  <c r="H159" i="5"/>
  <c r="G159" i="5"/>
  <c r="F159" i="5"/>
  <c r="E159" i="5"/>
  <c r="D159" i="5"/>
  <c r="C159" i="5"/>
  <c r="B159" i="5"/>
  <c r="AF157" i="5"/>
  <c r="AE157" i="5"/>
  <c r="AD157" i="5"/>
  <c r="AC157" i="5"/>
  <c r="AB157" i="5"/>
  <c r="AA157" i="5"/>
  <c r="Z157" i="5"/>
  <c r="Y157" i="5"/>
  <c r="X157" i="5"/>
  <c r="W157" i="5"/>
  <c r="V157" i="5"/>
  <c r="U157" i="5"/>
  <c r="T157" i="5"/>
  <c r="S157" i="5"/>
  <c r="R157" i="5"/>
  <c r="Q157" i="5"/>
  <c r="P157" i="5"/>
  <c r="O157" i="5"/>
  <c r="N157" i="5"/>
  <c r="M157" i="5"/>
  <c r="L157" i="5"/>
  <c r="K157" i="5"/>
  <c r="J157" i="5"/>
  <c r="I157" i="5"/>
  <c r="H157" i="5"/>
  <c r="G157" i="5"/>
  <c r="D157" i="5"/>
  <c r="C157" i="5"/>
  <c r="B157" i="5"/>
  <c r="H175" i="5"/>
  <c r="CN25" i="5"/>
  <c r="CN42" i="5" s="1"/>
  <c r="CO25" i="5"/>
  <c r="CO42" i="5" s="1"/>
  <c r="CP25" i="5"/>
  <c r="CP42" i="5" s="1"/>
  <c r="BK25" i="5"/>
  <c r="BK42" i="5" s="1"/>
  <c r="BL25" i="5"/>
  <c r="BL42" i="5" s="1"/>
  <c r="BM25" i="5"/>
  <c r="BM42" i="5" s="1"/>
  <c r="BN25" i="5"/>
  <c r="BN42" i="5" s="1"/>
  <c r="BO25" i="5"/>
  <c r="BO42" i="5" s="1"/>
  <c r="BP25" i="5"/>
  <c r="BP42" i="5" s="1"/>
  <c r="BQ25" i="5"/>
  <c r="BQ42" i="5" s="1"/>
  <c r="BR25" i="5"/>
  <c r="BR42" i="5" s="1"/>
  <c r="BS25" i="5"/>
  <c r="BS42" i="5" s="1"/>
  <c r="BT25" i="5"/>
  <c r="BT42" i="5" s="1"/>
  <c r="BU25" i="5"/>
  <c r="BU42" i="5" s="1"/>
  <c r="BZ25" i="5"/>
  <c r="BZ42" i="5" s="1"/>
  <c r="CA25" i="5"/>
  <c r="CA42" i="5" s="1"/>
  <c r="CB25" i="5"/>
  <c r="CB42" i="5" s="1"/>
  <c r="CC25" i="5"/>
  <c r="CC42" i="5" s="1"/>
  <c r="CD25" i="5"/>
  <c r="CD42" i="5" s="1"/>
  <c r="CE25" i="5"/>
  <c r="CE42" i="5" s="1"/>
  <c r="CF25" i="5"/>
  <c r="CF42" i="5" s="1"/>
  <c r="CG25" i="5"/>
  <c r="CG42" i="5" s="1"/>
  <c r="BB25" i="5"/>
  <c r="BB42" i="5" s="1"/>
  <c r="BC25" i="5"/>
  <c r="BC42" i="5" s="1"/>
  <c r="BD25" i="5"/>
  <c r="BD42" i="5" s="1"/>
  <c r="BE25" i="5"/>
  <c r="BE42" i="5" s="1"/>
  <c r="BF25" i="5"/>
  <c r="BF42" i="5" s="1"/>
  <c r="BG25" i="5"/>
  <c r="BG42" i="5" s="1"/>
  <c r="BH25" i="5"/>
  <c r="BH42" i="5" s="1"/>
  <c r="BI25" i="5"/>
  <c r="BI42" i="5" s="1"/>
  <c r="BJ25" i="5"/>
  <c r="AX25" i="5"/>
  <c r="BW31" i="5"/>
  <c r="BX31" i="5"/>
  <c r="BY31" i="5"/>
  <c r="BZ31" i="5"/>
  <c r="CA31" i="5"/>
  <c r="CB31" i="5"/>
  <c r="CC31" i="5"/>
  <c r="CD31" i="5"/>
  <c r="CE31" i="5"/>
  <c r="CF31" i="5"/>
  <c r="CG31" i="5"/>
  <c r="BV31" i="5"/>
  <c r="BN31" i="5"/>
  <c r="BO31" i="5"/>
  <c r="BP31" i="5"/>
  <c r="BQ31" i="5"/>
  <c r="BR31" i="5"/>
  <c r="BS31" i="5"/>
  <c r="BU31" i="5"/>
  <c r="BK31" i="5"/>
  <c r="BL31" i="5"/>
  <c r="BM31" i="5"/>
  <c r="BT31" i="5"/>
  <c r="BJ31" i="5"/>
  <c r="BB31" i="5"/>
  <c r="BC31" i="5"/>
  <c r="BE31" i="5"/>
  <c r="BF31" i="5"/>
  <c r="BG31" i="5"/>
  <c r="BH31" i="5"/>
  <c r="BI31" i="5"/>
  <c r="AY31" i="5"/>
  <c r="AZ31" i="5"/>
  <c r="BA31" i="5"/>
  <c r="BD31" i="5"/>
  <c r="AY25" i="5"/>
  <c r="AY42" i="5" s="1"/>
  <c r="AZ25" i="5"/>
  <c r="AZ42" i="5" s="1"/>
  <c r="BA25" i="5"/>
  <c r="BA42" i="5" s="1"/>
  <c r="BV25" i="5"/>
  <c r="BV42" i="5" s="1"/>
  <c r="BW25" i="5"/>
  <c r="BW42" i="5" s="1"/>
  <c r="BX25" i="5"/>
  <c r="BX42" i="5" s="1"/>
  <c r="BY25" i="5"/>
  <c r="BY42" i="5" s="1"/>
  <c r="AX31" i="5"/>
  <c r="CH31" i="5"/>
  <c r="CI31" i="5"/>
  <c r="CJ31" i="5"/>
  <c r="CK31" i="5"/>
  <c r="CL31" i="5"/>
  <c r="CM31" i="5"/>
  <c r="CN31" i="5"/>
  <c r="CO31" i="5"/>
  <c r="CP31" i="5"/>
  <c r="CQ31" i="5"/>
  <c r="CR31" i="5"/>
  <c r="CS31" i="5"/>
  <c r="CT31" i="5"/>
  <c r="CU31" i="5"/>
  <c r="CV31" i="5"/>
  <c r="CW31" i="5"/>
  <c r="CX31" i="5"/>
  <c r="CY31" i="5"/>
  <c r="CZ31" i="5"/>
  <c r="DA31" i="5"/>
  <c r="DB31" i="5"/>
  <c r="DC31" i="5"/>
  <c r="DD31" i="5"/>
  <c r="DE31" i="5"/>
  <c r="DF31" i="5"/>
  <c r="DI25" i="5"/>
  <c r="DJ25" i="5"/>
  <c r="DJ42" i="5" s="1"/>
  <c r="DM25" i="5"/>
  <c r="DM42" i="5" s="1"/>
  <c r="DN25" i="5"/>
  <c r="DN42" i="5" s="1"/>
  <c r="DQ25" i="5"/>
  <c r="DQ42" i="5" s="1"/>
  <c r="DG31" i="5"/>
  <c r="DH31" i="5"/>
  <c r="DI31" i="5"/>
  <c r="DJ31" i="5"/>
  <c r="DL31" i="5"/>
  <c r="DM31" i="5"/>
  <c r="DN33" i="5"/>
  <c r="DO31" i="5"/>
  <c r="DQ31" i="5"/>
  <c r="CT25" i="5"/>
  <c r="CT42" i="5" s="1"/>
  <c r="CU25" i="5"/>
  <c r="CU42" i="5" s="1"/>
  <c r="CV25" i="5"/>
  <c r="CV42" i="5" s="1"/>
  <c r="CW25" i="5"/>
  <c r="CW42" i="5" s="1"/>
  <c r="CX25" i="5"/>
  <c r="CX42" i="5" s="1"/>
  <c r="CY25" i="5"/>
  <c r="CY42" i="5" s="1"/>
  <c r="CZ25" i="5"/>
  <c r="CZ42" i="5" s="1"/>
  <c r="DA25" i="5"/>
  <c r="DA42" i="5" s="1"/>
  <c r="DB25" i="5"/>
  <c r="DB42" i="5" s="1"/>
  <c r="DC25" i="5"/>
  <c r="DC42" i="5" s="1"/>
  <c r="DD25" i="5"/>
  <c r="DD42" i="5" s="1"/>
  <c r="DE25" i="5"/>
  <c r="DE42" i="5" s="1"/>
  <c r="CS25" i="5"/>
  <c r="CS42" i="5" s="1"/>
  <c r="CQ25" i="5"/>
  <c r="CQ42" i="5" s="1"/>
  <c r="CR25" i="5"/>
  <c r="CR42" i="5" s="1"/>
  <c r="CH25" i="5"/>
  <c r="CH42" i="5" s="1"/>
  <c r="CJ25" i="5"/>
  <c r="CJ42" i="5" s="1"/>
  <c r="CK25" i="5"/>
  <c r="CK42" i="5" s="1"/>
  <c r="CL25" i="5"/>
  <c r="CL42" i="5" s="1"/>
  <c r="CM25" i="5"/>
  <c r="CM42" i="5" s="1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K23" i="5" s="1"/>
  <c r="AK25" i="5" s="1"/>
  <c r="AK42" i="5" s="1"/>
  <c r="AL24" i="5"/>
  <c r="AM24" i="5"/>
  <c r="AQ24" i="5"/>
  <c r="AR24" i="5"/>
  <c r="AR23" i="5" s="1"/>
  <c r="AR25" i="5" s="1"/>
  <c r="AR42" i="5" s="1"/>
  <c r="AS24" i="5"/>
  <c r="AS23" i="5" s="1"/>
  <c r="AS25" i="5" s="1"/>
  <c r="AS42" i="5" s="1"/>
  <c r="AT24" i="5"/>
  <c r="AT23" i="5" s="1"/>
  <c r="AT25" i="5" s="1"/>
  <c r="AT42" i="5" s="1"/>
  <c r="AU24" i="5"/>
  <c r="AU23" i="5" s="1"/>
  <c r="AU25" i="5" s="1"/>
  <c r="AU42" i="5" s="1"/>
  <c r="AV24" i="5"/>
  <c r="AW24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F29" i="5"/>
  <c r="AG29" i="5"/>
  <c r="AH29" i="5"/>
  <c r="AI29" i="5"/>
  <c r="AJ29" i="5"/>
  <c r="AK29" i="5"/>
  <c r="AL29" i="5"/>
  <c r="AM29" i="5"/>
  <c r="AN29" i="5"/>
  <c r="AO29" i="5"/>
  <c r="AP29" i="5"/>
  <c r="AQ29" i="5"/>
  <c r="AR29" i="5"/>
  <c r="AS29" i="5"/>
  <c r="AT29" i="5"/>
  <c r="AU29" i="5"/>
  <c r="AV29" i="5"/>
  <c r="AW29" i="5"/>
  <c r="N30" i="5"/>
  <c r="N31" i="5" s="1"/>
  <c r="O30" i="5"/>
  <c r="O31" i="5" s="1"/>
  <c r="P30" i="5"/>
  <c r="P31" i="5" s="1"/>
  <c r="Q30" i="5"/>
  <c r="Q31" i="5" s="1"/>
  <c r="R30" i="5"/>
  <c r="R31" i="5" s="1"/>
  <c r="S30" i="5"/>
  <c r="S31" i="5" s="1"/>
  <c r="T30" i="5"/>
  <c r="T31" i="5" s="1"/>
  <c r="U30" i="5"/>
  <c r="U31" i="5" s="1"/>
  <c r="V30" i="5"/>
  <c r="V31" i="5" s="1"/>
  <c r="W30" i="5"/>
  <c r="X30" i="5"/>
  <c r="X31" i="5" s="1"/>
  <c r="Y30" i="5"/>
  <c r="Y31" i="5" s="1"/>
  <c r="Z30" i="5"/>
  <c r="Z31" i="5" s="1"/>
  <c r="AA30" i="5"/>
  <c r="AA31" i="5" s="1"/>
  <c r="AB30" i="5"/>
  <c r="AB31" i="5" s="1"/>
  <c r="AC30" i="5"/>
  <c r="AC31" i="5" s="1"/>
  <c r="AD30" i="5"/>
  <c r="AD31" i="5" s="1"/>
  <c r="AE30" i="5"/>
  <c r="AE31" i="5" s="1"/>
  <c r="AF30" i="5"/>
  <c r="AG30" i="5"/>
  <c r="AH30" i="5"/>
  <c r="AI30" i="5"/>
  <c r="AJ30" i="5"/>
  <c r="AK30" i="5"/>
  <c r="AL30" i="5"/>
  <c r="AM30" i="5"/>
  <c r="AN30" i="5"/>
  <c r="AO30" i="5"/>
  <c r="AP30" i="5"/>
  <c r="AQ30" i="5"/>
  <c r="AR30" i="5"/>
  <c r="AS30" i="5"/>
  <c r="AT30" i="5"/>
  <c r="AU30" i="5"/>
  <c r="AV30" i="5"/>
  <c r="AW30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Q32" i="5"/>
  <c r="AR32" i="5"/>
  <c r="AS32" i="5"/>
  <c r="AT32" i="5"/>
  <c r="AU32" i="5"/>
  <c r="AV32" i="5"/>
  <c r="AW32" i="5"/>
  <c r="B2" i="5"/>
  <c r="CI25" i="5"/>
  <c r="CI42" i="5" s="1"/>
  <c r="U116" i="4"/>
  <c r="R116" i="4"/>
  <c r="Q116" i="4"/>
  <c r="P116" i="4"/>
  <c r="O116" i="4"/>
  <c r="N115" i="4"/>
  <c r="BM34" i="4"/>
  <c r="BL34" i="4"/>
  <c r="AL125" i="2"/>
  <c r="BL99" i="4"/>
  <c r="AL124" i="2"/>
  <c r="BM32" i="4"/>
  <c r="BL32" i="4"/>
  <c r="BS68" i="4"/>
  <c r="R114" i="4"/>
  <c r="Q114" i="4"/>
  <c r="BQ97" i="4"/>
  <c r="BP27" i="4"/>
  <c r="BP97" i="4"/>
  <c r="BO27" i="4"/>
  <c r="BO97" i="4"/>
  <c r="AL129" i="2"/>
  <c r="AL130" i="2"/>
  <c r="BK99" i="4"/>
  <c r="BJ32" i="4"/>
  <c r="BJ99" i="4"/>
  <c r="BI99" i="4"/>
  <c r="BH32" i="4"/>
  <c r="BH99" i="4"/>
  <c r="BG32" i="4"/>
  <c r="BG99" i="4"/>
  <c r="BG68" i="4"/>
  <c r="BF68" i="4"/>
  <c r="BE68" i="4"/>
  <c r="BD68" i="4"/>
  <c r="BC68" i="4"/>
  <c r="BK95" i="4"/>
  <c r="BJ95" i="4"/>
  <c r="BH95" i="4"/>
  <c r="BL63" i="4"/>
  <c r="L117" i="4" s="1"/>
  <c r="BL103" i="4"/>
  <c r="BM103" i="4"/>
  <c r="I190" i="7"/>
  <c r="BO103" i="4"/>
  <c r="K190" i="7"/>
  <c r="BQ103" i="4"/>
  <c r="CQ133" i="4"/>
  <c r="N190" i="7"/>
  <c r="BP104" i="4"/>
  <c r="BK104" i="4"/>
  <c r="B2" i="2"/>
  <c r="BS178" i="4"/>
  <c r="BK53" i="4"/>
  <c r="BK64" i="4" s="1"/>
  <c r="BK103" i="4"/>
  <c r="AH47" i="2"/>
  <c r="AH75" i="2" s="1"/>
  <c r="AM47" i="2"/>
  <c r="AM75" i="2" s="1"/>
  <c r="AN47" i="2"/>
  <c r="AN221" i="2" s="1"/>
  <c r="AR47" i="2"/>
  <c r="AT47" i="2"/>
  <c r="AV47" i="2"/>
  <c r="AV75" i="2" s="1"/>
  <c r="BR178" i="4"/>
  <c r="BQ178" i="4"/>
  <c r="Y178" i="2"/>
  <c r="Y167" i="2"/>
  <c r="X167" i="2" s="1"/>
  <c r="W167" i="2" s="1"/>
  <c r="Y168" i="2"/>
  <c r="X168" i="2" s="1"/>
  <c r="Y169" i="2"/>
  <c r="X169" i="2" s="1"/>
  <c r="W169" i="2" s="1"/>
  <c r="V169" i="2" s="1"/>
  <c r="U169" i="2" s="1"/>
  <c r="T169" i="2" s="1"/>
  <c r="S169" i="2" s="1"/>
  <c r="R169" i="2" s="1"/>
  <c r="Q169" i="2" s="1"/>
  <c r="P169" i="2" s="1"/>
  <c r="O169" i="2" s="1"/>
  <c r="N169" i="2" s="1"/>
  <c r="M169" i="2" s="1"/>
  <c r="L169" i="2" s="1"/>
  <c r="K169" i="2" s="1"/>
  <c r="J169" i="2" s="1"/>
  <c r="I169" i="2" s="1"/>
  <c r="H169" i="2" s="1"/>
  <c r="G169" i="2" s="1"/>
  <c r="F169" i="2" s="1"/>
  <c r="E169" i="2" s="1"/>
  <c r="D169" i="2" s="1"/>
  <c r="Z170" i="2"/>
  <c r="Z172" i="2" s="1"/>
  <c r="AA170" i="2"/>
  <c r="AA172" i="2" s="1"/>
  <c r="AB170" i="2"/>
  <c r="AB172" i="2" s="1"/>
  <c r="AC170" i="2"/>
  <c r="AD170" i="2"/>
  <c r="AD172" i="2" s="1"/>
  <c r="AE170" i="2"/>
  <c r="AE172" i="2" s="1"/>
  <c r="AF170" i="2"/>
  <c r="AF172" i="2" s="1"/>
  <c r="AG170" i="2"/>
  <c r="AG172" i="2" s="1"/>
  <c r="AH170" i="2"/>
  <c r="AH172" i="2" s="1"/>
  <c r="AI170" i="2"/>
  <c r="AI172" i="2" s="1"/>
  <c r="AJ170" i="2"/>
  <c r="AJ172" i="2" s="1"/>
  <c r="AK170" i="2"/>
  <c r="AK172" i="2" s="1"/>
  <c r="AL170" i="2"/>
  <c r="AL172" i="2" s="1"/>
  <c r="AM170" i="2"/>
  <c r="AM172" i="2" s="1"/>
  <c r="AN170" i="2"/>
  <c r="AN172" i="2" s="1"/>
  <c r="AO170" i="2"/>
  <c r="AO172" i="2" s="1"/>
  <c r="AP170" i="2"/>
  <c r="AQ170" i="2"/>
  <c r="AR170" i="2"/>
  <c r="AS170" i="2"/>
  <c r="AS172" i="2" s="1"/>
  <c r="AT170" i="2"/>
  <c r="AT172" i="2" s="1"/>
  <c r="AU170" i="2"/>
  <c r="AU172" i="2" s="1"/>
  <c r="AV170" i="2"/>
  <c r="AW170" i="2"/>
  <c r="Y171" i="2"/>
  <c r="M24" i="5" s="1"/>
  <c r="BD372" i="2"/>
  <c r="BD397" i="2" s="1"/>
  <c r="BE372" i="2"/>
  <c r="BE397" i="2" s="1"/>
  <c r="BF372" i="2"/>
  <c r="BF397" i="2" s="1"/>
  <c r="BG372" i="2"/>
  <c r="BG397" i="2" s="1"/>
  <c r="AZ47" i="2"/>
  <c r="AZ75" i="2" s="1"/>
  <c r="BA47" i="2"/>
  <c r="BA75" i="2" s="1"/>
  <c r="BB171" i="2"/>
  <c r="AP24" i="5" s="1"/>
  <c r="AX170" i="2"/>
  <c r="AX172" i="2" s="1"/>
  <c r="AY170" i="2"/>
  <c r="AY172" i="2" s="1"/>
  <c r="AZ170" i="2"/>
  <c r="BA170" i="2"/>
  <c r="BB170" i="2"/>
  <c r="BC170" i="2"/>
  <c r="BC172" i="2" s="1"/>
  <c r="BD170" i="2"/>
  <c r="BD172" i="2" s="1"/>
  <c r="BE170" i="2"/>
  <c r="BE172" i="2" s="1"/>
  <c r="BF170" i="2"/>
  <c r="BF172" i="2" s="1"/>
  <c r="BG170" i="2"/>
  <c r="BG172" i="2" s="1"/>
  <c r="BH170" i="2"/>
  <c r="BH172" i="2" s="1"/>
  <c r="BI170" i="2"/>
  <c r="BI172" i="2" s="1"/>
  <c r="BJ170" i="2"/>
  <c r="BK170" i="2"/>
  <c r="BK172" i="2" s="1"/>
  <c r="BL170" i="2"/>
  <c r="BL172" i="2" s="1"/>
  <c r="AL344" i="2"/>
  <c r="AL345" i="2" s="1"/>
  <c r="AL71" i="2"/>
  <c r="AM344" i="2"/>
  <c r="AM345" i="2" s="1"/>
  <c r="AM347" i="2" s="1"/>
  <c r="AM71" i="2"/>
  <c r="AN344" i="2"/>
  <c r="AN345" i="2" s="1"/>
  <c r="AN71" i="2"/>
  <c r="AO260" i="2"/>
  <c r="AO261" i="2" s="1"/>
  <c r="AO71" i="2"/>
  <c r="AP260" i="2"/>
  <c r="AP261" i="2" s="1"/>
  <c r="AP265" i="2" s="1"/>
  <c r="AP71" i="2"/>
  <c r="AQ123" i="2"/>
  <c r="AR123" i="2"/>
  <c r="AS123" i="2"/>
  <c r="AT123" i="2"/>
  <c r="AU123" i="2"/>
  <c r="AV123" i="2"/>
  <c r="AW123" i="2"/>
  <c r="AW147" i="2" s="1"/>
  <c r="AQ177" i="2"/>
  <c r="AQ126" i="2" s="1"/>
  <c r="AR177" i="2"/>
  <c r="AR126" i="2" s="1"/>
  <c r="AS177" i="2"/>
  <c r="AS126" i="2" s="1"/>
  <c r="AT177" i="2"/>
  <c r="AT179" i="2" s="1"/>
  <c r="AU177" i="2"/>
  <c r="AV126" i="2"/>
  <c r="AW177" i="2"/>
  <c r="AW126" i="2" s="1"/>
  <c r="AL53" i="2"/>
  <c r="AL55" i="2" s="1"/>
  <c r="AL15" i="2" s="1"/>
  <c r="AM53" i="2"/>
  <c r="AM55" i="2" s="1"/>
  <c r="AM15" i="2" s="1"/>
  <c r="AN53" i="2"/>
  <c r="AP53" i="2"/>
  <c r="AP55" i="2" s="1"/>
  <c r="AQ53" i="2"/>
  <c r="AQ55" i="2" s="1"/>
  <c r="AQ15" i="2" s="1"/>
  <c r="AR53" i="2"/>
  <c r="AR55" i="2" s="1"/>
  <c r="AR15" i="2" s="1"/>
  <c r="AS53" i="2"/>
  <c r="AT53" i="2"/>
  <c r="AT55" i="2" s="1"/>
  <c r="AT15" i="2" s="1"/>
  <c r="AU53" i="2"/>
  <c r="AU55" i="2" s="1"/>
  <c r="AU15" i="2" s="1"/>
  <c r="AV15" i="2"/>
  <c r="AW53" i="2"/>
  <c r="AS12" i="2"/>
  <c r="AL12" i="2"/>
  <c r="AM12" i="2"/>
  <c r="AN12" i="2"/>
  <c r="AO12" i="2"/>
  <c r="AO16" i="2" s="1"/>
  <c r="AP12" i="2"/>
  <c r="AQ12" i="2"/>
  <c r="AR12" i="2"/>
  <c r="AT12" i="2"/>
  <c r="AU12" i="2"/>
  <c r="AV12" i="2"/>
  <c r="AW12" i="2"/>
  <c r="AQ261" i="2"/>
  <c r="AQ344" i="2" s="1"/>
  <c r="AQ345" i="2" s="1"/>
  <c r="AR261" i="2"/>
  <c r="AR344" i="2" s="1"/>
  <c r="AR345" i="2" s="1"/>
  <c r="AR347" i="2" s="1"/>
  <c r="AS261" i="2"/>
  <c r="AS344" i="2" s="1"/>
  <c r="AT261" i="2"/>
  <c r="AU260" i="2"/>
  <c r="AU261" i="2" s="1"/>
  <c r="AU265" i="2" s="1"/>
  <c r="AV261" i="2"/>
  <c r="AV265" i="2" s="1"/>
  <c r="AW260" i="2"/>
  <c r="BF50" i="2"/>
  <c r="BF201" i="2" s="1"/>
  <c r="BG50" i="2"/>
  <c r="BG201" i="2" s="1"/>
  <c r="BH50" i="2"/>
  <c r="BH201" i="2" s="1"/>
  <c r="BI50" i="2"/>
  <c r="BI201" i="2" s="1"/>
  <c r="BF51" i="2"/>
  <c r="BF202" i="2" s="1"/>
  <c r="BG51" i="2"/>
  <c r="BH51" i="2"/>
  <c r="BI51" i="2"/>
  <c r="BI202" i="2" s="1"/>
  <c r="BF52" i="2"/>
  <c r="BF203" i="2" s="1"/>
  <c r="BG52" i="2"/>
  <c r="BG203" i="2" s="1"/>
  <c r="BH52" i="2"/>
  <c r="BH203" i="2" s="1"/>
  <c r="BI52" i="2"/>
  <c r="BJ50" i="2"/>
  <c r="BJ201" i="2" s="1"/>
  <c r="BK50" i="2"/>
  <c r="BK201" i="2" s="1"/>
  <c r="BL50" i="2"/>
  <c r="BL201" i="2" s="1"/>
  <c r="BJ51" i="2"/>
  <c r="BJ202" i="2" s="1"/>
  <c r="BK51" i="2"/>
  <c r="BK202" i="2" s="1"/>
  <c r="BL51" i="2"/>
  <c r="BL202" i="2" s="1"/>
  <c r="BJ52" i="2"/>
  <c r="BJ203" i="2" s="1"/>
  <c r="BK52" i="2"/>
  <c r="BK203" i="2" s="1"/>
  <c r="BL52" i="2"/>
  <c r="BL203" i="2" s="1"/>
  <c r="AX46" i="2"/>
  <c r="AX48" i="2" s="1"/>
  <c r="AY46" i="2"/>
  <c r="AY48" i="2" s="1"/>
  <c r="AZ46" i="2"/>
  <c r="BA46" i="2"/>
  <c r="BB46" i="2"/>
  <c r="BB48" i="2" s="1"/>
  <c r="BC46" i="2"/>
  <c r="BC48" i="2" s="1"/>
  <c r="BD46" i="2"/>
  <c r="BE46" i="2"/>
  <c r="BF54" i="2"/>
  <c r="BF205" i="2" s="1"/>
  <c r="BG54" i="2"/>
  <c r="BG205" i="2" s="1"/>
  <c r="BH54" i="2"/>
  <c r="BH205" i="2" s="1"/>
  <c r="BI54" i="2"/>
  <c r="BI205" i="2" s="1"/>
  <c r="BJ54" i="2"/>
  <c r="BJ205" i="2" s="1"/>
  <c r="BK54" i="2"/>
  <c r="BK205" i="2" s="1"/>
  <c r="BL54" i="2"/>
  <c r="BL205" i="2" s="1"/>
  <c r="BF57" i="2"/>
  <c r="BF208" i="2" s="1"/>
  <c r="BG57" i="2"/>
  <c r="BG208" i="2" s="1"/>
  <c r="BH57" i="2"/>
  <c r="BH208" i="2" s="1"/>
  <c r="BI57" i="2"/>
  <c r="BI208" i="2" s="1"/>
  <c r="BJ57" i="2"/>
  <c r="BJ208" i="2" s="1"/>
  <c r="BK57" i="2"/>
  <c r="BK208" i="2" s="1"/>
  <c r="BL57" i="2"/>
  <c r="BL208" i="2" s="1"/>
  <c r="BF58" i="2"/>
  <c r="BF209" i="2" s="1"/>
  <c r="BG58" i="2"/>
  <c r="BG209" i="2" s="1"/>
  <c r="BH58" i="2"/>
  <c r="BH209" i="2" s="1"/>
  <c r="BI58" i="2"/>
  <c r="BI209" i="2" s="1"/>
  <c r="BJ58" i="2"/>
  <c r="BJ209" i="2" s="1"/>
  <c r="BK58" i="2"/>
  <c r="BK209" i="2" s="1"/>
  <c r="BL58" i="2"/>
  <c r="BL209" i="2" s="1"/>
  <c r="AZ18" i="2"/>
  <c r="AZ129" i="2"/>
  <c r="AZ19" i="2"/>
  <c r="AZ20" i="2"/>
  <c r="AZ14" i="2"/>
  <c r="AZ125" i="2"/>
  <c r="AZ13" i="2"/>
  <c r="AZ33" i="2" s="1"/>
  <c r="AZ124" i="2"/>
  <c r="AZ34" i="2" s="1"/>
  <c r="AZ35" i="2" s="1"/>
  <c r="AZ36" i="2" s="1"/>
  <c r="AX12" i="2"/>
  <c r="AY12" i="2"/>
  <c r="BA12" i="2"/>
  <c r="BB12" i="2"/>
  <c r="BC12" i="2"/>
  <c r="BD12" i="2"/>
  <c r="BE12" i="2"/>
  <c r="BF12" i="2"/>
  <c r="BG12" i="2"/>
  <c r="AX123" i="2"/>
  <c r="AY123" i="2"/>
  <c r="BA123" i="2"/>
  <c r="BB123" i="2"/>
  <c r="BB127" i="2" s="1"/>
  <c r="BC123" i="2"/>
  <c r="BD123" i="2"/>
  <c r="BE123" i="2"/>
  <c r="BF123" i="2"/>
  <c r="BF127" i="2" s="1"/>
  <c r="BG123" i="2"/>
  <c r="Y174" i="2"/>
  <c r="Y177" i="2" s="1"/>
  <c r="BF43" i="2"/>
  <c r="BF194" i="2" s="1"/>
  <c r="BG43" i="2"/>
  <c r="BG194" i="2" s="1"/>
  <c r="BH43" i="2"/>
  <c r="BI43" i="2"/>
  <c r="BI194" i="2" s="1"/>
  <c r="BF44" i="2"/>
  <c r="BF195" i="2" s="1"/>
  <c r="BG44" i="2"/>
  <c r="BG195" i="2" s="1"/>
  <c r="BH44" i="2"/>
  <c r="BH195" i="2" s="1"/>
  <c r="BI44" i="2"/>
  <c r="BI195" i="2" s="1"/>
  <c r="BF45" i="2"/>
  <c r="BG45" i="2"/>
  <c r="BG196" i="2" s="1"/>
  <c r="BH45" i="2"/>
  <c r="BH196" i="2" s="1"/>
  <c r="BI45" i="2"/>
  <c r="BI196" i="2" s="1"/>
  <c r="AI12" i="2"/>
  <c r="AJ12" i="2"/>
  <c r="AK12" i="2"/>
  <c r="AX260" i="2"/>
  <c r="AY120" i="2"/>
  <c r="AY121" i="2" s="1"/>
  <c r="AZ261" i="2"/>
  <c r="AZ344" i="2" s="1"/>
  <c r="AZ345" i="2" s="1"/>
  <c r="AZ347" i="2" s="1"/>
  <c r="BA261" i="2"/>
  <c r="BA265" i="2" s="1"/>
  <c r="BC120" i="2"/>
  <c r="BC144" i="2" s="1"/>
  <c r="AY261" i="2"/>
  <c r="AY9" i="2" s="1"/>
  <c r="AY63" i="2" s="1"/>
  <c r="AQ71" i="2"/>
  <c r="AR71" i="2"/>
  <c r="AS71" i="2"/>
  <c r="AT120" i="2"/>
  <c r="AT121" i="2" s="1"/>
  <c r="Z71" i="2"/>
  <c r="Z70" i="2" s="1"/>
  <c r="Z74" i="2" s="1"/>
  <c r="AA71" i="2"/>
  <c r="AA70" i="2" s="1"/>
  <c r="AB71" i="2"/>
  <c r="AB70" i="2" s="1"/>
  <c r="AC71" i="2"/>
  <c r="AC70" i="2" s="1"/>
  <c r="AC120" i="2" s="1"/>
  <c r="AD71" i="2"/>
  <c r="AD70" i="2" s="1"/>
  <c r="AD120" i="2" s="1"/>
  <c r="AD187" i="2" s="1"/>
  <c r="AE70" i="2"/>
  <c r="AE120" i="2" s="1"/>
  <c r="AE144" i="2" s="1"/>
  <c r="AF71" i="2"/>
  <c r="AF70" i="2" s="1"/>
  <c r="AF74" i="2" s="1"/>
  <c r="AG71" i="2"/>
  <c r="AG70" i="2" s="1"/>
  <c r="AG74" i="2" s="1"/>
  <c r="AH71" i="2"/>
  <c r="AH70" i="2" s="1"/>
  <c r="AH74" i="2" s="1"/>
  <c r="AI71" i="2"/>
  <c r="AI70" i="2" s="1"/>
  <c r="AI120" i="2" s="1"/>
  <c r="AI187" i="2" s="1"/>
  <c r="AJ71" i="2"/>
  <c r="AJ70" i="2" s="1"/>
  <c r="AJ120" i="2" s="1"/>
  <c r="AJ187" i="2" s="1"/>
  <c r="AK344" i="2"/>
  <c r="AK345" i="2" s="1"/>
  <c r="AK71" i="2"/>
  <c r="N71" i="2"/>
  <c r="N70" i="2" s="1"/>
  <c r="N120" i="2" s="1"/>
  <c r="N144" i="2" s="1"/>
  <c r="O71" i="2"/>
  <c r="O70" i="2" s="1"/>
  <c r="O120" i="2" s="1"/>
  <c r="O144" i="2" s="1"/>
  <c r="P71" i="2"/>
  <c r="P70" i="2" s="1"/>
  <c r="P120" i="2" s="1"/>
  <c r="P144" i="2" s="1"/>
  <c r="Q71" i="2"/>
  <c r="Q70" i="2" s="1"/>
  <c r="Q120" i="2" s="1"/>
  <c r="Q144" i="2" s="1"/>
  <c r="R71" i="2"/>
  <c r="R70" i="2" s="1"/>
  <c r="R120" i="2" s="1"/>
  <c r="R144" i="2" s="1"/>
  <c r="S71" i="2"/>
  <c r="S70" i="2" s="1"/>
  <c r="S120" i="2" s="1"/>
  <c r="S144" i="2" s="1"/>
  <c r="T71" i="2"/>
  <c r="T70" i="2" s="1"/>
  <c r="T120" i="2" s="1"/>
  <c r="T144" i="2" s="1"/>
  <c r="U71" i="2"/>
  <c r="U70" i="2" s="1"/>
  <c r="U120" i="2" s="1"/>
  <c r="U144" i="2" s="1"/>
  <c r="V71" i="2"/>
  <c r="V70" i="2" s="1"/>
  <c r="V120" i="2" s="1"/>
  <c r="V144" i="2" s="1"/>
  <c r="W71" i="2"/>
  <c r="W70" i="2" s="1"/>
  <c r="W120" i="2" s="1"/>
  <c r="X71" i="2"/>
  <c r="X70" i="2" s="1"/>
  <c r="X120" i="2" s="1"/>
  <c r="X144" i="2" s="1"/>
  <c r="Y120" i="2"/>
  <c r="Y144" i="2" s="1"/>
  <c r="BJ45" i="2"/>
  <c r="BJ196" i="2" s="1"/>
  <c r="BJ43" i="2"/>
  <c r="BJ194" i="2" s="1"/>
  <c r="BK43" i="2"/>
  <c r="BK194" i="2" s="1"/>
  <c r="BL43" i="2"/>
  <c r="BL194" i="2" s="1"/>
  <c r="BJ44" i="2"/>
  <c r="BJ195" i="2" s="1"/>
  <c r="BK44" i="2"/>
  <c r="BK195" i="2" s="1"/>
  <c r="BL44" i="2"/>
  <c r="BL45" i="2"/>
  <c r="BL196" i="2" s="1"/>
  <c r="BJ70" i="2"/>
  <c r="BJ71" i="2" s="1"/>
  <c r="BK70" i="2"/>
  <c r="BK71" i="2" s="1"/>
  <c r="BL70" i="2"/>
  <c r="BH177" i="2"/>
  <c r="BH179" i="2" s="1"/>
  <c r="BI177" i="2"/>
  <c r="BI179" i="2" s="1"/>
  <c r="BJ177" i="2"/>
  <c r="BJ179" i="2" s="1"/>
  <c r="BK177" i="2"/>
  <c r="BK179" i="2" s="1"/>
  <c r="BL177" i="2"/>
  <c r="BL179" i="2" s="1"/>
  <c r="AV177" i="2"/>
  <c r="AV179" i="2" s="1"/>
  <c r="AX177" i="2"/>
  <c r="AX179" i="2" s="1"/>
  <c r="AY177" i="2"/>
  <c r="AY126" i="2" s="1"/>
  <c r="AZ177" i="2"/>
  <c r="AZ126" i="2" s="1"/>
  <c r="BH127" i="2"/>
  <c r="BH132" i="2"/>
  <c r="BI127" i="2"/>
  <c r="BI132" i="2"/>
  <c r="BJ121" i="2"/>
  <c r="BJ127" i="2"/>
  <c r="BJ132" i="2"/>
  <c r="BK121" i="2"/>
  <c r="BK127" i="2"/>
  <c r="BK132" i="2"/>
  <c r="BL121" i="2"/>
  <c r="BL127" i="2"/>
  <c r="BL132" i="2"/>
  <c r="BJ187" i="2"/>
  <c r="BK187" i="2"/>
  <c r="BL187" i="2"/>
  <c r="BH143" i="2"/>
  <c r="BI143" i="2"/>
  <c r="BJ143" i="2"/>
  <c r="BK143" i="2"/>
  <c r="BL143" i="2"/>
  <c r="BJ144" i="2"/>
  <c r="BK144" i="2"/>
  <c r="BL144" i="2"/>
  <c r="BH10" i="2"/>
  <c r="BI10" i="2"/>
  <c r="BJ10" i="2"/>
  <c r="BK10" i="2"/>
  <c r="BL10" i="2"/>
  <c r="BH147" i="2"/>
  <c r="BI147" i="2"/>
  <c r="BJ147" i="2"/>
  <c r="BK147" i="2"/>
  <c r="BL147" i="2"/>
  <c r="BH148" i="2"/>
  <c r="BI148" i="2"/>
  <c r="BJ148" i="2"/>
  <c r="BK148" i="2"/>
  <c r="BL148" i="2"/>
  <c r="BH149" i="2"/>
  <c r="BI149" i="2"/>
  <c r="BJ149" i="2"/>
  <c r="BK149" i="2"/>
  <c r="BL149" i="2"/>
  <c r="BH150" i="2"/>
  <c r="BI150" i="2"/>
  <c r="BJ150" i="2"/>
  <c r="BK150" i="2"/>
  <c r="BL150" i="2"/>
  <c r="BH16" i="2"/>
  <c r="BI16" i="2"/>
  <c r="BJ16" i="2"/>
  <c r="BK16" i="2"/>
  <c r="BL16" i="2"/>
  <c r="BH153" i="2"/>
  <c r="BI153" i="2"/>
  <c r="BJ153" i="2"/>
  <c r="BK153" i="2"/>
  <c r="BL153" i="2"/>
  <c r="BH154" i="2"/>
  <c r="BI154" i="2"/>
  <c r="BJ154" i="2"/>
  <c r="BK154" i="2"/>
  <c r="BL154" i="2"/>
  <c r="BH155" i="2"/>
  <c r="BI155" i="2"/>
  <c r="BJ155" i="2"/>
  <c r="BK155" i="2"/>
  <c r="BL155" i="2"/>
  <c r="BH21" i="2"/>
  <c r="BI21" i="2"/>
  <c r="BJ21" i="2"/>
  <c r="BK21" i="2"/>
  <c r="BL21" i="2"/>
  <c r="AV53" i="2"/>
  <c r="AV55" i="2" s="1"/>
  <c r="AV46" i="2"/>
  <c r="AW46" i="2"/>
  <c r="AW48" i="2" s="1"/>
  <c r="AX53" i="2"/>
  <c r="AX15" i="2" s="1"/>
  <c r="AY53" i="2"/>
  <c r="AZ53" i="2"/>
  <c r="BH66" i="2"/>
  <c r="BI66" i="2"/>
  <c r="BJ66" i="2"/>
  <c r="BK66" i="2"/>
  <c r="BL66" i="2"/>
  <c r="BH36" i="2"/>
  <c r="BI36" i="2"/>
  <c r="BJ36" i="2"/>
  <c r="BK36" i="2"/>
  <c r="BL36" i="2"/>
  <c r="AV21" i="2"/>
  <c r="AW21" i="2"/>
  <c r="AX21" i="2"/>
  <c r="AY21" i="2"/>
  <c r="AZ8" i="2"/>
  <c r="BD34" i="2"/>
  <c r="BE34" i="2"/>
  <c r="BE35" i="2" s="1"/>
  <c r="BE36" i="2" s="1"/>
  <c r="BF34" i="2"/>
  <c r="BF36" i="2"/>
  <c r="BG36" i="2"/>
  <c r="BG34" i="2"/>
  <c r="BF593" i="2"/>
  <c r="BG593" i="2"/>
  <c r="BF560" i="2"/>
  <c r="BG560" i="2"/>
  <c r="BF457" i="2"/>
  <c r="BF494" i="2"/>
  <c r="BG457" i="2"/>
  <c r="BG494" i="2"/>
  <c r="BF422" i="2"/>
  <c r="BG422" i="2"/>
  <c r="BG126" i="2"/>
  <c r="BF126" i="2"/>
  <c r="BF261" i="2"/>
  <c r="BF265" i="2" s="1"/>
  <c r="BG261" i="2"/>
  <c r="BG265" i="2" s="1"/>
  <c r="BF263" i="2"/>
  <c r="BG263" i="2"/>
  <c r="BF220" i="2"/>
  <c r="BG220" i="2"/>
  <c r="BF225" i="2"/>
  <c r="BG225" i="2"/>
  <c r="BF226" i="2"/>
  <c r="BG226" i="2"/>
  <c r="BF228" i="2"/>
  <c r="BG228" i="2"/>
  <c r="BF177" i="2"/>
  <c r="BF179" i="2" s="1"/>
  <c r="BG177" i="2"/>
  <c r="BG179" i="2" s="1"/>
  <c r="BF121" i="2"/>
  <c r="BF132" i="2"/>
  <c r="BG121" i="2"/>
  <c r="BG132" i="2"/>
  <c r="BF187" i="2"/>
  <c r="BG187" i="2"/>
  <c r="BF143" i="2"/>
  <c r="BG143" i="2"/>
  <c r="BF144" i="2"/>
  <c r="BG144" i="2"/>
  <c r="BF10" i="2"/>
  <c r="BG10" i="2"/>
  <c r="BF148" i="2"/>
  <c r="BG148" i="2"/>
  <c r="BF149" i="2"/>
  <c r="BG149" i="2"/>
  <c r="BF15" i="2"/>
  <c r="BG15" i="2"/>
  <c r="BF153" i="2"/>
  <c r="BG153" i="2"/>
  <c r="BF154" i="2"/>
  <c r="BG154" i="2"/>
  <c r="BF155" i="2"/>
  <c r="BG155" i="2"/>
  <c r="BF21" i="2"/>
  <c r="BG21" i="2"/>
  <c r="BF66" i="2"/>
  <c r="BG66" i="2"/>
  <c r="BF70" i="2"/>
  <c r="BF68" i="2" s="1"/>
  <c r="BG70" i="2"/>
  <c r="BG68" i="2" s="1"/>
  <c r="AT46" i="2"/>
  <c r="AU46" i="2"/>
  <c r="AT21" i="2"/>
  <c r="AU21" i="2"/>
  <c r="AT34" i="2"/>
  <c r="AT35" i="2" s="1"/>
  <c r="AT36" i="2" s="1"/>
  <c r="AU34" i="2"/>
  <c r="AU35" i="2" s="1"/>
  <c r="AU36" i="2" s="1"/>
  <c r="AV34" i="2"/>
  <c r="AV35" i="2" s="1"/>
  <c r="AV36" i="2" s="1"/>
  <c r="AW34" i="2"/>
  <c r="AW35" i="2" s="1"/>
  <c r="AW36" i="2" s="1"/>
  <c r="AX34" i="2"/>
  <c r="AX35" i="2" s="1"/>
  <c r="AX36" i="2" s="1"/>
  <c r="AY34" i="2"/>
  <c r="AY35" i="2" s="1"/>
  <c r="AY36" i="2" s="1"/>
  <c r="BA34" i="2"/>
  <c r="BA35" i="2" s="1"/>
  <c r="BA36" i="2" s="1"/>
  <c r="BB34" i="2"/>
  <c r="BB35" i="2" s="1"/>
  <c r="BB36" i="2" s="1"/>
  <c r="BC34" i="2"/>
  <c r="BC35" i="2" s="1"/>
  <c r="BC36" i="2" s="1"/>
  <c r="AI31" i="2"/>
  <c r="AJ31" i="2"/>
  <c r="AK31" i="2"/>
  <c r="AL31" i="2"/>
  <c r="AM31" i="2"/>
  <c r="AN31" i="2"/>
  <c r="AO31" i="2"/>
  <c r="AP31" i="2"/>
  <c r="AQ34" i="2"/>
  <c r="AQ31" i="2"/>
  <c r="AR34" i="2"/>
  <c r="AR35" i="2" s="1"/>
  <c r="AR36" i="2" s="1"/>
  <c r="AS34" i="2"/>
  <c r="AS35" i="2" s="1"/>
  <c r="AS36" i="2" s="1"/>
  <c r="BC33" i="2"/>
  <c r="BD33" i="2"/>
  <c r="BE33" i="2"/>
  <c r="AZ130" i="2"/>
  <c r="AZ131" i="2"/>
  <c r="BE177" i="2"/>
  <c r="BE179" i="2" s="1"/>
  <c r="BD177" i="2"/>
  <c r="BD126" i="2" s="1"/>
  <c r="BD31" i="2"/>
  <c r="BE31" i="2"/>
  <c r="BD53" i="2"/>
  <c r="BD55" i="2" s="1"/>
  <c r="BE53" i="2"/>
  <c r="BE15" i="2" s="1"/>
  <c r="BE590" i="2"/>
  <c r="BD590" i="2"/>
  <c r="BE589" i="2"/>
  <c r="BD589" i="2"/>
  <c r="BE588" i="2"/>
  <c r="BD588" i="2"/>
  <c r="BE587" i="2"/>
  <c r="BD587" i="2"/>
  <c r="BE586" i="2"/>
  <c r="BD586" i="2"/>
  <c r="BE585" i="2"/>
  <c r="BD585" i="2"/>
  <c r="BE584" i="2"/>
  <c r="BD584" i="2"/>
  <c r="BE583" i="2"/>
  <c r="BD583" i="2"/>
  <c r="BE582" i="2"/>
  <c r="BD582" i="2"/>
  <c r="BE581" i="2"/>
  <c r="BD581" i="2"/>
  <c r="BE580" i="2"/>
  <c r="BD580" i="2"/>
  <c r="BE579" i="2"/>
  <c r="BD579" i="2"/>
  <c r="BE578" i="2"/>
  <c r="BD578" i="2"/>
  <c r="BE577" i="2"/>
  <c r="BD577" i="2"/>
  <c r="BE576" i="2"/>
  <c r="BD576" i="2"/>
  <c r="BD575" i="2"/>
  <c r="BE575" i="2"/>
  <c r="BE574" i="2"/>
  <c r="BD574" i="2"/>
  <c r="BE573" i="2"/>
  <c r="BD573" i="2"/>
  <c r="BD572" i="2"/>
  <c r="BE572" i="2"/>
  <c r="BE571" i="2"/>
  <c r="BD571" i="2"/>
  <c r="BD568" i="2"/>
  <c r="BD569" i="2"/>
  <c r="BD570" i="2"/>
  <c r="BE568" i="2"/>
  <c r="BE569" i="2"/>
  <c r="BE570" i="2"/>
  <c r="BD557" i="2"/>
  <c r="BE557" i="2"/>
  <c r="BD534" i="2"/>
  <c r="BD535" i="2"/>
  <c r="BD536" i="2"/>
  <c r="BD537" i="2"/>
  <c r="BD538" i="2"/>
  <c r="BD539" i="2"/>
  <c r="BD540" i="2"/>
  <c r="BD541" i="2"/>
  <c r="BD542" i="2"/>
  <c r="BD543" i="2"/>
  <c r="BD544" i="2"/>
  <c r="BD545" i="2"/>
  <c r="BD546" i="2"/>
  <c r="BD547" i="2"/>
  <c r="BD548" i="2"/>
  <c r="BD549" i="2"/>
  <c r="BD550" i="2"/>
  <c r="BD551" i="2"/>
  <c r="BD552" i="2"/>
  <c r="BD553" i="2"/>
  <c r="BD554" i="2"/>
  <c r="BD555" i="2"/>
  <c r="BD556" i="2"/>
  <c r="BD558" i="2"/>
  <c r="BE534" i="2"/>
  <c r="BE535" i="2"/>
  <c r="BE536" i="2"/>
  <c r="BE537" i="2"/>
  <c r="BE538" i="2"/>
  <c r="BE539" i="2"/>
  <c r="BE540" i="2"/>
  <c r="BE541" i="2"/>
  <c r="BE542" i="2"/>
  <c r="BE543" i="2"/>
  <c r="BE544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8" i="2"/>
  <c r="AV534" i="2"/>
  <c r="AV535" i="2"/>
  <c r="AV536" i="2"/>
  <c r="AV537" i="2"/>
  <c r="AV538" i="2"/>
  <c r="AV539" i="2"/>
  <c r="AV540" i="2"/>
  <c r="AV541" i="2"/>
  <c r="AV542" i="2"/>
  <c r="AV543" i="2"/>
  <c r="AV545" i="2"/>
  <c r="AV548" i="2"/>
  <c r="AV551" i="2"/>
  <c r="AV552" i="2"/>
  <c r="AV558" i="2"/>
  <c r="AW534" i="2"/>
  <c r="AW535" i="2"/>
  <c r="AW536" i="2"/>
  <c r="AW537" i="2"/>
  <c r="AW538" i="2"/>
  <c r="AW539" i="2"/>
  <c r="AW540" i="2"/>
  <c r="AW541" i="2"/>
  <c r="AW542" i="2"/>
  <c r="AW543" i="2"/>
  <c r="AW545" i="2"/>
  <c r="AW548" i="2"/>
  <c r="AW551" i="2"/>
  <c r="AW552" i="2"/>
  <c r="AW558" i="2"/>
  <c r="AX534" i="2"/>
  <c r="AX535" i="2"/>
  <c r="AX536" i="2"/>
  <c r="AX537" i="2"/>
  <c r="AX538" i="2"/>
  <c r="AX539" i="2"/>
  <c r="AX540" i="2"/>
  <c r="AX541" i="2"/>
  <c r="AX542" i="2"/>
  <c r="AX543" i="2"/>
  <c r="AX545" i="2"/>
  <c r="AX548" i="2"/>
  <c r="AX551" i="2"/>
  <c r="AX552" i="2"/>
  <c r="AX558" i="2"/>
  <c r="AY534" i="2"/>
  <c r="AY535" i="2"/>
  <c r="AY536" i="2"/>
  <c r="AY537" i="2"/>
  <c r="AY538" i="2"/>
  <c r="AY539" i="2"/>
  <c r="AY540" i="2"/>
  <c r="AY541" i="2"/>
  <c r="AY542" i="2"/>
  <c r="AY543" i="2"/>
  <c r="AY545" i="2"/>
  <c r="AY548" i="2"/>
  <c r="AY551" i="2"/>
  <c r="AY552" i="2"/>
  <c r="AY558" i="2"/>
  <c r="AZ534" i="2"/>
  <c r="AZ535" i="2"/>
  <c r="AZ536" i="2"/>
  <c r="AZ537" i="2"/>
  <c r="AZ538" i="2"/>
  <c r="AZ539" i="2"/>
  <c r="AZ540" i="2"/>
  <c r="AZ541" i="2"/>
  <c r="AZ542" i="2"/>
  <c r="AZ543" i="2"/>
  <c r="AZ545" i="2"/>
  <c r="AZ548" i="2"/>
  <c r="AZ551" i="2"/>
  <c r="AZ552" i="2"/>
  <c r="AZ558" i="2"/>
  <c r="BA534" i="2"/>
  <c r="BA535" i="2"/>
  <c r="BA536" i="2"/>
  <c r="BA537" i="2"/>
  <c r="BA538" i="2"/>
  <c r="BA539" i="2"/>
  <c r="BA540" i="2"/>
  <c r="BA541" i="2"/>
  <c r="BA542" i="2"/>
  <c r="BA543" i="2"/>
  <c r="BA545" i="2"/>
  <c r="BA548" i="2"/>
  <c r="BA551" i="2"/>
  <c r="BA552" i="2"/>
  <c r="BA558" i="2"/>
  <c r="BB534" i="2"/>
  <c r="BB535" i="2"/>
  <c r="BB536" i="2"/>
  <c r="BB537" i="2"/>
  <c r="BB538" i="2"/>
  <c r="BB539" i="2"/>
  <c r="BB540" i="2"/>
  <c r="BB541" i="2"/>
  <c r="BB542" i="2"/>
  <c r="BB543" i="2"/>
  <c r="BB544" i="2"/>
  <c r="BB545" i="2"/>
  <c r="BB546" i="2"/>
  <c r="BB547" i="2"/>
  <c r="BB548" i="2"/>
  <c r="BB549" i="2"/>
  <c r="BB550" i="2"/>
  <c r="BB551" i="2"/>
  <c r="BB552" i="2"/>
  <c r="BB558" i="2"/>
  <c r="BC534" i="2"/>
  <c r="BC535" i="2"/>
  <c r="BC536" i="2"/>
  <c r="BC537" i="2"/>
  <c r="BC538" i="2"/>
  <c r="BC539" i="2"/>
  <c r="BC540" i="2"/>
  <c r="BC541" i="2"/>
  <c r="BC542" i="2"/>
  <c r="BC543" i="2"/>
  <c r="BC544" i="2"/>
  <c r="BC545" i="2"/>
  <c r="BC546" i="2"/>
  <c r="BC547" i="2"/>
  <c r="BC548" i="2"/>
  <c r="BC549" i="2"/>
  <c r="BC550" i="2"/>
  <c r="BC551" i="2"/>
  <c r="BC552" i="2"/>
  <c r="BC553" i="2"/>
  <c r="BC554" i="2"/>
  <c r="BC555" i="2"/>
  <c r="BC556" i="2"/>
  <c r="BC558" i="2"/>
  <c r="BE492" i="2"/>
  <c r="BD492" i="2"/>
  <c r="BE491" i="2"/>
  <c r="BD491" i="2"/>
  <c r="BE490" i="2"/>
  <c r="BD490" i="2"/>
  <c r="BE489" i="2"/>
  <c r="BD489" i="2"/>
  <c r="BE488" i="2"/>
  <c r="BD488" i="2"/>
  <c r="BE487" i="2"/>
  <c r="BD487" i="2"/>
  <c r="BE486" i="2"/>
  <c r="BD486" i="2"/>
  <c r="BE485" i="2"/>
  <c r="BD485" i="2"/>
  <c r="BE484" i="2"/>
  <c r="BD484" i="2"/>
  <c r="BE483" i="2"/>
  <c r="BD483" i="2"/>
  <c r="BE482" i="2"/>
  <c r="BD482" i="2"/>
  <c r="BE481" i="2"/>
  <c r="BD481" i="2"/>
  <c r="BE480" i="2"/>
  <c r="BD480" i="2"/>
  <c r="BE479" i="2"/>
  <c r="BD479" i="2"/>
  <c r="BE478" i="2"/>
  <c r="BD478" i="2"/>
  <c r="BE477" i="2"/>
  <c r="BD477" i="2"/>
  <c r="BE476" i="2"/>
  <c r="BD476" i="2"/>
  <c r="BE475" i="2"/>
  <c r="BD475" i="2"/>
  <c r="BE474" i="2"/>
  <c r="BD474" i="2"/>
  <c r="BE473" i="2"/>
  <c r="BD473" i="2"/>
  <c r="BE472" i="2"/>
  <c r="BD472" i="2"/>
  <c r="BE471" i="2"/>
  <c r="BD471" i="2"/>
  <c r="BE470" i="2"/>
  <c r="BD470" i="2"/>
  <c r="BD465" i="2"/>
  <c r="BD466" i="2"/>
  <c r="BD467" i="2"/>
  <c r="BD468" i="2"/>
  <c r="BD469" i="2"/>
  <c r="BE465" i="2"/>
  <c r="BE466" i="2"/>
  <c r="BE467" i="2"/>
  <c r="BE468" i="2"/>
  <c r="BE469" i="2"/>
  <c r="BD444" i="2"/>
  <c r="BE444" i="2"/>
  <c r="BE431" i="2"/>
  <c r="BE454" i="2"/>
  <c r="BD454" i="2"/>
  <c r="BE453" i="2"/>
  <c r="BD453" i="2"/>
  <c r="BD452" i="2"/>
  <c r="BE452" i="2"/>
  <c r="BE523" i="2" s="1"/>
  <c r="BE451" i="2"/>
  <c r="BD451" i="2"/>
  <c r="BE450" i="2"/>
  <c r="BD450" i="2"/>
  <c r="BE449" i="2"/>
  <c r="BD449" i="2"/>
  <c r="BE448" i="2"/>
  <c r="BD448" i="2"/>
  <c r="BE447" i="2"/>
  <c r="BD447" i="2"/>
  <c r="BE446" i="2"/>
  <c r="BD446" i="2"/>
  <c r="BE445" i="2"/>
  <c r="BD445" i="2"/>
  <c r="BE443" i="2"/>
  <c r="BD443" i="2"/>
  <c r="BE442" i="2"/>
  <c r="BD442" i="2"/>
  <c r="BE441" i="2"/>
  <c r="BD441" i="2"/>
  <c r="BE440" i="2"/>
  <c r="BD440" i="2"/>
  <c r="BE439" i="2"/>
  <c r="BD439" i="2"/>
  <c r="BE438" i="2"/>
  <c r="BD438" i="2"/>
  <c r="BE437" i="2"/>
  <c r="BD437" i="2"/>
  <c r="BE436" i="2"/>
  <c r="BD436" i="2"/>
  <c r="BE435" i="2"/>
  <c r="BD435" i="2"/>
  <c r="BE434" i="2"/>
  <c r="BE433" i="2"/>
  <c r="BD434" i="2"/>
  <c r="BD433" i="2"/>
  <c r="BE432" i="2"/>
  <c r="BD432" i="2"/>
  <c r="BE430" i="2"/>
  <c r="BD431" i="2"/>
  <c r="BD430" i="2"/>
  <c r="AV431" i="2"/>
  <c r="AW431" i="2"/>
  <c r="AX431" i="2"/>
  <c r="AY431" i="2"/>
  <c r="AZ431" i="2"/>
  <c r="BA431" i="2"/>
  <c r="BB431" i="2"/>
  <c r="BC431" i="2"/>
  <c r="AV430" i="2"/>
  <c r="AV432" i="2"/>
  <c r="AV433" i="2"/>
  <c r="AV435" i="2"/>
  <c r="AV436" i="2"/>
  <c r="AV437" i="2"/>
  <c r="AV438" i="2"/>
  <c r="AV513" i="2" s="1"/>
  <c r="AV439" i="2"/>
  <c r="AV440" i="2"/>
  <c r="AV442" i="2"/>
  <c r="AV443" i="2"/>
  <c r="AV446" i="2"/>
  <c r="AV447" i="2"/>
  <c r="AV448" i="2"/>
  <c r="AV449" i="2"/>
  <c r="AV450" i="2"/>
  <c r="AV451" i="2"/>
  <c r="AV455" i="2"/>
  <c r="AW430" i="2"/>
  <c r="AW432" i="2"/>
  <c r="AW433" i="2"/>
  <c r="AW435" i="2"/>
  <c r="AW436" i="2"/>
  <c r="AW437" i="2"/>
  <c r="AW438" i="2"/>
  <c r="AW439" i="2"/>
  <c r="AW440" i="2"/>
  <c r="AW442" i="2"/>
  <c r="AW443" i="2"/>
  <c r="AW446" i="2"/>
  <c r="AW447" i="2"/>
  <c r="AW448" i="2"/>
  <c r="AW449" i="2"/>
  <c r="AW450" i="2"/>
  <c r="AW451" i="2"/>
  <c r="AW455" i="2"/>
  <c r="AX430" i="2"/>
  <c r="AX502" i="2" s="1"/>
  <c r="AX432" i="2"/>
  <c r="AX433" i="2"/>
  <c r="AX435" i="2"/>
  <c r="AX436" i="2"/>
  <c r="AX437" i="2"/>
  <c r="AX438" i="2"/>
  <c r="AX439" i="2"/>
  <c r="AX440" i="2"/>
  <c r="AX441" i="2"/>
  <c r="AX442" i="2"/>
  <c r="AX443" i="2"/>
  <c r="AX446" i="2"/>
  <c r="AX447" i="2"/>
  <c r="AX448" i="2"/>
  <c r="AX449" i="2"/>
  <c r="AX450" i="2"/>
  <c r="AX451" i="2"/>
  <c r="AX455" i="2"/>
  <c r="AY430" i="2"/>
  <c r="AY432" i="2"/>
  <c r="AY433" i="2"/>
  <c r="AY506" i="2" s="1"/>
  <c r="AY435" i="2"/>
  <c r="AY436" i="2"/>
  <c r="AY437" i="2"/>
  <c r="AY438" i="2"/>
  <c r="AY439" i="2"/>
  <c r="AY440" i="2"/>
  <c r="AY441" i="2"/>
  <c r="AY442" i="2"/>
  <c r="AY443" i="2"/>
  <c r="AY446" i="2"/>
  <c r="AY447" i="2"/>
  <c r="AY448" i="2"/>
  <c r="AY449" i="2"/>
  <c r="AY450" i="2"/>
  <c r="AY451" i="2"/>
  <c r="AZ430" i="2"/>
  <c r="AZ432" i="2"/>
  <c r="AZ433" i="2"/>
  <c r="AZ435" i="2"/>
  <c r="AZ508" i="2" s="1"/>
  <c r="AZ436" i="2"/>
  <c r="AZ437" i="2"/>
  <c r="AZ438" i="2"/>
  <c r="AZ439" i="2"/>
  <c r="AZ440" i="2"/>
  <c r="AZ441" i="2"/>
  <c r="AZ442" i="2"/>
  <c r="AZ443" i="2"/>
  <c r="AZ446" i="2"/>
  <c r="AZ447" i="2"/>
  <c r="AZ448" i="2"/>
  <c r="AZ449" i="2"/>
  <c r="AZ450" i="2"/>
  <c r="AZ451" i="2"/>
  <c r="BA430" i="2"/>
  <c r="BA432" i="2"/>
  <c r="BA433" i="2"/>
  <c r="BA435" i="2"/>
  <c r="BA436" i="2"/>
  <c r="BA437" i="2"/>
  <c r="BA438" i="2"/>
  <c r="BA439" i="2"/>
  <c r="BA440" i="2"/>
  <c r="BA441" i="2"/>
  <c r="BA442" i="2"/>
  <c r="BA443" i="2"/>
  <c r="BA446" i="2"/>
  <c r="BA447" i="2"/>
  <c r="BA448" i="2"/>
  <c r="BA449" i="2"/>
  <c r="BA450" i="2"/>
  <c r="BA451" i="2"/>
  <c r="BB430" i="2"/>
  <c r="BB432" i="2"/>
  <c r="BB433" i="2"/>
  <c r="BB434" i="2"/>
  <c r="BB435" i="2"/>
  <c r="BB436" i="2"/>
  <c r="BB437" i="2"/>
  <c r="BB438" i="2"/>
  <c r="BB439" i="2"/>
  <c r="BB440" i="2"/>
  <c r="BB441" i="2"/>
  <c r="BB442" i="2"/>
  <c r="BB443" i="2"/>
  <c r="BB444" i="2"/>
  <c r="BB445" i="2"/>
  <c r="BB446" i="2"/>
  <c r="BB447" i="2"/>
  <c r="BB448" i="2"/>
  <c r="BB449" i="2"/>
  <c r="BB450" i="2"/>
  <c r="BB451" i="2"/>
  <c r="BB455" i="2"/>
  <c r="BC430" i="2"/>
  <c r="BC432" i="2"/>
  <c r="BC433" i="2"/>
  <c r="BC434" i="2"/>
  <c r="BC435" i="2"/>
  <c r="BC436" i="2"/>
  <c r="BC437" i="2"/>
  <c r="BC438" i="2"/>
  <c r="BC439" i="2"/>
  <c r="BC440" i="2"/>
  <c r="BC441" i="2"/>
  <c r="BC442" i="2"/>
  <c r="BC443" i="2"/>
  <c r="BC444" i="2"/>
  <c r="BC445" i="2"/>
  <c r="BC446" i="2"/>
  <c r="BC447" i="2"/>
  <c r="BC448" i="2"/>
  <c r="BC449" i="2"/>
  <c r="BC450" i="2"/>
  <c r="BC451" i="2"/>
  <c r="BC452" i="2"/>
  <c r="BC453" i="2"/>
  <c r="BC454" i="2"/>
  <c r="AX569" i="2"/>
  <c r="AY569" i="2"/>
  <c r="AZ569" i="2"/>
  <c r="BA569" i="2"/>
  <c r="BB569" i="2"/>
  <c r="BC569" i="2"/>
  <c r="AX568" i="2"/>
  <c r="AX570" i="2"/>
  <c r="AX571" i="2"/>
  <c r="AX572" i="2"/>
  <c r="AX574" i="2"/>
  <c r="AX575" i="2"/>
  <c r="AX576" i="2"/>
  <c r="AX578" i="2"/>
  <c r="AX579" i="2"/>
  <c r="AX580" i="2"/>
  <c r="AX581" i="2"/>
  <c r="AX582" i="2"/>
  <c r="AX585" i="2"/>
  <c r="AX587" i="2"/>
  <c r="AX591" i="2"/>
  <c r="AY568" i="2"/>
  <c r="AY570" i="2"/>
  <c r="AY571" i="2"/>
  <c r="AY572" i="2"/>
  <c r="AY574" i="2"/>
  <c r="AY575" i="2"/>
  <c r="AY576" i="2"/>
  <c r="AY578" i="2"/>
  <c r="AY579" i="2"/>
  <c r="AY580" i="2"/>
  <c r="AY581" i="2"/>
  <c r="AY582" i="2"/>
  <c r="AY585" i="2"/>
  <c r="AY587" i="2"/>
  <c r="AY591" i="2"/>
  <c r="AZ568" i="2"/>
  <c r="AZ570" i="2"/>
  <c r="AZ571" i="2"/>
  <c r="AZ572" i="2"/>
  <c r="AZ574" i="2"/>
  <c r="AZ575" i="2"/>
  <c r="AZ576" i="2"/>
  <c r="AZ578" i="2"/>
  <c r="AZ579" i="2"/>
  <c r="AZ580" i="2"/>
  <c r="AZ581" i="2"/>
  <c r="AZ582" i="2"/>
  <c r="AZ585" i="2"/>
  <c r="AZ587" i="2"/>
  <c r="AZ591" i="2"/>
  <c r="BA568" i="2"/>
  <c r="BA570" i="2"/>
  <c r="BA571" i="2"/>
  <c r="BA572" i="2"/>
  <c r="BA574" i="2"/>
  <c r="BA575" i="2"/>
  <c r="BA576" i="2"/>
  <c r="BA578" i="2"/>
  <c r="BA579" i="2"/>
  <c r="BA580" i="2"/>
  <c r="BA581" i="2"/>
  <c r="BA582" i="2"/>
  <c r="BA585" i="2"/>
  <c r="BA587" i="2"/>
  <c r="BB568" i="2"/>
  <c r="BB570" i="2"/>
  <c r="BB571" i="2"/>
  <c r="BB572" i="2"/>
  <c r="BB573" i="2"/>
  <c r="BB574" i="2"/>
  <c r="BB575" i="2"/>
  <c r="BB576" i="2"/>
  <c r="BB577" i="2"/>
  <c r="BB578" i="2"/>
  <c r="BB579" i="2"/>
  <c r="BB580" i="2"/>
  <c r="BB581" i="2"/>
  <c r="BB582" i="2"/>
  <c r="BB583" i="2"/>
  <c r="BB584" i="2"/>
  <c r="BB585" i="2"/>
  <c r="BB586" i="2"/>
  <c r="BB587" i="2"/>
  <c r="BC568" i="2"/>
  <c r="BC570" i="2"/>
  <c r="BC571" i="2"/>
  <c r="BC572" i="2"/>
  <c r="BC573" i="2"/>
  <c r="BC574" i="2"/>
  <c r="BC575" i="2"/>
  <c r="BC576" i="2"/>
  <c r="BC577" i="2"/>
  <c r="BC578" i="2"/>
  <c r="BC579" i="2"/>
  <c r="BC580" i="2"/>
  <c r="BC581" i="2"/>
  <c r="BC582" i="2"/>
  <c r="BC583" i="2"/>
  <c r="BC584" i="2"/>
  <c r="BC585" i="2"/>
  <c r="BC586" i="2"/>
  <c r="BC587" i="2"/>
  <c r="BC588" i="2"/>
  <c r="BC589" i="2"/>
  <c r="BC590" i="2"/>
  <c r="AV466" i="2"/>
  <c r="AW466" i="2"/>
  <c r="AX466" i="2"/>
  <c r="AY466" i="2"/>
  <c r="AZ466" i="2"/>
  <c r="BA466" i="2"/>
  <c r="BB466" i="2"/>
  <c r="BC466" i="2"/>
  <c r="AV465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2" i="2"/>
  <c r="AV520" i="2" s="1"/>
  <c r="AV483" i="2"/>
  <c r="AV487" i="2"/>
  <c r="AV489" i="2"/>
  <c r="AV492" i="2"/>
  <c r="AW465" i="2"/>
  <c r="AW468" i="2"/>
  <c r="AW469" i="2"/>
  <c r="AW470" i="2"/>
  <c r="AW471" i="2"/>
  <c r="AW516" i="2" s="1"/>
  <c r="AW472" i="2"/>
  <c r="AW473" i="2"/>
  <c r="AW474" i="2"/>
  <c r="AW475" i="2"/>
  <c r="AW476" i="2"/>
  <c r="AW477" i="2"/>
  <c r="AW478" i="2"/>
  <c r="AW479" i="2"/>
  <c r="AW480" i="2"/>
  <c r="AW482" i="2"/>
  <c r="AW520" i="2" s="1"/>
  <c r="AW483" i="2"/>
  <c r="AW487" i="2"/>
  <c r="AW489" i="2"/>
  <c r="AW492" i="2"/>
  <c r="AX465" i="2"/>
  <c r="AX468" i="2"/>
  <c r="AX469" i="2"/>
  <c r="AX470" i="2"/>
  <c r="AX471" i="2"/>
  <c r="AX472" i="2"/>
  <c r="AX473" i="2"/>
  <c r="AX474" i="2"/>
  <c r="AX475" i="2"/>
  <c r="AX476" i="2"/>
  <c r="AX477" i="2"/>
  <c r="AX478" i="2"/>
  <c r="AX479" i="2"/>
  <c r="AX480" i="2"/>
  <c r="AX482" i="2"/>
  <c r="AX483" i="2"/>
  <c r="AX487" i="2"/>
  <c r="AX489" i="2"/>
  <c r="AX492" i="2"/>
  <c r="AY465" i="2"/>
  <c r="AY468" i="2"/>
  <c r="AY469" i="2"/>
  <c r="AY470" i="2"/>
  <c r="AY471" i="2"/>
  <c r="AY472" i="2"/>
  <c r="AY473" i="2"/>
  <c r="AY474" i="2"/>
  <c r="AY475" i="2"/>
  <c r="AY476" i="2"/>
  <c r="AY477" i="2"/>
  <c r="AY478" i="2"/>
  <c r="AY479" i="2"/>
  <c r="AY480" i="2"/>
  <c r="AY482" i="2"/>
  <c r="AY483" i="2"/>
  <c r="AY487" i="2"/>
  <c r="AY489" i="2"/>
  <c r="AZ465" i="2"/>
  <c r="AZ468" i="2"/>
  <c r="AZ469" i="2"/>
  <c r="AZ470" i="2"/>
  <c r="AZ471" i="2"/>
  <c r="AZ472" i="2"/>
  <c r="AZ473" i="2"/>
  <c r="AZ474" i="2"/>
  <c r="AZ475" i="2"/>
  <c r="AZ476" i="2"/>
  <c r="AZ477" i="2"/>
  <c r="AZ478" i="2"/>
  <c r="AZ479" i="2"/>
  <c r="AZ480" i="2"/>
  <c r="AZ482" i="2"/>
  <c r="AZ483" i="2"/>
  <c r="AZ487" i="2"/>
  <c r="AZ489" i="2"/>
  <c r="BA465" i="2"/>
  <c r="BA468" i="2"/>
  <c r="BA469" i="2"/>
  <c r="BA470" i="2"/>
  <c r="BA471" i="2"/>
  <c r="BA472" i="2"/>
  <c r="BA473" i="2"/>
  <c r="BA474" i="2"/>
  <c r="BA475" i="2"/>
  <c r="BA476" i="2"/>
  <c r="BA477" i="2"/>
  <c r="BA478" i="2"/>
  <c r="BA479" i="2"/>
  <c r="BA480" i="2"/>
  <c r="BA482" i="2"/>
  <c r="BA483" i="2"/>
  <c r="BA487" i="2"/>
  <c r="BA489" i="2"/>
  <c r="BA521" i="2" s="1"/>
  <c r="BB465" i="2"/>
  <c r="BB467" i="2"/>
  <c r="BB468" i="2"/>
  <c r="BB469" i="2"/>
  <c r="BB470" i="2"/>
  <c r="BB471" i="2"/>
  <c r="BB472" i="2"/>
  <c r="BB473" i="2"/>
  <c r="BB474" i="2"/>
  <c r="BB475" i="2"/>
  <c r="BB476" i="2"/>
  <c r="BB477" i="2"/>
  <c r="BB478" i="2"/>
  <c r="BB479" i="2"/>
  <c r="BB480" i="2"/>
  <c r="BB481" i="2"/>
  <c r="BB482" i="2"/>
  <c r="BB483" i="2"/>
  <c r="BB484" i="2"/>
  <c r="BB485" i="2"/>
  <c r="BB486" i="2"/>
  <c r="BB487" i="2"/>
  <c r="BB488" i="2"/>
  <c r="BB489" i="2"/>
  <c r="BB492" i="2"/>
  <c r="BC465" i="2"/>
  <c r="BC467" i="2"/>
  <c r="BC468" i="2"/>
  <c r="BC469" i="2"/>
  <c r="BC470" i="2"/>
  <c r="BC471" i="2"/>
  <c r="BC472" i="2"/>
  <c r="BC473" i="2"/>
  <c r="BC474" i="2"/>
  <c r="BC475" i="2"/>
  <c r="BC476" i="2"/>
  <c r="BC477" i="2"/>
  <c r="BC478" i="2"/>
  <c r="BC479" i="2"/>
  <c r="BC480" i="2"/>
  <c r="BC481" i="2"/>
  <c r="BC482" i="2"/>
  <c r="BC483" i="2"/>
  <c r="BC484" i="2"/>
  <c r="BC485" i="2"/>
  <c r="BC486" i="2"/>
  <c r="BC487" i="2"/>
  <c r="BC488" i="2"/>
  <c r="BC489" i="2"/>
  <c r="BC490" i="2"/>
  <c r="BC491" i="2"/>
  <c r="BC492" i="2"/>
  <c r="BD422" i="2"/>
  <c r="BE422" i="2"/>
  <c r="BC290" i="2"/>
  <c r="BC291" i="2" s="1"/>
  <c r="BC293" i="2" s="1"/>
  <c r="BC261" i="2"/>
  <c r="BD261" i="2"/>
  <c r="BD265" i="2" s="1"/>
  <c r="BE261" i="2"/>
  <c r="BE265" i="2" s="1"/>
  <c r="BC263" i="2"/>
  <c r="BD263" i="2"/>
  <c r="BE263" i="2"/>
  <c r="BD228" i="2"/>
  <c r="BD225" i="2"/>
  <c r="BD226" i="2"/>
  <c r="BD224" i="2"/>
  <c r="BD220" i="2"/>
  <c r="BD221" i="2"/>
  <c r="BE228" i="2"/>
  <c r="BE225" i="2"/>
  <c r="BE226" i="2"/>
  <c r="BE224" i="2"/>
  <c r="BE220" i="2"/>
  <c r="BE221" i="2"/>
  <c r="BD194" i="2"/>
  <c r="BE194" i="2"/>
  <c r="BD195" i="2"/>
  <c r="BE195" i="2"/>
  <c r="BD196" i="2"/>
  <c r="BE196" i="2"/>
  <c r="BD198" i="2"/>
  <c r="BE198" i="2"/>
  <c r="BD201" i="2"/>
  <c r="BE201" i="2"/>
  <c r="BD202" i="2"/>
  <c r="BE202" i="2"/>
  <c r="BD203" i="2"/>
  <c r="BE203" i="2"/>
  <c r="BD205" i="2"/>
  <c r="BE205" i="2"/>
  <c r="BD208" i="2"/>
  <c r="BE208" i="2"/>
  <c r="BD209" i="2"/>
  <c r="BE209" i="2"/>
  <c r="BD121" i="2"/>
  <c r="BD132" i="2"/>
  <c r="BE121" i="2"/>
  <c r="BE132" i="2"/>
  <c r="BD187" i="2"/>
  <c r="BE187" i="2"/>
  <c r="BD143" i="2"/>
  <c r="BE143" i="2"/>
  <c r="BD144" i="2"/>
  <c r="BE144" i="2"/>
  <c r="BD10" i="2"/>
  <c r="BE10" i="2"/>
  <c r="BD148" i="2"/>
  <c r="BE148" i="2"/>
  <c r="BD149" i="2"/>
  <c r="BE149" i="2"/>
  <c r="BD153" i="2"/>
  <c r="BE153" i="2"/>
  <c r="BD154" i="2"/>
  <c r="BE154" i="2"/>
  <c r="BD155" i="2"/>
  <c r="BE155" i="2"/>
  <c r="BD21" i="2"/>
  <c r="BE21" i="2"/>
  <c r="BC132" i="2"/>
  <c r="BC126" i="2"/>
  <c r="BD70" i="2"/>
  <c r="BD74" i="2" s="1"/>
  <c r="BE70" i="2"/>
  <c r="BE68" i="2" s="1"/>
  <c r="BD75" i="2"/>
  <c r="BE75" i="2"/>
  <c r="BD66" i="2"/>
  <c r="BE66" i="2"/>
  <c r="AR46" i="2"/>
  <c r="AS46" i="2"/>
  <c r="AS48" i="2" s="1"/>
  <c r="BD63" i="2"/>
  <c r="BE63" i="2"/>
  <c r="BD37" i="2"/>
  <c r="BE37" i="2"/>
  <c r="AR21" i="2"/>
  <c r="AS21" i="2"/>
  <c r="BC75" i="2"/>
  <c r="AO53" i="2"/>
  <c r="BC37" i="2"/>
  <c r="BC31" i="2"/>
  <c r="BC15" i="2"/>
  <c r="BB372" i="2"/>
  <c r="BB367" i="2" s="1"/>
  <c r="BC372" i="2"/>
  <c r="BC360" i="2" s="1"/>
  <c r="BB70" i="2"/>
  <c r="AV356" i="2"/>
  <c r="AV381" i="2"/>
  <c r="AW356" i="2"/>
  <c r="AW381" i="2"/>
  <c r="AX356" i="2"/>
  <c r="AX381" i="2"/>
  <c r="AV357" i="2"/>
  <c r="AV382" i="2"/>
  <c r="AV358" i="2"/>
  <c r="AV383" i="2"/>
  <c r="AV359" i="2"/>
  <c r="AV384" i="2"/>
  <c r="AV360" i="2"/>
  <c r="AV385" i="2"/>
  <c r="AV361" i="2"/>
  <c r="AV386" i="2"/>
  <c r="AV362" i="2"/>
  <c r="AV387" i="2"/>
  <c r="AV363" i="2"/>
  <c r="AV388" i="2"/>
  <c r="AV364" i="2"/>
  <c r="AV389" i="2"/>
  <c r="AV365" i="2"/>
  <c r="AV390" i="2"/>
  <c r="AV369" i="2"/>
  <c r="AV394" i="2"/>
  <c r="AV370" i="2"/>
  <c r="AV395" i="2"/>
  <c r="AV420" i="2" s="1"/>
  <c r="AV355" i="2"/>
  <c r="AV380" i="2"/>
  <c r="AW357" i="2"/>
  <c r="AW382" i="2"/>
  <c r="AW358" i="2"/>
  <c r="AW383" i="2"/>
  <c r="AW359" i="2"/>
  <c r="AW384" i="2"/>
  <c r="AW360" i="2"/>
  <c r="AW385" i="2"/>
  <c r="AW361" i="2"/>
  <c r="AW386" i="2"/>
  <c r="AW362" i="2"/>
  <c r="AW387" i="2"/>
  <c r="AW363" i="2"/>
  <c r="AW388" i="2"/>
  <c r="AW364" i="2"/>
  <c r="AW389" i="2"/>
  <c r="AW365" i="2"/>
  <c r="AW390" i="2"/>
  <c r="AW369" i="2"/>
  <c r="AW394" i="2"/>
  <c r="AW370" i="2"/>
  <c r="AW395" i="2"/>
  <c r="AW355" i="2"/>
  <c r="AW380" i="2"/>
  <c r="AX357" i="2"/>
  <c r="AX382" i="2"/>
  <c r="AX358" i="2"/>
  <c r="AX383" i="2"/>
  <c r="AX359" i="2"/>
  <c r="AX384" i="2"/>
  <c r="AX360" i="2"/>
  <c r="AX385" i="2"/>
  <c r="AX361" i="2"/>
  <c r="AX386" i="2"/>
  <c r="AX362" i="2"/>
  <c r="AX387" i="2"/>
  <c r="AX363" i="2"/>
  <c r="AX388" i="2"/>
  <c r="AX364" i="2"/>
  <c r="AX389" i="2"/>
  <c r="AX365" i="2"/>
  <c r="AX390" i="2"/>
  <c r="AX369" i="2"/>
  <c r="AX394" i="2"/>
  <c r="AX370" i="2"/>
  <c r="AX395" i="2"/>
  <c r="AX420" i="2" s="1"/>
  <c r="AX355" i="2"/>
  <c r="AX380" i="2"/>
  <c r="BC327" i="2"/>
  <c r="BC328" i="2"/>
  <c r="BC329" i="2"/>
  <c r="BC330" i="2"/>
  <c r="BC331" i="2"/>
  <c r="BC332" i="2"/>
  <c r="BC333" i="2"/>
  <c r="BC334" i="2"/>
  <c r="BC335" i="2"/>
  <c r="BC336" i="2"/>
  <c r="BC337" i="2"/>
  <c r="BC338" i="2"/>
  <c r="BC339" i="2"/>
  <c r="BC340" i="2"/>
  <c r="BC341" i="2"/>
  <c r="BC342" i="2"/>
  <c r="BC343" i="2"/>
  <c r="BA328" i="2"/>
  <c r="BB328" i="2"/>
  <c r="BA329" i="2"/>
  <c r="BA330" i="2"/>
  <c r="BA331" i="2"/>
  <c r="BA332" i="2"/>
  <c r="BA333" i="2"/>
  <c r="BA334" i="2"/>
  <c r="BA335" i="2"/>
  <c r="BA336" i="2"/>
  <c r="BA337" i="2"/>
  <c r="BA338" i="2"/>
  <c r="BA339" i="2"/>
  <c r="BA340" i="2"/>
  <c r="BA341" i="2"/>
  <c r="BA342" i="2"/>
  <c r="BA343" i="2"/>
  <c r="BA327" i="2"/>
  <c r="BB329" i="2"/>
  <c r="BB330" i="2"/>
  <c r="BB331" i="2"/>
  <c r="BB332" i="2"/>
  <c r="BB333" i="2"/>
  <c r="BB334" i="2"/>
  <c r="BB335" i="2"/>
  <c r="BB336" i="2"/>
  <c r="BB337" i="2"/>
  <c r="BB338" i="2"/>
  <c r="BB339" i="2"/>
  <c r="BB340" i="2"/>
  <c r="BB341" i="2"/>
  <c r="BB342" i="2"/>
  <c r="BB343" i="2"/>
  <c r="BB261" i="2"/>
  <c r="BB265" i="2" s="1"/>
  <c r="BB327" i="2"/>
  <c r="AW301" i="2"/>
  <c r="AV301" i="2"/>
  <c r="AX301" i="2"/>
  <c r="AY301" i="2"/>
  <c r="AZ301" i="2"/>
  <c r="AW302" i="2"/>
  <c r="AV302" i="2"/>
  <c r="AX302" i="2"/>
  <c r="AY302" i="2"/>
  <c r="AZ302" i="2"/>
  <c r="AW303" i="2"/>
  <c r="AV303" i="2"/>
  <c r="AX303" i="2"/>
  <c r="AY303" i="2"/>
  <c r="AZ303" i="2"/>
  <c r="AW304" i="2"/>
  <c r="AV304" i="2"/>
  <c r="AX304" i="2"/>
  <c r="AY304" i="2"/>
  <c r="AZ304" i="2"/>
  <c r="AW305" i="2"/>
  <c r="AV305" i="2"/>
  <c r="AX305" i="2"/>
  <c r="AY305" i="2"/>
  <c r="AZ305" i="2"/>
  <c r="AW306" i="2"/>
  <c r="AV306" i="2"/>
  <c r="AX306" i="2"/>
  <c r="AY306" i="2"/>
  <c r="AZ306" i="2"/>
  <c r="AW307" i="2"/>
  <c r="AV307" i="2"/>
  <c r="AX307" i="2"/>
  <c r="AY307" i="2"/>
  <c r="AZ307" i="2"/>
  <c r="AW308" i="2"/>
  <c r="AV308" i="2"/>
  <c r="AX308" i="2"/>
  <c r="AY308" i="2"/>
  <c r="AZ308" i="2"/>
  <c r="AW309" i="2"/>
  <c r="AV309" i="2"/>
  <c r="AX309" i="2"/>
  <c r="AY309" i="2"/>
  <c r="AZ309" i="2"/>
  <c r="AW310" i="2"/>
  <c r="AV310" i="2"/>
  <c r="AX310" i="2"/>
  <c r="AY310" i="2"/>
  <c r="AZ310" i="2"/>
  <c r="AW311" i="2"/>
  <c r="AV311" i="2"/>
  <c r="AX311" i="2"/>
  <c r="AY311" i="2"/>
  <c r="AZ311" i="2"/>
  <c r="AW312" i="2"/>
  <c r="AV312" i="2"/>
  <c r="AX312" i="2"/>
  <c r="AY312" i="2"/>
  <c r="AZ312" i="2"/>
  <c r="AW313" i="2"/>
  <c r="AV313" i="2"/>
  <c r="AX313" i="2"/>
  <c r="AY313" i="2"/>
  <c r="AZ313" i="2"/>
  <c r="AW314" i="2"/>
  <c r="AV314" i="2"/>
  <c r="AX314" i="2"/>
  <c r="AY314" i="2"/>
  <c r="AZ314" i="2"/>
  <c r="AW315" i="2"/>
  <c r="AV315" i="2"/>
  <c r="AX315" i="2"/>
  <c r="AY315" i="2"/>
  <c r="AZ315" i="2"/>
  <c r="AW316" i="2"/>
  <c r="AV316" i="2"/>
  <c r="AX316" i="2"/>
  <c r="AY316" i="2"/>
  <c r="AZ316" i="2"/>
  <c r="AW290" i="2"/>
  <c r="AW291" i="2" s="1"/>
  <c r="BA290" i="2"/>
  <c r="BA291" i="2" s="1"/>
  <c r="BA293" i="2" s="1"/>
  <c r="BB290" i="2"/>
  <c r="BB291" i="2" s="1"/>
  <c r="BB293" i="2" s="1"/>
  <c r="AV290" i="2"/>
  <c r="AV291" i="2" s="1"/>
  <c r="AV293" i="2" s="1"/>
  <c r="AX290" i="2"/>
  <c r="AX291" i="2" s="1"/>
  <c r="AX293" i="2" s="1"/>
  <c r="AY290" i="2"/>
  <c r="AY291" i="2" s="1"/>
  <c r="AY293" i="2" s="1"/>
  <c r="AZ290" i="2"/>
  <c r="AZ291" i="2" s="1"/>
  <c r="AZ293" i="2" s="1"/>
  <c r="AW300" i="2"/>
  <c r="AV300" i="2"/>
  <c r="AX300" i="2"/>
  <c r="AY300" i="2"/>
  <c r="AZ300" i="2"/>
  <c r="BC66" i="2"/>
  <c r="BC194" i="2"/>
  <c r="BC195" i="2"/>
  <c r="BC196" i="2"/>
  <c r="BC198" i="2"/>
  <c r="BC201" i="2"/>
  <c r="BC202" i="2"/>
  <c r="BC203" i="2"/>
  <c r="BC177" i="2"/>
  <c r="BC179" i="2" s="1"/>
  <c r="BC53" i="2"/>
  <c r="BC55" i="2"/>
  <c r="BC205" i="2"/>
  <c r="BC208" i="2"/>
  <c r="BC209" i="2"/>
  <c r="BC220" i="2"/>
  <c r="BC221" i="2"/>
  <c r="BC224" i="2"/>
  <c r="BC225" i="2"/>
  <c r="BC226" i="2"/>
  <c r="BC228" i="2"/>
  <c r="BC143" i="2"/>
  <c r="BC10" i="2"/>
  <c r="BC148" i="2"/>
  <c r="BC149" i="2"/>
  <c r="BC153" i="2"/>
  <c r="BC154" i="2"/>
  <c r="BC155" i="2"/>
  <c r="BC21" i="2"/>
  <c r="AQ46" i="2"/>
  <c r="AQ48" i="2" s="1"/>
  <c r="BC63" i="2"/>
  <c r="AQ21" i="2"/>
  <c r="Y182" i="2"/>
  <c r="X182" i="2" s="1"/>
  <c r="W182" i="2" s="1"/>
  <c r="V182" i="2" s="1"/>
  <c r="U182" i="2" s="1"/>
  <c r="T182" i="2" s="1"/>
  <c r="Y181" i="2"/>
  <c r="X181" i="2" s="1"/>
  <c r="W181" i="2" s="1"/>
  <c r="V181" i="2" s="1"/>
  <c r="U181" i="2" s="1"/>
  <c r="T181" i="2" s="1"/>
  <c r="S181" i="2" s="1"/>
  <c r="R181" i="2" s="1"/>
  <c r="Q181" i="2" s="1"/>
  <c r="P181" i="2" s="1"/>
  <c r="O181" i="2" s="1"/>
  <c r="N181" i="2" s="1"/>
  <c r="M181" i="2" s="1"/>
  <c r="L181" i="2" s="1"/>
  <c r="K181" i="2" s="1"/>
  <c r="J181" i="2" s="1"/>
  <c r="I181" i="2" s="1"/>
  <c r="H181" i="2" s="1"/>
  <c r="G181" i="2" s="1"/>
  <c r="F181" i="2" s="1"/>
  <c r="E181" i="2" s="1"/>
  <c r="D181" i="2" s="1"/>
  <c r="C181" i="2" s="1"/>
  <c r="B181" i="2" s="1"/>
  <c r="BA33" i="2"/>
  <c r="BB33" i="2"/>
  <c r="BA37" i="2"/>
  <c r="BB37" i="2"/>
  <c r="BB263" i="2"/>
  <c r="BB220" i="2"/>
  <c r="BB221" i="2"/>
  <c r="BB224" i="2"/>
  <c r="BB225" i="2"/>
  <c r="BB226" i="2"/>
  <c r="BB228" i="2"/>
  <c r="BB177" i="2"/>
  <c r="BB179" i="2" s="1"/>
  <c r="AP177" i="2"/>
  <c r="BB121" i="2"/>
  <c r="BB132" i="2"/>
  <c r="BB194" i="2"/>
  <c r="BB195" i="2"/>
  <c r="BB196" i="2"/>
  <c r="BB201" i="2"/>
  <c r="BB202" i="2"/>
  <c r="BB203" i="2"/>
  <c r="BB53" i="2"/>
  <c r="BB55" i="2" s="1"/>
  <c r="BB205" i="2"/>
  <c r="BB208" i="2"/>
  <c r="BB209" i="2"/>
  <c r="BB143" i="2"/>
  <c r="BB144" i="2"/>
  <c r="BB10" i="2"/>
  <c r="BB148" i="2"/>
  <c r="BB149" i="2"/>
  <c r="BB15" i="2"/>
  <c r="BB150" i="2" s="1"/>
  <c r="BB153" i="2"/>
  <c r="BB154" i="2"/>
  <c r="BB155" i="2"/>
  <c r="BB21" i="2"/>
  <c r="BA31" i="2"/>
  <c r="BB31" i="2"/>
  <c r="AP46" i="2"/>
  <c r="AP48" i="2" s="1"/>
  <c r="BB63" i="2"/>
  <c r="BB75" i="2"/>
  <c r="AP21" i="2"/>
  <c r="BA177" i="2"/>
  <c r="BA179" i="2" s="1"/>
  <c r="BA53" i="2"/>
  <c r="BA15" i="2" s="1"/>
  <c r="AY397" i="2"/>
  <c r="AY380" i="2"/>
  <c r="BA220" i="2"/>
  <c r="BA224" i="2"/>
  <c r="BA225" i="2"/>
  <c r="BA226" i="2"/>
  <c r="BA228" i="2"/>
  <c r="BA194" i="2"/>
  <c r="BA195" i="2"/>
  <c r="BA196" i="2"/>
  <c r="BA201" i="2"/>
  <c r="BA202" i="2"/>
  <c r="BA203" i="2"/>
  <c r="BA205" i="2"/>
  <c r="BA208" i="2"/>
  <c r="BA209" i="2"/>
  <c r="AO177" i="2"/>
  <c r="AO179" i="2" s="1"/>
  <c r="BA132" i="2"/>
  <c r="BA143" i="2"/>
  <c r="BA148" i="2"/>
  <c r="BA149" i="2"/>
  <c r="BA153" i="2"/>
  <c r="BA154" i="2"/>
  <c r="BA155" i="2"/>
  <c r="BA21" i="2"/>
  <c r="AO46" i="2"/>
  <c r="AO48" i="2" s="1"/>
  <c r="AO21" i="2"/>
  <c r="AU33" i="2"/>
  <c r="AV33" i="2"/>
  <c r="AW33" i="2"/>
  <c r="AX33" i="2"/>
  <c r="AY33" i="2"/>
  <c r="AU37" i="2"/>
  <c r="AV37" i="2"/>
  <c r="AW37" i="2"/>
  <c r="AX37" i="2"/>
  <c r="AY37" i="2"/>
  <c r="AT37" i="2"/>
  <c r="AT33" i="2"/>
  <c r="AT31" i="2"/>
  <c r="AU31" i="2"/>
  <c r="AV31" i="2"/>
  <c r="AW31" i="2"/>
  <c r="AX31" i="2"/>
  <c r="AY31" i="2"/>
  <c r="AY69" i="2"/>
  <c r="AY221" i="2"/>
  <c r="AY220" i="2"/>
  <c r="AZ220" i="2"/>
  <c r="AY224" i="2"/>
  <c r="AZ224" i="2"/>
  <c r="AY225" i="2"/>
  <c r="AZ225" i="2"/>
  <c r="AY226" i="2"/>
  <c r="AZ226" i="2"/>
  <c r="AY228" i="2"/>
  <c r="AZ228" i="2"/>
  <c r="AX220" i="2"/>
  <c r="AY194" i="2"/>
  <c r="AZ194" i="2"/>
  <c r="AY195" i="2"/>
  <c r="AZ195" i="2"/>
  <c r="AY196" i="2"/>
  <c r="AZ196" i="2"/>
  <c r="AY198" i="2"/>
  <c r="AY201" i="2"/>
  <c r="AZ201" i="2"/>
  <c r="AY202" i="2"/>
  <c r="AZ202" i="2"/>
  <c r="AY203" i="2"/>
  <c r="AZ203" i="2"/>
  <c r="AY205" i="2"/>
  <c r="AZ205" i="2"/>
  <c r="AY208" i="2"/>
  <c r="AZ208" i="2"/>
  <c r="AY209" i="2"/>
  <c r="AZ209" i="2"/>
  <c r="AM177" i="2"/>
  <c r="AN177" i="2"/>
  <c r="AY132" i="2"/>
  <c r="AZ119" i="2"/>
  <c r="AY143" i="2"/>
  <c r="AY148" i="2"/>
  <c r="AY149" i="2"/>
  <c r="AY153" i="2"/>
  <c r="AY154" i="2"/>
  <c r="AY155" i="2"/>
  <c r="AY75" i="2"/>
  <c r="AM46" i="2"/>
  <c r="AN46" i="2"/>
  <c r="AM21" i="2"/>
  <c r="AN21" i="2"/>
  <c r="AL21" i="2"/>
  <c r="AL46" i="2"/>
  <c r="AL48" i="2" s="1"/>
  <c r="AX69" i="2"/>
  <c r="AX75" i="2"/>
  <c r="DR52" i="2"/>
  <c r="DS52" i="2"/>
  <c r="DT52" i="2"/>
  <c r="DU52" i="2"/>
  <c r="DV52" i="2"/>
  <c r="DW52" i="2"/>
  <c r="DX52" i="2"/>
  <c r="DY52" i="2"/>
  <c r="DZ52" i="2"/>
  <c r="EA52" i="2"/>
  <c r="EB52" i="2"/>
  <c r="EC52" i="2"/>
  <c r="ED52" i="2"/>
  <c r="EE52" i="2"/>
  <c r="EF52" i="2"/>
  <c r="EG52" i="2"/>
  <c r="EH52" i="2"/>
  <c r="EI52" i="2"/>
  <c r="AO208" i="2"/>
  <c r="AP208" i="2"/>
  <c r="AQ208" i="2"/>
  <c r="AR208" i="2"/>
  <c r="AS208" i="2"/>
  <c r="AT208" i="2"/>
  <c r="AU208" i="2"/>
  <c r="AW69" i="2"/>
  <c r="AX221" i="2"/>
  <c r="AX224" i="2"/>
  <c r="AX225" i="2"/>
  <c r="AX226" i="2"/>
  <c r="AX228" i="2"/>
  <c r="AX194" i="2"/>
  <c r="AX195" i="2"/>
  <c r="AX196" i="2"/>
  <c r="AX198" i="2"/>
  <c r="AX201" i="2"/>
  <c r="AX202" i="2"/>
  <c r="AX203" i="2"/>
  <c r="AX205" i="2"/>
  <c r="AX208" i="2"/>
  <c r="AX209" i="2"/>
  <c r="AL177" i="2"/>
  <c r="AL179" i="2" s="1"/>
  <c r="AX132" i="2"/>
  <c r="AX143" i="2"/>
  <c r="AX148" i="2"/>
  <c r="AX149" i="2"/>
  <c r="AX153" i="2"/>
  <c r="AX154" i="2"/>
  <c r="AX155" i="2"/>
  <c r="AQ132" i="2"/>
  <c r="Y53" i="2"/>
  <c r="Y55" i="2" s="1"/>
  <c r="Y46" i="2"/>
  <c r="Y48" i="2" s="1"/>
  <c r="X53" i="2"/>
  <c r="X55" i="2" s="1"/>
  <c r="X15" i="2" s="1"/>
  <c r="X16" i="2" s="1"/>
  <c r="X46" i="2"/>
  <c r="X48" i="2" s="1"/>
  <c r="W53" i="2"/>
  <c r="W55" i="2" s="1"/>
  <c r="W15" i="2" s="1"/>
  <c r="W16" i="2" s="1"/>
  <c r="W46" i="2"/>
  <c r="W48" i="2" s="1"/>
  <c r="V53" i="2"/>
  <c r="V55" i="2" s="1"/>
  <c r="V46" i="2"/>
  <c r="V48" i="2" s="1"/>
  <c r="U53" i="2"/>
  <c r="U55" i="2" s="1"/>
  <c r="U46" i="2"/>
  <c r="U48" i="2" s="1"/>
  <c r="T53" i="2"/>
  <c r="T55" i="2" s="1"/>
  <c r="T46" i="2"/>
  <c r="T48" i="2" s="1"/>
  <c r="S53" i="2"/>
  <c r="S55" i="2" s="1"/>
  <c r="S15" i="2" s="1"/>
  <c r="S16" i="2" s="1"/>
  <c r="S46" i="2"/>
  <c r="S48" i="2" s="1"/>
  <c r="R53" i="2"/>
  <c r="R55" i="2" s="1"/>
  <c r="R46" i="2"/>
  <c r="R48" i="2" s="1"/>
  <c r="Q53" i="2"/>
  <c r="Q55" i="2" s="1"/>
  <c r="Q15" i="2" s="1"/>
  <c r="Q16" i="2" s="1"/>
  <c r="Q46" i="2"/>
  <c r="Q48" i="2" s="1"/>
  <c r="P53" i="2"/>
  <c r="P55" i="2" s="1"/>
  <c r="P15" i="2" s="1"/>
  <c r="P16" i="2" s="1"/>
  <c r="P46" i="2"/>
  <c r="P48" i="2" s="1"/>
  <c r="O53" i="2"/>
  <c r="O55" i="2" s="1"/>
  <c r="O15" i="2" s="1"/>
  <c r="O16" i="2" s="1"/>
  <c r="O46" i="2"/>
  <c r="O48" i="2" s="1"/>
  <c r="N53" i="2"/>
  <c r="N55" i="2" s="1"/>
  <c r="N80" i="2" s="1"/>
  <c r="N46" i="2"/>
  <c r="N48" i="2" s="1"/>
  <c r="AK53" i="2"/>
  <c r="AK55" i="2" s="1"/>
  <c r="AK15" i="2" s="1"/>
  <c r="AK46" i="2"/>
  <c r="AK48" i="2" s="1"/>
  <c r="AJ53" i="2"/>
  <c r="AJ55" i="2" s="1"/>
  <c r="AJ15" i="2" s="1"/>
  <c r="AJ46" i="2"/>
  <c r="AJ48" i="2" s="1"/>
  <c r="AI53" i="2"/>
  <c r="AI55" i="2" s="1"/>
  <c r="AI15" i="2" s="1"/>
  <c r="AI46" i="2"/>
  <c r="AI48" i="2" s="1"/>
  <c r="AH53" i="2"/>
  <c r="AH55" i="2" s="1"/>
  <c r="DL31" i="2" s="1"/>
  <c r="AH46" i="2"/>
  <c r="AG53" i="2"/>
  <c r="AG46" i="2"/>
  <c r="AG48" i="2" s="1"/>
  <c r="AF53" i="2"/>
  <c r="AF55" i="2" s="1"/>
  <c r="AF15" i="2" s="1"/>
  <c r="AF16" i="2" s="1"/>
  <c r="AF46" i="2"/>
  <c r="AF48" i="2" s="1"/>
  <c r="AE53" i="2"/>
  <c r="AE55" i="2" s="1"/>
  <c r="AE46" i="2"/>
  <c r="AE48" i="2" s="1"/>
  <c r="AD53" i="2"/>
  <c r="AD55" i="2" s="1"/>
  <c r="AD15" i="2" s="1"/>
  <c r="AD16" i="2" s="1"/>
  <c r="AD46" i="2"/>
  <c r="AC53" i="2"/>
  <c r="AC55" i="2" s="1"/>
  <c r="AC46" i="2"/>
  <c r="AC48" i="2" s="1"/>
  <c r="AB53" i="2"/>
  <c r="AB55" i="2" s="1"/>
  <c r="AB15" i="2" s="1"/>
  <c r="AB16" i="2" s="1"/>
  <c r="AB46" i="2"/>
  <c r="AB48" i="2" s="1"/>
  <c r="AA53" i="2"/>
  <c r="AA55" i="2" s="1"/>
  <c r="AA15" i="2" s="1"/>
  <c r="AA16" i="2" s="1"/>
  <c r="AA46" i="2"/>
  <c r="AA48" i="2" s="1"/>
  <c r="Z53" i="2"/>
  <c r="Z55" i="2" s="1"/>
  <c r="Z15" i="2" s="1"/>
  <c r="Z16" i="2" s="1"/>
  <c r="Z46" i="2"/>
  <c r="Z48" i="2" s="1"/>
  <c r="AK177" i="2"/>
  <c r="AJ177" i="2"/>
  <c r="AJ179" i="2" s="1"/>
  <c r="AI177" i="2"/>
  <c r="AH177" i="2"/>
  <c r="AG177" i="2"/>
  <c r="AG179" i="2" s="1"/>
  <c r="AF177" i="2"/>
  <c r="AF179" i="2" s="1"/>
  <c r="AE177" i="2"/>
  <c r="AE179" i="2" s="1"/>
  <c r="AD177" i="2"/>
  <c r="AD179" i="2" s="1"/>
  <c r="AC177" i="2"/>
  <c r="AC179" i="2" s="1"/>
  <c r="AB177" i="2"/>
  <c r="AA177" i="2"/>
  <c r="Z177" i="2"/>
  <c r="Z179" i="2" s="1"/>
  <c r="AV69" i="2"/>
  <c r="AK260" i="2"/>
  <c r="AK261" i="2" s="1"/>
  <c r="AK265" i="2" s="1"/>
  <c r="AL261" i="2"/>
  <c r="AL265" i="2" s="1"/>
  <c r="AM261" i="2"/>
  <c r="AM265" i="2" s="1"/>
  <c r="AN261" i="2"/>
  <c r="AN265" i="2" s="1"/>
  <c r="AV220" i="2"/>
  <c r="AW220" i="2"/>
  <c r="AW221" i="2"/>
  <c r="AV224" i="2"/>
  <c r="AW224" i="2"/>
  <c r="AV225" i="2"/>
  <c r="AW225" i="2"/>
  <c r="AV226" i="2"/>
  <c r="AW226" i="2"/>
  <c r="AV228" i="2"/>
  <c r="AW228" i="2"/>
  <c r="AV194" i="2"/>
  <c r="AW194" i="2"/>
  <c r="AV195" i="2"/>
  <c r="AW195" i="2"/>
  <c r="AV196" i="2"/>
  <c r="AW196" i="2"/>
  <c r="AW198" i="2"/>
  <c r="AV201" i="2"/>
  <c r="AW201" i="2"/>
  <c r="AV202" i="2"/>
  <c r="AW202" i="2"/>
  <c r="AV203" i="2"/>
  <c r="AW203" i="2"/>
  <c r="AV205" i="2"/>
  <c r="AW205" i="2"/>
  <c r="AV208" i="2"/>
  <c r="AW208" i="2"/>
  <c r="AV209" i="2"/>
  <c r="AW209" i="2"/>
  <c r="AV132" i="2"/>
  <c r="AW121" i="2"/>
  <c r="AW132" i="2"/>
  <c r="AW187" i="2"/>
  <c r="AV143" i="2"/>
  <c r="AW143" i="2"/>
  <c r="AV148" i="2"/>
  <c r="AW148" i="2"/>
  <c r="AV149" i="2"/>
  <c r="AW149" i="2"/>
  <c r="AV153" i="2"/>
  <c r="AW153" i="2"/>
  <c r="AV154" i="2"/>
  <c r="AW154" i="2"/>
  <c r="AV155" i="2"/>
  <c r="AW155" i="2"/>
  <c r="AW75" i="2"/>
  <c r="AJ10" i="2"/>
  <c r="AJ21" i="2"/>
  <c r="AK21" i="2"/>
  <c r="EE115" i="2"/>
  <c r="EE120" i="2" s="1"/>
  <c r="ER6" i="2" s="1"/>
  <c r="Z228" i="2"/>
  <c r="AA228" i="2"/>
  <c r="AB228" i="2"/>
  <c r="AC228" i="2"/>
  <c r="AD228" i="2"/>
  <c r="AE228" i="2"/>
  <c r="AF228" i="2"/>
  <c r="AG228" i="2"/>
  <c r="AH228" i="2"/>
  <c r="AI228" i="2"/>
  <c r="AJ228" i="2"/>
  <c r="AK228" i="2"/>
  <c r="AL228" i="2"/>
  <c r="AM228" i="2"/>
  <c r="AN228" i="2"/>
  <c r="AO228" i="2"/>
  <c r="AP228" i="2"/>
  <c r="AQ228" i="2"/>
  <c r="AR228" i="2"/>
  <c r="AS228" i="2"/>
  <c r="AT228" i="2"/>
  <c r="AU228" i="2"/>
  <c r="AR226" i="2"/>
  <c r="AS226" i="2"/>
  <c r="AT226" i="2"/>
  <c r="AU226" i="2"/>
  <c r="AS225" i="2"/>
  <c r="AT225" i="2"/>
  <c r="AU225" i="2"/>
  <c r="AR225" i="2"/>
  <c r="K224" i="2"/>
  <c r="L224" i="2"/>
  <c r="L227" i="2" s="1"/>
  <c r="L229" i="2" s="1"/>
  <c r="M224" i="2"/>
  <c r="M227" i="2" s="1"/>
  <c r="M229" i="2" s="1"/>
  <c r="N224" i="2"/>
  <c r="N227" i="2" s="1"/>
  <c r="N229" i="2" s="1"/>
  <c r="N233" i="2" s="1"/>
  <c r="O224" i="2"/>
  <c r="O227" i="2" s="1"/>
  <c r="O229" i="2" s="1"/>
  <c r="O233" i="2" s="1"/>
  <c r="P224" i="2"/>
  <c r="P227" i="2" s="1"/>
  <c r="P229" i="2" s="1"/>
  <c r="Q224" i="2"/>
  <c r="Q227" i="2" s="1"/>
  <c r="R224" i="2"/>
  <c r="R227" i="2" s="1"/>
  <c r="R229" i="2" s="1"/>
  <c r="R233" i="2" s="1"/>
  <c r="S224" i="2"/>
  <c r="S227" i="2" s="1"/>
  <c r="S229" i="2" s="1"/>
  <c r="S233" i="2" s="1"/>
  <c r="T224" i="2"/>
  <c r="T227" i="2" s="1"/>
  <c r="T229" i="2" s="1"/>
  <c r="T233" i="2" s="1"/>
  <c r="U224" i="2"/>
  <c r="U227" i="2" s="1"/>
  <c r="U229" i="2" s="1"/>
  <c r="V224" i="2"/>
  <c r="V227" i="2" s="1"/>
  <c r="V229" i="2" s="1"/>
  <c r="W224" i="2"/>
  <c r="X224" i="2"/>
  <c r="X227" i="2" s="1"/>
  <c r="X229" i="2" s="1"/>
  <c r="Y224" i="2"/>
  <c r="Y227" i="2" s="1"/>
  <c r="Z224" i="2"/>
  <c r="Z227" i="2" s="1"/>
  <c r="AA224" i="2"/>
  <c r="AA227" i="2" s="1"/>
  <c r="AB224" i="2"/>
  <c r="AB227" i="2" s="1"/>
  <c r="AC224" i="2"/>
  <c r="AC227" i="2" s="1"/>
  <c r="AD224" i="2"/>
  <c r="AD227" i="2" s="1"/>
  <c r="AE224" i="2"/>
  <c r="AE227" i="2" s="1"/>
  <c r="AF224" i="2"/>
  <c r="AF227" i="2" s="1"/>
  <c r="AG224" i="2"/>
  <c r="AG227" i="2" s="1"/>
  <c r="AH224" i="2"/>
  <c r="AH227" i="2" s="1"/>
  <c r="AI224" i="2"/>
  <c r="AI227" i="2" s="1"/>
  <c r="AJ224" i="2"/>
  <c r="AJ227" i="2" s="1"/>
  <c r="AK224" i="2"/>
  <c r="AK227" i="2" s="1"/>
  <c r="AL224" i="2"/>
  <c r="AL227" i="2" s="1"/>
  <c r="AM224" i="2"/>
  <c r="AM227" i="2" s="1"/>
  <c r="AN224" i="2"/>
  <c r="AN227" i="2" s="1"/>
  <c r="AO224" i="2"/>
  <c r="AO227" i="2" s="1"/>
  <c r="AP224" i="2"/>
  <c r="AP227" i="2" s="1"/>
  <c r="AQ224" i="2"/>
  <c r="AQ227" i="2" s="1"/>
  <c r="AR224" i="2"/>
  <c r="AS224" i="2"/>
  <c r="AT224" i="2"/>
  <c r="AU224" i="2"/>
  <c r="J224" i="2"/>
  <c r="J227" i="2" s="1"/>
  <c r="J229" i="2" s="1"/>
  <c r="J233" i="2" s="1"/>
  <c r="Z221" i="2"/>
  <c r="AA221" i="2"/>
  <c r="AB221" i="2"/>
  <c r="AC221" i="2"/>
  <c r="AD221" i="2"/>
  <c r="AE221" i="2"/>
  <c r="AF221" i="2"/>
  <c r="AG221" i="2"/>
  <c r="AI221" i="2"/>
  <c r="AJ221" i="2"/>
  <c r="AK221" i="2"/>
  <c r="AL221" i="2"/>
  <c r="AO221" i="2"/>
  <c r="AP221" i="2"/>
  <c r="AQ221" i="2"/>
  <c r="AS221" i="2"/>
  <c r="AU221" i="2"/>
  <c r="AU220" i="2"/>
  <c r="AT220" i="2"/>
  <c r="AS220" i="2"/>
  <c r="AR220" i="2"/>
  <c r="AQ220" i="2"/>
  <c r="AP220" i="2"/>
  <c r="AO220" i="2"/>
  <c r="AN220" i="2"/>
  <c r="AM220" i="2"/>
  <c r="AL220" i="2"/>
  <c r="AK220" i="2"/>
  <c r="AJ220" i="2"/>
  <c r="AI220" i="2"/>
  <c r="AH220" i="2"/>
  <c r="AG220" i="2"/>
  <c r="AF220" i="2"/>
  <c r="AE220" i="2"/>
  <c r="AD220" i="2"/>
  <c r="AC220" i="2"/>
  <c r="AB220" i="2"/>
  <c r="AA220" i="2"/>
  <c r="Z220" i="2"/>
  <c r="I233" i="2"/>
  <c r="H233" i="2"/>
  <c r="G233" i="2"/>
  <c r="F233" i="2"/>
  <c r="ER44" i="2"/>
  <c r="ES44" i="2"/>
  <c r="ET11" i="2"/>
  <c r="EU11" i="2"/>
  <c r="ER37" i="2"/>
  <c r="ER58" i="2" s="1"/>
  <c r="ES37" i="2"/>
  <c r="ES58" i="2" s="1"/>
  <c r="ET5" i="2"/>
  <c r="EU5" i="2"/>
  <c r="ER34" i="2"/>
  <c r="ER55" i="2" s="1"/>
  <c r="ES34" i="2"/>
  <c r="ES55" i="2" s="1"/>
  <c r="EU6" i="2"/>
  <c r="ER35" i="2"/>
  <c r="ES35" i="2"/>
  <c r="EN40" i="2"/>
  <c r="EN56" i="2" s="1"/>
  <c r="EO40" i="2"/>
  <c r="ES40" i="2" s="1"/>
  <c r="ET7" i="2"/>
  <c r="EU7" i="2"/>
  <c r="ER39" i="2"/>
  <c r="EO39" i="2"/>
  <c r="ET8" i="2"/>
  <c r="EU8" i="2"/>
  <c r="ER36" i="2"/>
  <c r="ER59" i="2" s="1"/>
  <c r="ES36" i="2"/>
  <c r="ES59" i="2" s="1"/>
  <c r="ER38" i="2"/>
  <c r="EO38" i="2"/>
  <c r="ET10" i="2"/>
  <c r="EU10" i="2"/>
  <c r="ER45" i="2"/>
  <c r="ES45" i="2"/>
  <c r="ET12" i="2"/>
  <c r="ER43" i="2"/>
  <c r="ES43" i="2"/>
  <c r="ER41" i="2"/>
  <c r="ES41" i="2"/>
  <c r="ER46" i="2"/>
  <c r="ES46" i="2"/>
  <c r="ER47" i="2"/>
  <c r="ES47" i="2"/>
  <c r="ER48" i="2"/>
  <c r="ET16" i="2"/>
  <c r="ET13" i="2"/>
  <c r="EV13" i="2" s="1"/>
  <c r="ET15" i="2"/>
  <c r="EV15" i="2" s="1"/>
  <c r="EX11" i="2"/>
  <c r="EX6" i="2"/>
  <c r="EX7" i="2"/>
  <c r="EX9" i="2"/>
  <c r="EX8" i="2"/>
  <c r="EX10" i="2"/>
  <c r="EX5" i="2"/>
  <c r="AU69" i="2"/>
  <c r="AJ261" i="2"/>
  <c r="AJ265" i="2" s="1"/>
  <c r="AJ344" i="2"/>
  <c r="AJ345" i="2" s="1"/>
  <c r="AJ347" i="2" s="1"/>
  <c r="M71" i="2"/>
  <c r="M70" i="2" s="1"/>
  <c r="AR132" i="2"/>
  <c r="AS132" i="2"/>
  <c r="AT132" i="2"/>
  <c r="AU132" i="2"/>
  <c r="AA194" i="2"/>
  <c r="AB194" i="2"/>
  <c r="AC194" i="2"/>
  <c r="AD194" i="2"/>
  <c r="AE194" i="2"/>
  <c r="AF194" i="2"/>
  <c r="AG194" i="2"/>
  <c r="AH194" i="2"/>
  <c r="AI194" i="2"/>
  <c r="AJ194" i="2"/>
  <c r="AK194" i="2"/>
  <c r="AL194" i="2"/>
  <c r="AM194" i="2"/>
  <c r="AN194" i="2"/>
  <c r="AO194" i="2"/>
  <c r="AP194" i="2"/>
  <c r="AQ194" i="2"/>
  <c r="AR194" i="2"/>
  <c r="AS194" i="2"/>
  <c r="AT194" i="2"/>
  <c r="AU194" i="2"/>
  <c r="AA195" i="2"/>
  <c r="AB195" i="2"/>
  <c r="AC195" i="2"/>
  <c r="AD195" i="2"/>
  <c r="AE195" i="2"/>
  <c r="AF195" i="2"/>
  <c r="AG195" i="2"/>
  <c r="AH195" i="2"/>
  <c r="AI195" i="2"/>
  <c r="AJ195" i="2"/>
  <c r="AK195" i="2"/>
  <c r="AL195" i="2"/>
  <c r="AM195" i="2"/>
  <c r="AN195" i="2"/>
  <c r="AO195" i="2"/>
  <c r="AP195" i="2"/>
  <c r="AQ195" i="2"/>
  <c r="AR195" i="2"/>
  <c r="AS195" i="2"/>
  <c r="AT195" i="2"/>
  <c r="AU195" i="2"/>
  <c r="AA196" i="2"/>
  <c r="AB196" i="2"/>
  <c r="AC196" i="2"/>
  <c r="AD196" i="2"/>
  <c r="AE196" i="2"/>
  <c r="AF196" i="2"/>
  <c r="AG196" i="2"/>
  <c r="AH196" i="2"/>
  <c r="AI196" i="2"/>
  <c r="AJ196" i="2"/>
  <c r="AK196" i="2"/>
  <c r="AL196" i="2"/>
  <c r="AM196" i="2"/>
  <c r="AN196" i="2"/>
  <c r="AO196" i="2"/>
  <c r="AP196" i="2"/>
  <c r="AQ196" i="2"/>
  <c r="AR196" i="2"/>
  <c r="AS196" i="2"/>
  <c r="AT196" i="2"/>
  <c r="AU196" i="2"/>
  <c r="AA198" i="2"/>
  <c r="AB198" i="2"/>
  <c r="AC198" i="2"/>
  <c r="AD198" i="2"/>
  <c r="AE198" i="2"/>
  <c r="AF198" i="2"/>
  <c r="AG198" i="2"/>
  <c r="AI198" i="2"/>
  <c r="AJ198" i="2"/>
  <c r="AK198" i="2"/>
  <c r="AL198" i="2"/>
  <c r="AO198" i="2"/>
  <c r="AP198" i="2"/>
  <c r="AQ198" i="2"/>
  <c r="AS198" i="2"/>
  <c r="AU198" i="2"/>
  <c r="AA201" i="2"/>
  <c r="AB201" i="2"/>
  <c r="AC201" i="2"/>
  <c r="AD201" i="2"/>
  <c r="AE201" i="2"/>
  <c r="AF201" i="2"/>
  <c r="AG201" i="2"/>
  <c r="AH201" i="2"/>
  <c r="AI201" i="2"/>
  <c r="AJ201" i="2"/>
  <c r="AK201" i="2"/>
  <c r="AL201" i="2"/>
  <c r="AM201" i="2"/>
  <c r="AN201" i="2"/>
  <c r="AO201" i="2"/>
  <c r="AP201" i="2"/>
  <c r="AQ201" i="2"/>
  <c r="AR201" i="2"/>
  <c r="AS201" i="2"/>
  <c r="AT201" i="2"/>
  <c r="AU201" i="2"/>
  <c r="AR202" i="2"/>
  <c r="AS202" i="2"/>
  <c r="AT202" i="2"/>
  <c r="AU202" i="2"/>
  <c r="AR203" i="2"/>
  <c r="AS203" i="2"/>
  <c r="AT203" i="2"/>
  <c r="AU203" i="2"/>
  <c r="AA205" i="2"/>
  <c r="AB205" i="2"/>
  <c r="AC205" i="2"/>
  <c r="AD205" i="2"/>
  <c r="AE205" i="2"/>
  <c r="AF205" i="2"/>
  <c r="AG205" i="2"/>
  <c r="AH205" i="2"/>
  <c r="AI205" i="2"/>
  <c r="AJ205" i="2"/>
  <c r="AK205" i="2"/>
  <c r="AL205" i="2"/>
  <c r="AM205" i="2"/>
  <c r="AN205" i="2"/>
  <c r="AO205" i="2"/>
  <c r="AP205" i="2"/>
  <c r="AQ205" i="2"/>
  <c r="AR205" i="2"/>
  <c r="AS205" i="2"/>
  <c r="AT205" i="2"/>
  <c r="AU205" i="2"/>
  <c r="AA208" i="2"/>
  <c r="AB208" i="2"/>
  <c r="AC208" i="2"/>
  <c r="AD208" i="2"/>
  <c r="AE208" i="2"/>
  <c r="AF208" i="2"/>
  <c r="AG208" i="2"/>
  <c r="AH208" i="2"/>
  <c r="AI208" i="2"/>
  <c r="AJ208" i="2"/>
  <c r="AK208" i="2"/>
  <c r="AL208" i="2"/>
  <c r="AM208" i="2"/>
  <c r="AN208" i="2"/>
  <c r="AA209" i="2"/>
  <c r="AB209" i="2"/>
  <c r="AC209" i="2"/>
  <c r="AD209" i="2"/>
  <c r="AE209" i="2"/>
  <c r="AF209" i="2"/>
  <c r="AG209" i="2"/>
  <c r="AH209" i="2"/>
  <c r="AI209" i="2"/>
  <c r="AJ209" i="2"/>
  <c r="AK209" i="2"/>
  <c r="AL209" i="2"/>
  <c r="AM209" i="2"/>
  <c r="AN209" i="2"/>
  <c r="AO209" i="2"/>
  <c r="AP209" i="2"/>
  <c r="AQ209" i="2"/>
  <c r="AR209" i="2"/>
  <c r="AS209" i="2"/>
  <c r="AT209" i="2"/>
  <c r="AU209" i="2"/>
  <c r="Z201" i="2"/>
  <c r="Z205" i="2"/>
  <c r="Z208" i="2"/>
  <c r="Z209" i="2"/>
  <c r="Z195" i="2"/>
  <c r="Z196" i="2"/>
  <c r="Z198" i="2"/>
  <c r="Z194" i="2"/>
  <c r="K53" i="2"/>
  <c r="K55" i="2" s="1"/>
  <c r="K80" i="2" s="1"/>
  <c r="L53" i="2"/>
  <c r="L55" i="2" s="1"/>
  <c r="M53" i="2"/>
  <c r="M55" i="2" s="1"/>
  <c r="M80" i="2" s="1"/>
  <c r="J53" i="2"/>
  <c r="J55" i="2" s="1"/>
  <c r="AU143" i="2"/>
  <c r="AU148" i="2"/>
  <c r="AU149" i="2"/>
  <c r="AU153" i="2"/>
  <c r="AU154" i="2"/>
  <c r="AU155" i="2"/>
  <c r="AU75" i="2"/>
  <c r="AI10" i="2"/>
  <c r="AI21" i="2"/>
  <c r="DK18" i="2"/>
  <c r="AT143" i="2"/>
  <c r="AT148" i="2"/>
  <c r="AT149" i="2"/>
  <c r="AT153" i="2"/>
  <c r="AT154" i="2"/>
  <c r="AT155" i="2"/>
  <c r="EP34" i="2"/>
  <c r="EP35" i="2"/>
  <c r="EP36" i="2"/>
  <c r="EP37" i="2"/>
  <c r="EP41" i="2"/>
  <c r="EP42" i="2"/>
  <c r="EP43" i="2"/>
  <c r="EP44" i="2"/>
  <c r="EP45" i="2"/>
  <c r="EP46" i="2"/>
  <c r="EP47" i="2"/>
  <c r="EI34" i="2"/>
  <c r="EI55" i="2" s="1"/>
  <c r="EG34" i="2"/>
  <c r="EG55" i="2" s="1"/>
  <c r="EH34" i="2"/>
  <c r="EH55" i="2" s="1"/>
  <c r="ES42" i="2"/>
  <c r="ER42" i="2"/>
  <c r="EN55" i="2"/>
  <c r="EO55" i="2"/>
  <c r="EO59" i="2"/>
  <c r="EN59" i="2"/>
  <c r="EO58" i="2"/>
  <c r="EN58" i="2"/>
  <c r="EN57" i="2"/>
  <c r="EN60" i="2"/>
  <c r="EJ49" i="2"/>
  <c r="AT69" i="2"/>
  <c r="AT68" i="2" s="1"/>
  <c r="AH10" i="2"/>
  <c r="AH16" i="2"/>
  <c r="AH21" i="2"/>
  <c r="AH261" i="2"/>
  <c r="AH265" i="2" s="1"/>
  <c r="AI261" i="2"/>
  <c r="AI265" i="2" s="1"/>
  <c r="AI344" i="2"/>
  <c r="AI345" i="2" s="1"/>
  <c r="AI347" i="2" s="1"/>
  <c r="AS143" i="2"/>
  <c r="Y64" i="2"/>
  <c r="M64" i="2"/>
  <c r="AG10" i="2"/>
  <c r="AG16" i="2"/>
  <c r="AG21" i="2"/>
  <c r="AS69" i="2"/>
  <c r="AH345" i="2"/>
  <c r="AH347" i="2" s="1"/>
  <c r="AS75" i="2"/>
  <c r="Z75" i="2"/>
  <c r="AA75" i="2"/>
  <c r="AB75" i="2"/>
  <c r="AC75" i="2"/>
  <c r="AD75" i="2"/>
  <c r="AE75" i="2"/>
  <c r="AF75" i="2"/>
  <c r="DZ149" i="2"/>
  <c r="DY149" i="2"/>
  <c r="DX149" i="2"/>
  <c r="DW149" i="2"/>
  <c r="DV149" i="2"/>
  <c r="DU149" i="2"/>
  <c r="DT149" i="2"/>
  <c r="DS149" i="2"/>
  <c r="DR149" i="2"/>
  <c r="EA127" i="2"/>
  <c r="DZ127" i="2"/>
  <c r="ED115" i="2"/>
  <c r="EC115" i="2"/>
  <c r="EB115" i="2"/>
  <c r="EA115" i="2"/>
  <c r="DZ115" i="2"/>
  <c r="DY115" i="2"/>
  <c r="DX115" i="2"/>
  <c r="DW115" i="2"/>
  <c r="DV115" i="2"/>
  <c r="DU115" i="2"/>
  <c r="DT115" i="2"/>
  <c r="DS115" i="2"/>
  <c r="DR115" i="2"/>
  <c r="AG260" i="2"/>
  <c r="AG263" i="2" s="1"/>
  <c r="C260" i="2"/>
  <c r="C263" i="2" s="1"/>
  <c r="D260" i="2"/>
  <c r="D263" i="2" s="1"/>
  <c r="E260" i="2"/>
  <c r="E261" i="2" s="1"/>
  <c r="F260" i="2"/>
  <c r="F263" i="2" s="1"/>
  <c r="G260" i="2"/>
  <c r="G263" i="2" s="1"/>
  <c r="H260" i="2"/>
  <c r="I260" i="2"/>
  <c r="I261" i="2" s="1"/>
  <c r="J260" i="2"/>
  <c r="J261" i="2" s="1"/>
  <c r="K260" i="2"/>
  <c r="K263" i="2" s="1"/>
  <c r="L260" i="2"/>
  <c r="L261" i="2" s="1"/>
  <c r="M260" i="2"/>
  <c r="N260" i="2"/>
  <c r="O260" i="2"/>
  <c r="O263" i="2" s="1"/>
  <c r="P260" i="2"/>
  <c r="P261" i="2" s="1"/>
  <c r="Q260" i="2"/>
  <c r="Q261" i="2" s="1"/>
  <c r="R260" i="2"/>
  <c r="R261" i="2" s="1"/>
  <c r="S260" i="2"/>
  <c r="T260" i="2"/>
  <c r="U263" i="2"/>
  <c r="V260" i="2"/>
  <c r="V263" i="2" s="1"/>
  <c r="W263" i="2"/>
  <c r="X260" i="2"/>
  <c r="X261" i="2" s="1"/>
  <c r="X265" i="2" s="1"/>
  <c r="Y260" i="2"/>
  <c r="Y263" i="2" s="1"/>
  <c r="Z260" i="2"/>
  <c r="AA263" i="2"/>
  <c r="AB260" i="2"/>
  <c r="AB261" i="2" s="1"/>
  <c r="AB265" i="2" s="1"/>
  <c r="AC260" i="2"/>
  <c r="AC263" i="2" s="1"/>
  <c r="AD260" i="2"/>
  <c r="AD261" i="2" s="1"/>
  <c r="AD265" i="2" s="1"/>
  <c r="AE260" i="2"/>
  <c r="AF260" i="2"/>
  <c r="AF261" i="2" s="1"/>
  <c r="AF265" i="2" s="1"/>
  <c r="AH263" i="2"/>
  <c r="AI263" i="2"/>
  <c r="AJ263" i="2"/>
  <c r="B260" i="2"/>
  <c r="B263" i="2" s="1"/>
  <c r="AR33" i="2"/>
  <c r="AS33" i="2"/>
  <c r="AR37" i="2"/>
  <c r="AS37" i="2"/>
  <c r="AR31" i="2"/>
  <c r="AS31" i="2"/>
  <c r="AJ37" i="2"/>
  <c r="AK37" i="2"/>
  <c r="AL37" i="2"/>
  <c r="AM37" i="2"/>
  <c r="AN37" i="2"/>
  <c r="AO37" i="2"/>
  <c r="AP37" i="2"/>
  <c r="AQ37" i="2"/>
  <c r="AI37" i="2"/>
  <c r="AS148" i="2"/>
  <c r="AS149" i="2"/>
  <c r="AS153" i="2"/>
  <c r="AS154" i="2"/>
  <c r="AS155" i="2"/>
  <c r="AJ33" i="2"/>
  <c r="AK33" i="2"/>
  <c r="AL33" i="2"/>
  <c r="AM33" i="2"/>
  <c r="AN33" i="2"/>
  <c r="AO33" i="2"/>
  <c r="AP33" i="2"/>
  <c r="AQ33" i="2"/>
  <c r="AI33" i="2"/>
  <c r="AG75" i="2"/>
  <c r="AI75" i="2"/>
  <c r="AJ75" i="2"/>
  <c r="AK75" i="2"/>
  <c r="AL75" i="2"/>
  <c r="AO75" i="2"/>
  <c r="AP75" i="2"/>
  <c r="AQ75" i="2"/>
  <c r="AQ69" i="2"/>
  <c r="AR69" i="2"/>
  <c r="AG344" i="2"/>
  <c r="AG345" i="2" s="1"/>
  <c r="AG347" i="2" s="1"/>
  <c r="AR143" i="2"/>
  <c r="AR148" i="2"/>
  <c r="AR149" i="2"/>
  <c r="AR153" i="2"/>
  <c r="AR154" i="2"/>
  <c r="AR155" i="2"/>
  <c r="AE10" i="2"/>
  <c r="AE21" i="2"/>
  <c r="AF10" i="2"/>
  <c r="AF21" i="2"/>
  <c r="AQ148" i="2"/>
  <c r="AQ149" i="2"/>
  <c r="AQ153" i="2"/>
  <c r="AQ154" i="2"/>
  <c r="AQ155" i="2"/>
  <c r="AQ143" i="2"/>
  <c r="DS57" i="2"/>
  <c r="DT57" i="2"/>
  <c r="DU57" i="2"/>
  <c r="DV57" i="2"/>
  <c r="DW57" i="2"/>
  <c r="DX57" i="2"/>
  <c r="DY57" i="2"/>
  <c r="DZ57" i="2"/>
  <c r="EA57" i="2"/>
  <c r="EB57" i="2"/>
  <c r="EC57" i="2"/>
  <c r="ED57" i="2"/>
  <c r="EE57" i="2"/>
  <c r="EF57" i="2"/>
  <c r="EG38" i="2"/>
  <c r="EG39" i="2"/>
  <c r="EG44" i="2"/>
  <c r="EG45" i="2"/>
  <c r="EG47" i="2"/>
  <c r="EH38" i="2"/>
  <c r="EH39" i="2"/>
  <c r="EH44" i="2"/>
  <c r="EH45" i="2"/>
  <c r="EH47" i="2"/>
  <c r="EI38" i="2"/>
  <c r="EI39" i="2"/>
  <c r="EI44" i="2"/>
  <c r="EI47" i="2"/>
  <c r="DS58" i="2"/>
  <c r="DT58" i="2"/>
  <c r="DU58" i="2"/>
  <c r="DV58" i="2"/>
  <c r="DW58" i="2"/>
  <c r="DX58" i="2"/>
  <c r="DY58" i="2"/>
  <c r="DZ58" i="2"/>
  <c r="EA58" i="2"/>
  <c r="EB58" i="2"/>
  <c r="EC58" i="2"/>
  <c r="ED58" i="2"/>
  <c r="EE58" i="2"/>
  <c r="EF58" i="2"/>
  <c r="EG37" i="2"/>
  <c r="EG58" i="2" s="1"/>
  <c r="EH37" i="2"/>
  <c r="EI37" i="2"/>
  <c r="EI58" i="2" s="1"/>
  <c r="DS59" i="2"/>
  <c r="DT59" i="2"/>
  <c r="DU59" i="2"/>
  <c r="DV59" i="2"/>
  <c r="DW59" i="2"/>
  <c r="DX59" i="2"/>
  <c r="DY59" i="2"/>
  <c r="DZ59" i="2"/>
  <c r="EA59" i="2"/>
  <c r="EB59" i="2"/>
  <c r="EC59" i="2"/>
  <c r="ED59" i="2"/>
  <c r="EE59" i="2"/>
  <c r="EF59" i="2"/>
  <c r="EG36" i="2"/>
  <c r="EG59" i="2" s="1"/>
  <c r="EH36" i="2"/>
  <c r="EH59" i="2" s="1"/>
  <c r="EI36" i="2"/>
  <c r="EI59" i="2" s="1"/>
  <c r="DS60" i="2"/>
  <c r="DT60" i="2"/>
  <c r="DU60" i="2"/>
  <c r="DV60" i="2"/>
  <c r="DW60" i="2"/>
  <c r="DX60" i="2"/>
  <c r="DY60" i="2"/>
  <c r="DZ60" i="2"/>
  <c r="EA60" i="2"/>
  <c r="EB60" i="2"/>
  <c r="EC60" i="2"/>
  <c r="ED60" i="2"/>
  <c r="EE60" i="2"/>
  <c r="EF48" i="2"/>
  <c r="EF60" i="2" s="1"/>
  <c r="EG41" i="2"/>
  <c r="EG46" i="2"/>
  <c r="EG35" i="2"/>
  <c r="EG40" i="2"/>
  <c r="EG43" i="2"/>
  <c r="EH46" i="2"/>
  <c r="EH35" i="2"/>
  <c r="EH40" i="2"/>
  <c r="EH43" i="2"/>
  <c r="EI35" i="2"/>
  <c r="EI40" i="2"/>
  <c r="EI43" i="2"/>
  <c r="EI46" i="2"/>
  <c r="DR60" i="2"/>
  <c r="DR57" i="2"/>
  <c r="DS56" i="2"/>
  <c r="DT56" i="2"/>
  <c r="DU56" i="2"/>
  <c r="DV56" i="2"/>
  <c r="DW56" i="2"/>
  <c r="DX56" i="2"/>
  <c r="DY56" i="2"/>
  <c r="DZ56" i="2"/>
  <c r="EA56" i="2"/>
  <c r="EB56" i="2"/>
  <c r="EC56" i="2"/>
  <c r="ED56" i="2"/>
  <c r="EE56" i="2"/>
  <c r="EF56" i="2"/>
  <c r="DR56" i="2"/>
  <c r="EF55" i="2"/>
  <c r="DS55" i="2"/>
  <c r="DT55" i="2"/>
  <c r="DU55" i="2"/>
  <c r="DV55" i="2"/>
  <c r="DW55" i="2"/>
  <c r="DX55" i="2"/>
  <c r="DY55" i="2"/>
  <c r="DZ55" i="2"/>
  <c r="EA55" i="2"/>
  <c r="EB55" i="2"/>
  <c r="EC55" i="2"/>
  <c r="ED55" i="2"/>
  <c r="EE55" i="2"/>
  <c r="DR55" i="2"/>
  <c r="DR58" i="2"/>
  <c r="DR59" i="2"/>
  <c r="U261" i="2"/>
  <c r="U265" i="2" s="1"/>
  <c r="W261" i="2"/>
  <c r="W265" i="2" s="1"/>
  <c r="AA261" i="2"/>
  <c r="AA265" i="2" s="1"/>
  <c r="AF344" i="2"/>
  <c r="AF345" i="2" s="1"/>
  <c r="AF347" i="2" s="1"/>
  <c r="B63" i="2"/>
  <c r="Y71" i="2"/>
  <c r="Y65" i="2"/>
  <c r="Y66" i="2" s="1"/>
  <c r="X66" i="2"/>
  <c r="W66" i="2"/>
  <c r="V66" i="2"/>
  <c r="U66" i="2"/>
  <c r="T66" i="2"/>
  <c r="S66" i="2"/>
  <c r="R66" i="2"/>
  <c r="Q66" i="2"/>
  <c r="P66" i="2"/>
  <c r="O66" i="2"/>
  <c r="N66" i="2"/>
  <c r="AI66" i="2"/>
  <c r="AM69" i="2"/>
  <c r="AO69" i="2"/>
  <c r="AP69" i="2"/>
  <c r="AB66" i="2"/>
  <c r="Z66" i="2"/>
  <c r="AA66" i="2"/>
  <c r="AC66" i="2"/>
  <c r="AD66" i="2"/>
  <c r="AE66" i="2"/>
  <c r="AF66" i="2"/>
  <c r="AG66" i="2"/>
  <c r="AH66" i="2"/>
  <c r="AJ66" i="2"/>
  <c r="AD10" i="2"/>
  <c r="AD21" i="2"/>
  <c r="AA10" i="2"/>
  <c r="AA21" i="2"/>
  <c r="O21" i="2"/>
  <c r="O10" i="2"/>
  <c r="AB10" i="2"/>
  <c r="AB21" i="2"/>
  <c r="P21" i="2"/>
  <c r="P10" i="2"/>
  <c r="AC10" i="2"/>
  <c r="AC21" i="2"/>
  <c r="Q21" i="2"/>
  <c r="Q10" i="2"/>
  <c r="R21" i="2"/>
  <c r="R10" i="2"/>
  <c r="S21" i="2"/>
  <c r="S10" i="2"/>
  <c r="T10" i="2"/>
  <c r="T16" i="2"/>
  <c r="T21" i="2"/>
  <c r="U10" i="2"/>
  <c r="U16" i="2"/>
  <c r="U21" i="2"/>
  <c r="V10" i="2"/>
  <c r="V21" i="2"/>
  <c r="W10" i="2"/>
  <c r="W21" i="2"/>
  <c r="X10" i="2"/>
  <c r="X21" i="2"/>
  <c r="Y10" i="2"/>
  <c r="Y21" i="2"/>
  <c r="Z10" i="2"/>
  <c r="Z21" i="2"/>
  <c r="N21" i="2"/>
  <c r="N10" i="2"/>
  <c r="EC50" i="2"/>
  <c r="B46" i="2"/>
  <c r="B48" i="2" s="1"/>
  <c r="B59" i="2" s="1"/>
  <c r="C46" i="2"/>
  <c r="C48" i="2" s="1"/>
  <c r="C59" i="2" s="1"/>
  <c r="D46" i="2"/>
  <c r="D48" i="2" s="1"/>
  <c r="D59" i="2" s="1"/>
  <c r="E46" i="2"/>
  <c r="E48" i="2" s="1"/>
  <c r="E59" i="2" s="1"/>
  <c r="F46" i="2"/>
  <c r="F48" i="2" s="1"/>
  <c r="F59" i="2" s="1"/>
  <c r="G46" i="2"/>
  <c r="G48" i="2" s="1"/>
  <c r="G59" i="2" s="1"/>
  <c r="H46" i="2"/>
  <c r="H48" i="2" s="1"/>
  <c r="H59" i="2" s="1"/>
  <c r="I46" i="2"/>
  <c r="I48" i="2" s="1"/>
  <c r="I59" i="2" s="1"/>
  <c r="J46" i="2"/>
  <c r="J48" i="2" s="1"/>
  <c r="K46" i="2"/>
  <c r="K48" i="2" s="1"/>
  <c r="L46" i="2"/>
  <c r="L48" i="2" s="1"/>
  <c r="M46" i="2"/>
  <c r="M48" i="2" s="1"/>
  <c r="DR13" i="2"/>
  <c r="DR14" i="2"/>
  <c r="DR15" i="2"/>
  <c r="DR16" i="2"/>
  <c r="DR11" i="2"/>
  <c r="DR12" i="2"/>
  <c r="DR17" i="2"/>
  <c r="DR18" i="2"/>
  <c r="DR19" i="2"/>
  <c r="DR20" i="2"/>
  <c r="DR21" i="2"/>
  <c r="DR22" i="2"/>
  <c r="DR23" i="2"/>
  <c r="DR10" i="2"/>
  <c r="AJ63" i="2"/>
  <c r="DL18" i="2"/>
  <c r="DL14" i="2" s="1"/>
  <c r="DL53" i="2"/>
  <c r="DL48" i="2" s="1"/>
  <c r="DL56" i="2"/>
  <c r="DK16" i="2"/>
  <c r="DK30" i="2"/>
  <c r="DK40" i="2"/>
  <c r="DK52" i="2"/>
  <c r="AI63" i="2"/>
  <c r="AG63" i="2"/>
  <c r="AF63" i="2"/>
  <c r="AE63" i="2"/>
  <c r="AD63" i="2"/>
  <c r="AC63" i="2"/>
  <c r="DA51" i="2"/>
  <c r="DF34" i="2"/>
  <c r="DA41" i="2"/>
  <c r="DF26" i="2"/>
  <c r="DA40" i="2"/>
  <c r="DF25" i="2"/>
  <c r="DA45" i="2"/>
  <c r="DF30" i="2"/>
  <c r="DF32" i="2"/>
  <c r="DA47" i="2"/>
  <c r="DA39" i="2"/>
  <c r="DA42" i="2"/>
  <c r="DA43" i="2"/>
  <c r="DA44" i="2"/>
  <c r="DA46" i="2"/>
  <c r="DF24" i="2"/>
  <c r="DF27" i="2"/>
  <c r="DF28" i="2"/>
  <c r="DF29" i="2"/>
  <c r="DF31" i="2"/>
  <c r="DA65" i="2"/>
  <c r="CZ65" i="2" s="1"/>
  <c r="CZ64" i="2"/>
  <c r="CH11" i="2"/>
  <c r="CH12" i="2"/>
  <c r="CH14" i="2"/>
  <c r="CH15" i="2"/>
  <c r="CH16" i="2"/>
  <c r="CH10" i="2"/>
  <c r="CI43" i="2"/>
  <c r="CI44" i="2" s="1"/>
  <c r="CH36" i="2" s="1"/>
  <c r="AB63" i="2"/>
  <c r="CZ57" i="2"/>
  <c r="CZ58" i="2"/>
  <c r="CZ59" i="2"/>
  <c r="CZ60" i="2"/>
  <c r="CZ61" i="2"/>
  <c r="CZ62" i="2"/>
  <c r="CZ63" i="2"/>
  <c r="CZ56" i="2"/>
  <c r="DE29" i="2"/>
  <c r="DE34" i="2" s="1"/>
  <c r="DC29" i="2"/>
  <c r="DC34" i="2" s="1"/>
  <c r="DA29" i="2"/>
  <c r="DA34" i="2" s="1"/>
  <c r="CZ29" i="2"/>
  <c r="CZ34" i="2" s="1"/>
  <c r="DB34" i="2"/>
  <c r="DD34" i="2"/>
  <c r="CZ18" i="2"/>
  <c r="DA18" i="2"/>
  <c r="DB18" i="2"/>
  <c r="DC18" i="2"/>
  <c r="AA63" i="2"/>
  <c r="Z63" i="2"/>
  <c r="Y63" i="2"/>
  <c r="X63" i="2"/>
  <c r="V63" i="2"/>
  <c r="W63" i="2"/>
  <c r="U63" i="2"/>
  <c r="R79" i="2"/>
  <c r="Q79" i="2"/>
  <c r="P79" i="2"/>
  <c r="O79" i="2"/>
  <c r="N79" i="2"/>
  <c r="M79" i="2"/>
  <c r="L79" i="2"/>
  <c r="K79" i="2"/>
  <c r="J79" i="2"/>
  <c r="T63" i="2"/>
  <c r="S63" i="2"/>
  <c r="R63" i="2"/>
  <c r="Q63" i="2"/>
  <c r="P63" i="2"/>
  <c r="O63" i="2"/>
  <c r="N63" i="2"/>
  <c r="M63" i="2"/>
  <c r="L63" i="2"/>
  <c r="K63" i="2"/>
  <c r="J63" i="2"/>
  <c r="I63" i="2"/>
  <c r="H63" i="2"/>
  <c r="G63" i="2"/>
  <c r="F63" i="2"/>
  <c r="E63" i="2"/>
  <c r="D63" i="2"/>
  <c r="C63" i="2"/>
  <c r="DN25" i="2"/>
  <c r="AT198" i="2"/>
  <c r="F157" i="5"/>
  <c r="F161" i="5"/>
  <c r="T175" i="5"/>
  <c r="V87" i="4"/>
  <c r="V85" i="4"/>
  <c r="V86" i="4"/>
  <c r="DK23" i="5"/>
  <c r="D261" i="2"/>
  <c r="AD144" i="2"/>
  <c r="U85" i="4"/>
  <c r="U86" i="4"/>
  <c r="U87" i="4"/>
  <c r="AY66" i="2"/>
  <c r="BA221" i="2"/>
  <c r="U69" i="4"/>
  <c r="BK68" i="2"/>
  <c r="AN197" i="2"/>
  <c r="J175" i="4"/>
  <c r="AN55" i="2"/>
  <c r="AN15" i="2" s="1"/>
  <c r="K178" i="4"/>
  <c r="AG229" i="2"/>
  <c r="AY344" i="2"/>
  <c r="AY265" i="2"/>
  <c r="AY179" i="2"/>
  <c r="BI46" i="2"/>
  <c r="BI183" i="2"/>
  <c r="AJ74" i="2"/>
  <c r="AR9" i="2"/>
  <c r="AR263" i="2" s="1"/>
  <c r="AV172" i="2"/>
  <c r="AV183" i="2" s="1"/>
  <c r="DZ33" i="5"/>
  <c r="BW79" i="4"/>
  <c r="W27" i="4"/>
  <c r="W87" i="4"/>
  <c r="BW84" i="4"/>
  <c r="W85" i="4"/>
  <c r="W86" i="4"/>
  <c r="BW87" i="4"/>
  <c r="M71" i="5"/>
  <c r="EM31" i="5"/>
  <c r="H192" i="7"/>
  <c r="P192" i="7"/>
  <c r="X192" i="7"/>
  <c r="I192" i="7"/>
  <c r="Q192" i="7"/>
  <c r="Y192" i="7"/>
  <c r="B192" i="7"/>
  <c r="J192" i="7"/>
  <c r="R192" i="7"/>
  <c r="Z192" i="7"/>
  <c r="B338" i="7"/>
  <c r="J338" i="7"/>
  <c r="R338" i="7"/>
  <c r="Z338" i="7"/>
  <c r="C338" i="7"/>
  <c r="K338" i="7"/>
  <c r="S338" i="7"/>
  <c r="D192" i="7"/>
  <c r="L192" i="7"/>
  <c r="T192" i="7"/>
  <c r="D338" i="7"/>
  <c r="L338" i="7"/>
  <c r="T338" i="7"/>
  <c r="E192" i="7"/>
  <c r="U192" i="7"/>
  <c r="E338" i="7"/>
  <c r="M338" i="7"/>
  <c r="U338" i="7"/>
  <c r="F192" i="7"/>
  <c r="N192" i="7"/>
  <c r="V192" i="7"/>
  <c r="F338" i="7"/>
  <c r="N338" i="7"/>
  <c r="V338" i="7"/>
  <c r="G192" i="7"/>
  <c r="O192" i="7"/>
  <c r="W192" i="7"/>
  <c r="B504" i="7"/>
  <c r="T487" i="7"/>
  <c r="T31" i="7" s="1"/>
  <c r="L487" i="7"/>
  <c r="L31" i="7" s="1"/>
  <c r="D487" i="7"/>
  <c r="D31" i="7" s="1"/>
  <c r="T469" i="7"/>
  <c r="L469" i="7"/>
  <c r="D469" i="7"/>
  <c r="U468" i="7"/>
  <c r="M468" i="7"/>
  <c r="E468" i="7"/>
  <c r="V467" i="7"/>
  <c r="N467" i="7"/>
  <c r="Y487" i="7"/>
  <c r="Y31" i="7" s="1"/>
  <c r="P487" i="7"/>
  <c r="P31" i="7" s="1"/>
  <c r="G487" i="7"/>
  <c r="G31" i="7" s="1"/>
  <c r="W469" i="7"/>
  <c r="N469" i="7"/>
  <c r="E469" i="7"/>
  <c r="T468" i="7"/>
  <c r="K468" i="7"/>
  <c r="B468" i="7"/>
  <c r="R467" i="7"/>
  <c r="I467" i="7"/>
  <c r="T456" i="7"/>
  <c r="L456" i="7"/>
  <c r="D456" i="7"/>
  <c r="U455" i="7"/>
  <c r="M455" i="7"/>
  <c r="E455" i="7"/>
  <c r="V454" i="7"/>
  <c r="N454" i="7"/>
  <c r="F454" i="7"/>
  <c r="U419" i="7"/>
  <c r="M419" i="7"/>
  <c r="E419" i="7"/>
  <c r="V418" i="7"/>
  <c r="N418" i="7"/>
  <c r="F418" i="7"/>
  <c r="D409" i="7"/>
  <c r="E408" i="7"/>
  <c r="Y394" i="7"/>
  <c r="Q394" i="7"/>
  <c r="I394" i="7"/>
  <c r="Z393" i="7"/>
  <c r="R393" i="7"/>
  <c r="J393" i="7"/>
  <c r="B393" i="7"/>
  <c r="B382" i="7"/>
  <c r="B506" i="7"/>
  <c r="Z487" i="7"/>
  <c r="Z31" i="7" s="1"/>
  <c r="O487" i="7"/>
  <c r="O31" i="7" s="1"/>
  <c r="E487" i="7"/>
  <c r="E31" i="7" s="1"/>
  <c r="V469" i="7"/>
  <c r="K469" i="7"/>
  <c r="Z468" i="7"/>
  <c r="P468" i="7"/>
  <c r="F468" i="7"/>
  <c r="T467" i="7"/>
  <c r="J467" i="7"/>
  <c r="Y456" i="7"/>
  <c r="P456" i="7"/>
  <c r="G456" i="7"/>
  <c r="W455" i="7"/>
  <c r="N455" i="7"/>
  <c r="D455" i="7"/>
  <c r="T454" i="7"/>
  <c r="K454" i="7"/>
  <c r="B454" i="7"/>
  <c r="R419" i="7"/>
  <c r="I419" i="7"/>
  <c r="Y418" i="7"/>
  <c r="P418" i="7"/>
  <c r="G418" i="7"/>
  <c r="E407" i="7"/>
  <c r="T394" i="7"/>
  <c r="K394" i="7"/>
  <c r="B394" i="7"/>
  <c r="Q393" i="7"/>
  <c r="H393" i="7"/>
  <c r="C384" i="7"/>
  <c r="V372" i="7"/>
  <c r="V345" i="7" s="1"/>
  <c r="N372" i="7"/>
  <c r="N345" i="7" s="1"/>
  <c r="F372" i="7"/>
  <c r="F345" i="7" s="1"/>
  <c r="X487" i="7"/>
  <c r="X31" i="7" s="1"/>
  <c r="N487" i="7"/>
  <c r="N31" i="7" s="1"/>
  <c r="C487" i="7"/>
  <c r="C31" i="7" s="1"/>
  <c r="F470" i="7"/>
  <c r="F24" i="7" s="1"/>
  <c r="U469" i="7"/>
  <c r="J469" i="7"/>
  <c r="Y468" i="7"/>
  <c r="O468" i="7"/>
  <c r="D468" i="7"/>
  <c r="S467" i="7"/>
  <c r="H467" i="7"/>
  <c r="X456" i="7"/>
  <c r="O456" i="7"/>
  <c r="F456" i="7"/>
  <c r="V455" i="7"/>
  <c r="L455" i="7"/>
  <c r="E506" i="7"/>
  <c r="W487" i="7"/>
  <c r="W31" i="7" s="1"/>
  <c r="J487" i="7"/>
  <c r="J31" i="7" s="1"/>
  <c r="Z469" i="7"/>
  <c r="M469" i="7"/>
  <c r="W468" i="7"/>
  <c r="I468" i="7"/>
  <c r="U467" i="7"/>
  <c r="F467" i="7"/>
  <c r="W456" i="7"/>
  <c r="K456" i="7"/>
  <c r="Y455" i="7"/>
  <c r="K455" i="7"/>
  <c r="Z454" i="7"/>
  <c r="P454" i="7"/>
  <c r="E454" i="7"/>
  <c r="S419" i="7"/>
  <c r="H419" i="7"/>
  <c r="W418" i="7"/>
  <c r="L418" i="7"/>
  <c r="B418" i="7"/>
  <c r="W394" i="7"/>
  <c r="M394" i="7"/>
  <c r="C394" i="7"/>
  <c r="P393" i="7"/>
  <c r="F393" i="7"/>
  <c r="X372" i="7"/>
  <c r="X345" i="7" s="1"/>
  <c r="O372" i="7"/>
  <c r="O345" i="7" s="1"/>
  <c r="E372" i="7"/>
  <c r="E345" i="7" s="1"/>
  <c r="S355" i="7"/>
  <c r="K355" i="7"/>
  <c r="C355" i="7"/>
  <c r="T354" i="7"/>
  <c r="L354" i="7"/>
  <c r="D354" i="7"/>
  <c r="U353" i="7"/>
  <c r="M353" i="7"/>
  <c r="E353" i="7"/>
  <c r="W351" i="7"/>
  <c r="O351" i="7"/>
  <c r="G351" i="7"/>
  <c r="Y347" i="7"/>
  <c r="Q347" i="7"/>
  <c r="I347" i="7"/>
  <c r="U340" i="7"/>
  <c r="U363" i="7" s="1"/>
  <c r="M340" i="7"/>
  <c r="M363" i="7" s="1"/>
  <c r="E340" i="7"/>
  <c r="E363" i="7" s="1"/>
  <c r="V339" i="7"/>
  <c r="N339" i="7"/>
  <c r="F339" i="7"/>
  <c r="Y334" i="7"/>
  <c r="Q334" i="7"/>
  <c r="I334" i="7"/>
  <c r="V487" i="7"/>
  <c r="V31" i="7" s="1"/>
  <c r="I487" i="7"/>
  <c r="I31" i="7" s="1"/>
  <c r="Y469" i="7"/>
  <c r="I469" i="7"/>
  <c r="V468" i="7"/>
  <c r="H468" i="7"/>
  <c r="Q467" i="7"/>
  <c r="E467" i="7"/>
  <c r="V456" i="7"/>
  <c r="J456" i="7"/>
  <c r="X455" i="7"/>
  <c r="J455" i="7"/>
  <c r="Y454" i="7"/>
  <c r="O454" i="7"/>
  <c r="D454" i="7"/>
  <c r="Q419" i="7"/>
  <c r="G419" i="7"/>
  <c r="U418" i="7"/>
  <c r="K418" i="7"/>
  <c r="E409" i="7"/>
  <c r="B407" i="7"/>
  <c r="V394" i="7"/>
  <c r="L394" i="7"/>
  <c r="Y393" i="7"/>
  <c r="O393" i="7"/>
  <c r="E393" i="7"/>
  <c r="C383" i="7"/>
  <c r="F382" i="7"/>
  <c r="W372" i="7"/>
  <c r="W345" i="7" s="1"/>
  <c r="M372" i="7"/>
  <c r="M345" i="7" s="1"/>
  <c r="D372" i="7"/>
  <c r="D345" i="7" s="1"/>
  <c r="U487" i="7"/>
  <c r="U31" i="7" s="1"/>
  <c r="H487" i="7"/>
  <c r="H31" i="7" s="1"/>
  <c r="X469" i="7"/>
  <c r="H469" i="7"/>
  <c r="S468" i="7"/>
  <c r="G468" i="7"/>
  <c r="P467" i="7"/>
  <c r="D467" i="7"/>
  <c r="U456" i="7"/>
  <c r="I456" i="7"/>
  <c r="T455" i="7"/>
  <c r="I455" i="7"/>
  <c r="X454" i="7"/>
  <c r="M454" i="7"/>
  <c r="C454" i="7"/>
  <c r="Z419" i="7"/>
  <c r="P419" i="7"/>
  <c r="F419" i="7"/>
  <c r="T418" i="7"/>
  <c r="J418" i="7"/>
  <c r="U394" i="7"/>
  <c r="J394" i="7"/>
  <c r="X393" i="7"/>
  <c r="K487" i="7"/>
  <c r="K31" i="7" s="1"/>
  <c r="B470" i="7"/>
  <c r="B24" i="7" s="1"/>
  <c r="O469" i="7"/>
  <c r="X468" i="7"/>
  <c r="J468" i="7"/>
  <c r="W467" i="7"/>
  <c r="G467" i="7"/>
  <c r="Z456" i="7"/>
  <c r="M456" i="7"/>
  <c r="Z455" i="7"/>
  <c r="O455" i="7"/>
  <c r="B455" i="7"/>
  <c r="Q454" i="7"/>
  <c r="G454" i="7"/>
  <c r="Q487" i="7"/>
  <c r="Q31" i="7" s="1"/>
  <c r="F469" i="7"/>
  <c r="Z467" i="7"/>
  <c r="B467" i="7"/>
  <c r="E456" i="7"/>
  <c r="G455" i="7"/>
  <c r="G478" i="7" s="1"/>
  <c r="J454" i="7"/>
  <c r="N419" i="7"/>
  <c r="X418" i="7"/>
  <c r="E418" i="7"/>
  <c r="Z394" i="7"/>
  <c r="G394" i="7"/>
  <c r="S393" i="7"/>
  <c r="C393" i="7"/>
  <c r="R372" i="7"/>
  <c r="R345" i="7" s="1"/>
  <c r="G372" i="7"/>
  <c r="G345" i="7" s="1"/>
  <c r="T355" i="7"/>
  <c r="J355" i="7"/>
  <c r="Z354" i="7"/>
  <c r="Q354" i="7"/>
  <c r="H354" i="7"/>
  <c r="X353" i="7"/>
  <c r="O353" i="7"/>
  <c r="F353" i="7"/>
  <c r="S351" i="7"/>
  <c r="J351" i="7"/>
  <c r="W347" i="7"/>
  <c r="N347" i="7"/>
  <c r="E347" i="7"/>
  <c r="W340" i="7"/>
  <c r="W363" i="7" s="1"/>
  <c r="N340" i="7"/>
  <c r="N363" i="7" s="1"/>
  <c r="D340" i="7"/>
  <c r="D363" i="7" s="1"/>
  <c r="T339" i="7"/>
  <c r="K339" i="7"/>
  <c r="B339" i="7"/>
  <c r="V334" i="7"/>
  <c r="M334" i="7"/>
  <c r="D334" i="7"/>
  <c r="M487" i="7"/>
  <c r="M31" i="7" s="1"/>
  <c r="C469" i="7"/>
  <c r="Y467" i="7"/>
  <c r="C456" i="7"/>
  <c r="F455" i="7"/>
  <c r="I454" i="7"/>
  <c r="L419" i="7"/>
  <c r="S418" i="7"/>
  <c r="D418" i="7"/>
  <c r="D407" i="7"/>
  <c r="X394" i="7"/>
  <c r="F394" i="7"/>
  <c r="N393" i="7"/>
  <c r="E382" i="7"/>
  <c r="Q372" i="7"/>
  <c r="Q345" i="7" s="1"/>
  <c r="C372" i="7"/>
  <c r="C345" i="7" s="1"/>
  <c r="R355" i="7"/>
  <c r="I355" i="7"/>
  <c r="Y354" i="7"/>
  <c r="P354" i="7"/>
  <c r="G354" i="7"/>
  <c r="W353" i="7"/>
  <c r="N353" i="7"/>
  <c r="D353" i="7"/>
  <c r="R351" i="7"/>
  <c r="I351" i="7"/>
  <c r="V347" i="7"/>
  <c r="M347" i="7"/>
  <c r="D347" i="7"/>
  <c r="V340" i="7"/>
  <c r="V363" i="7" s="1"/>
  <c r="L340" i="7"/>
  <c r="L363" i="7" s="1"/>
  <c r="C340" i="7"/>
  <c r="C363" i="7" s="1"/>
  <c r="S339" i="7"/>
  <c r="J339" i="7"/>
  <c r="U334" i="7"/>
  <c r="L334" i="7"/>
  <c r="C334" i="7"/>
  <c r="Q469" i="7"/>
  <c r="N468" i="7"/>
  <c r="L467" i="7"/>
  <c r="Q456" i="7"/>
  <c r="Q455" i="7"/>
  <c r="S454" i="7"/>
  <c r="V419" i="7"/>
  <c r="C419" i="7"/>
  <c r="M418" i="7"/>
  <c r="O394" i="7"/>
  <c r="V393" i="7"/>
  <c r="I393" i="7"/>
  <c r="E384" i="7"/>
  <c r="U372" i="7"/>
  <c r="U345" i="7" s="1"/>
  <c r="J372" i="7"/>
  <c r="J345" i="7" s="1"/>
  <c r="W355" i="7"/>
  <c r="N355" i="7"/>
  <c r="E355" i="7"/>
  <c r="U354" i="7"/>
  <c r="K354" i="7"/>
  <c r="B354" i="7"/>
  <c r="R353" i="7"/>
  <c r="I353" i="7"/>
  <c r="V351" i="7"/>
  <c r="M351" i="7"/>
  <c r="D351" i="7"/>
  <c r="R347" i="7"/>
  <c r="H347" i="7"/>
  <c r="Z340" i="7"/>
  <c r="Z363" i="7" s="1"/>
  <c r="Q340" i="7"/>
  <c r="Q363" i="7" s="1"/>
  <c r="H340" i="7"/>
  <c r="H363" i="7" s="1"/>
  <c r="X339" i="7"/>
  <c r="O339" i="7"/>
  <c r="E339" i="7"/>
  <c r="Z334" i="7"/>
  <c r="P334" i="7"/>
  <c r="G334" i="7"/>
  <c r="R487" i="7"/>
  <c r="R31" i="7" s="1"/>
  <c r="G469" i="7"/>
  <c r="C468" i="7"/>
  <c r="C467" i="7"/>
  <c r="H456" i="7"/>
  <c r="H455" i="7"/>
  <c r="L454" i="7"/>
  <c r="O419" i="7"/>
  <c r="Z418" i="7"/>
  <c r="H418" i="7"/>
  <c r="H394" i="7"/>
  <c r="T393" i="7"/>
  <c r="D393" i="7"/>
  <c r="S372" i="7"/>
  <c r="S345" i="7" s="1"/>
  <c r="H372" i="7"/>
  <c r="H345" i="7" s="1"/>
  <c r="U355" i="7"/>
  <c r="L355" i="7"/>
  <c r="B355" i="7"/>
  <c r="R354" i="7"/>
  <c r="I354" i="7"/>
  <c r="Y353" i="7"/>
  <c r="P353" i="7"/>
  <c r="G353" i="7"/>
  <c r="T351" i="7"/>
  <c r="K351" i="7"/>
  <c r="B351" i="7"/>
  <c r="X347" i="7"/>
  <c r="O347" i="7"/>
  <c r="F347" i="7"/>
  <c r="X340" i="7"/>
  <c r="X363" i="7" s="1"/>
  <c r="O340" i="7"/>
  <c r="O363" i="7" s="1"/>
  <c r="F340" i="7"/>
  <c r="F363" i="7" s="1"/>
  <c r="U339" i="7"/>
  <c r="L339" i="7"/>
  <c r="C339" i="7"/>
  <c r="W334" i="7"/>
  <c r="N334" i="7"/>
  <c r="E334" i="7"/>
  <c r="D504" i="7"/>
  <c r="X467" i="7"/>
  <c r="P455" i="7"/>
  <c r="B419" i="7"/>
  <c r="N394" i="7"/>
  <c r="G393" i="7"/>
  <c r="I372" i="7"/>
  <c r="I345" i="7" s="1"/>
  <c r="M355" i="7"/>
  <c r="S354" i="7"/>
  <c r="Z353" i="7"/>
  <c r="H353" i="7"/>
  <c r="U351" i="7"/>
  <c r="C351" i="7"/>
  <c r="P347" i="7"/>
  <c r="Y340" i="7"/>
  <c r="Y363" i="7" s="1"/>
  <c r="G340" i="7"/>
  <c r="G363" i="7" s="1"/>
  <c r="M339" i="7"/>
  <c r="O334" i="7"/>
  <c r="X238" i="7"/>
  <c r="P238" i="7"/>
  <c r="H238" i="7"/>
  <c r="S234" i="7"/>
  <c r="K234" i="7"/>
  <c r="C234" i="7"/>
  <c r="Y215" i="7"/>
  <c r="Q215" i="7"/>
  <c r="I215" i="7"/>
  <c r="Y204" i="7"/>
  <c r="Q204" i="7"/>
  <c r="I204" i="7"/>
  <c r="S201" i="7"/>
  <c r="S271" i="7" s="1"/>
  <c r="K201" i="7"/>
  <c r="K271" i="7" s="1"/>
  <c r="C201" i="7"/>
  <c r="C271" i="7" s="1"/>
  <c r="X194" i="7"/>
  <c r="P194" i="7"/>
  <c r="H194" i="7"/>
  <c r="Y193" i="7"/>
  <c r="Y263" i="7" s="1"/>
  <c r="Q193" i="7"/>
  <c r="Q263" i="7" s="1"/>
  <c r="I193" i="7"/>
  <c r="I263" i="7" s="1"/>
  <c r="W174" i="7"/>
  <c r="O174" i="7"/>
  <c r="G174" i="7"/>
  <c r="Z170" i="7"/>
  <c r="R170" i="7"/>
  <c r="J170" i="7"/>
  <c r="B170" i="7"/>
  <c r="W162" i="7"/>
  <c r="O162" i="7"/>
  <c r="G162" i="7"/>
  <c r="Y159" i="7"/>
  <c r="Q159" i="7"/>
  <c r="I159" i="7"/>
  <c r="V152" i="7"/>
  <c r="N152" i="7"/>
  <c r="F152" i="7"/>
  <c r="W151" i="7"/>
  <c r="O151" i="7"/>
  <c r="G151" i="7"/>
  <c r="X150" i="7"/>
  <c r="P150" i="7"/>
  <c r="H150" i="7"/>
  <c r="S469" i="7"/>
  <c r="O467" i="7"/>
  <c r="C455" i="7"/>
  <c r="Y419" i="7"/>
  <c r="R418" i="7"/>
  <c r="E394" i="7"/>
  <c r="B372" i="7"/>
  <c r="B345" i="7" s="1"/>
  <c r="Z355" i="7"/>
  <c r="H355" i="7"/>
  <c r="O354" i="7"/>
  <c r="V353" i="7"/>
  <c r="C353" i="7"/>
  <c r="Q351" i="7"/>
  <c r="L347" i="7"/>
  <c r="T340" i="7"/>
  <c r="T363" i="7" s="1"/>
  <c r="B340" i="7"/>
  <c r="B363" i="7" s="1"/>
  <c r="I339" i="7"/>
  <c r="K334" i="7"/>
  <c r="W238" i="7"/>
  <c r="O238" i="7"/>
  <c r="G238" i="7"/>
  <c r="Z234" i="7"/>
  <c r="R234" i="7"/>
  <c r="J234" i="7"/>
  <c r="B234" i="7"/>
  <c r="X215" i="7"/>
  <c r="P215" i="7"/>
  <c r="H215" i="7"/>
  <c r="X204" i="7"/>
  <c r="P204" i="7"/>
  <c r="H204" i="7"/>
  <c r="Z201" i="7"/>
  <c r="Z271" i="7" s="1"/>
  <c r="R201" i="7"/>
  <c r="R271" i="7" s="1"/>
  <c r="J201" i="7"/>
  <c r="J271" i="7" s="1"/>
  <c r="B201" i="7"/>
  <c r="B271" i="7" s="1"/>
  <c r="W194" i="7"/>
  <c r="O194" i="7"/>
  <c r="G194" i="7"/>
  <c r="X193" i="7"/>
  <c r="X263" i="7" s="1"/>
  <c r="P193" i="7"/>
  <c r="P263" i="7" s="1"/>
  <c r="H193" i="7"/>
  <c r="H263" i="7" s="1"/>
  <c r="V174" i="7"/>
  <c r="N174" i="7"/>
  <c r="F174" i="7"/>
  <c r="Y170" i="7"/>
  <c r="Q170" i="7"/>
  <c r="I170" i="7"/>
  <c r="R469" i="7"/>
  <c r="M467" i="7"/>
  <c r="S456" i="7"/>
  <c r="W454" i="7"/>
  <c r="X419" i="7"/>
  <c r="Q418" i="7"/>
  <c r="D394" i="7"/>
  <c r="F383" i="7"/>
  <c r="Z372" i="7"/>
  <c r="Z345" i="7" s="1"/>
  <c r="Y355" i="7"/>
  <c r="G355" i="7"/>
  <c r="N354" i="7"/>
  <c r="T353" i="7"/>
  <c r="B353" i="7"/>
  <c r="P351" i="7"/>
  <c r="K347" i="7"/>
  <c r="S340" i="7"/>
  <c r="S363" i="7" s="1"/>
  <c r="Z339" i="7"/>
  <c r="H339" i="7"/>
  <c r="J334" i="7"/>
  <c r="V238" i="7"/>
  <c r="N238" i="7"/>
  <c r="F238" i="7"/>
  <c r="Y234" i="7"/>
  <c r="Q234" i="7"/>
  <c r="I234" i="7"/>
  <c r="W215" i="7"/>
  <c r="O215" i="7"/>
  <c r="G215" i="7"/>
  <c r="W204" i="7"/>
  <c r="O204" i="7"/>
  <c r="G204" i="7"/>
  <c r="Y201" i="7"/>
  <c r="Y271" i="7" s="1"/>
  <c r="Q201" i="7"/>
  <c r="Q271" i="7" s="1"/>
  <c r="I201" i="7"/>
  <c r="I271" i="7" s="1"/>
  <c r="V194" i="7"/>
  <c r="N194" i="7"/>
  <c r="F194" i="7"/>
  <c r="W193" i="7"/>
  <c r="W263" i="7" s="1"/>
  <c r="O193" i="7"/>
  <c r="O263" i="7" s="1"/>
  <c r="G193" i="7"/>
  <c r="G263" i="7" s="1"/>
  <c r="S487" i="7"/>
  <c r="S31" i="7" s="1"/>
  <c r="P469" i="7"/>
  <c r="K467" i="7"/>
  <c r="R456" i="7"/>
  <c r="U454" i="7"/>
  <c r="W419" i="7"/>
  <c r="O418" i="7"/>
  <c r="W393" i="7"/>
  <c r="E383" i="7"/>
  <c r="Y372" i="7"/>
  <c r="Y345" i="7" s="1"/>
  <c r="X355" i="7"/>
  <c r="F487" i="7"/>
  <c r="F31" i="7" s="1"/>
  <c r="B469" i="7"/>
  <c r="N456" i="7"/>
  <c r="R454" i="7"/>
  <c r="T419" i="7"/>
  <c r="I418" i="7"/>
  <c r="U393" i="7"/>
  <c r="T372" i="7"/>
  <c r="T345" i="7" s="1"/>
  <c r="V355" i="7"/>
  <c r="D505" i="7"/>
  <c r="B487" i="7"/>
  <c r="B31" i="7" s="1"/>
  <c r="R468" i="7"/>
  <c r="B456" i="7"/>
  <c r="H454" i="7"/>
  <c r="K419" i="7"/>
  <c r="C418" i="7"/>
  <c r="S394" i="7"/>
  <c r="M393" i="7"/>
  <c r="P372" i="7"/>
  <c r="P345" i="7" s="1"/>
  <c r="Q355" i="7"/>
  <c r="Q468" i="7"/>
  <c r="S455" i="7"/>
  <c r="J419" i="7"/>
  <c r="R394" i="7"/>
  <c r="L393" i="7"/>
  <c r="L372" i="7"/>
  <c r="L345" i="7" s="1"/>
  <c r="E504" i="7"/>
  <c r="L468" i="7"/>
  <c r="R455" i="7"/>
  <c r="D419" i="7"/>
  <c r="P394" i="7"/>
  <c r="K393" i="7"/>
  <c r="K372" i="7"/>
  <c r="K345" i="7" s="1"/>
  <c r="O355" i="7"/>
  <c r="V354" i="7"/>
  <c r="C354" i="7"/>
  <c r="J353" i="7"/>
  <c r="X351" i="7"/>
  <c r="E351" i="7"/>
  <c r="S347" i="7"/>
  <c r="I340" i="7"/>
  <c r="I363" i="7" s="1"/>
  <c r="P339" i="7"/>
  <c r="R334" i="7"/>
  <c r="Y238" i="7"/>
  <c r="Q238" i="7"/>
  <c r="I238" i="7"/>
  <c r="F355" i="7"/>
  <c r="S353" i="7"/>
  <c r="J347" i="7"/>
  <c r="Y339" i="7"/>
  <c r="L238" i="7"/>
  <c r="N234" i="7"/>
  <c r="Z215" i="7"/>
  <c r="L215" i="7"/>
  <c r="T204" i="7"/>
  <c r="F204" i="7"/>
  <c r="T201" i="7"/>
  <c r="T271" i="7" s="1"/>
  <c r="F201" i="7"/>
  <c r="F271" i="7" s="1"/>
  <c r="Q194" i="7"/>
  <c r="C194" i="7"/>
  <c r="N193" i="7"/>
  <c r="N263" i="7" s="1"/>
  <c r="C193" i="7"/>
  <c r="C263" i="7" s="1"/>
  <c r="Y174" i="7"/>
  <c r="M174" i="7"/>
  <c r="C174" i="7"/>
  <c r="X170" i="7"/>
  <c r="N170" i="7"/>
  <c r="D170" i="7"/>
  <c r="V162" i="7"/>
  <c r="M162" i="7"/>
  <c r="D162" i="7"/>
  <c r="R159" i="7"/>
  <c r="H159" i="7"/>
  <c r="X152" i="7"/>
  <c r="O152" i="7"/>
  <c r="E152" i="7"/>
  <c r="U151" i="7"/>
  <c r="L151" i="7"/>
  <c r="C151" i="7"/>
  <c r="S150" i="7"/>
  <c r="J150" i="7"/>
  <c r="D355" i="7"/>
  <c r="Q353" i="7"/>
  <c r="G347" i="7"/>
  <c r="W339" i="7"/>
  <c r="X334" i="7"/>
  <c r="K238" i="7"/>
  <c r="X234" i="7"/>
  <c r="M234" i="7"/>
  <c r="V215" i="7"/>
  <c r="K215" i="7"/>
  <c r="S204" i="7"/>
  <c r="E204" i="7"/>
  <c r="E202" i="7"/>
  <c r="P201" i="7"/>
  <c r="P271" i="7" s="1"/>
  <c r="E201" i="7"/>
  <c r="E271" i="7" s="1"/>
  <c r="M194" i="7"/>
  <c r="B194" i="7"/>
  <c r="M193" i="7"/>
  <c r="M263" i="7" s="1"/>
  <c r="B193" i="7"/>
  <c r="B263" i="7" s="1"/>
  <c r="X174" i="7"/>
  <c r="L174" i="7"/>
  <c r="B174" i="7"/>
  <c r="W170" i="7"/>
  <c r="M170" i="7"/>
  <c r="C170" i="7"/>
  <c r="U162" i="7"/>
  <c r="L162" i="7"/>
  <c r="C162" i="7"/>
  <c r="Z159" i="7"/>
  <c r="P159" i="7"/>
  <c r="G159" i="7"/>
  <c r="W152" i="7"/>
  <c r="M152" i="7"/>
  <c r="D152" i="7"/>
  <c r="T151" i="7"/>
  <c r="K151" i="7"/>
  <c r="B151" i="7"/>
  <c r="R150" i="7"/>
  <c r="I150" i="7"/>
  <c r="X354" i="7"/>
  <c r="L353" i="7"/>
  <c r="Z351" i="7"/>
  <c r="C347" i="7"/>
  <c r="R339" i="7"/>
  <c r="T334" i="7"/>
  <c r="W354" i="7"/>
  <c r="K353" i="7"/>
  <c r="Y351" i="7"/>
  <c r="B347" i="7"/>
  <c r="Q339" i="7"/>
  <c r="S334" i="7"/>
  <c r="M354" i="7"/>
  <c r="N351" i="7"/>
  <c r="R340" i="7"/>
  <c r="R363" i="7" s="1"/>
  <c r="G339" i="7"/>
  <c r="H334" i="7"/>
  <c r="J354" i="7"/>
  <c r="L351" i="7"/>
  <c r="Z347" i="7"/>
  <c r="P340" i="7"/>
  <c r="P363" i="7" s="1"/>
  <c r="D339" i="7"/>
  <c r="F334" i="7"/>
  <c r="F354" i="7"/>
  <c r="H351" i="7"/>
  <c r="U347" i="7"/>
  <c r="K340" i="7"/>
  <c r="K363" i="7" s="1"/>
  <c r="B334" i="7"/>
  <c r="P355" i="7"/>
  <c r="E354" i="7"/>
  <c r="F351" i="7"/>
  <c r="T347" i="7"/>
  <c r="J340" i="7"/>
  <c r="J363" i="7" s="1"/>
  <c r="G150" i="7"/>
  <c r="U150" i="7"/>
  <c r="H151" i="7"/>
  <c r="S151" i="7"/>
  <c r="H152" i="7"/>
  <c r="S152" i="7"/>
  <c r="D159" i="7"/>
  <c r="O159" i="7"/>
  <c r="B162" i="7"/>
  <c r="P162" i="7"/>
  <c r="F170" i="7"/>
  <c r="T170" i="7"/>
  <c r="Q174" i="7"/>
  <c r="L193" i="7"/>
  <c r="L263" i="7" s="1"/>
  <c r="E194" i="7"/>
  <c r="U194" i="7"/>
  <c r="O201" i="7"/>
  <c r="O271" i="7" s="1"/>
  <c r="B204" i="7"/>
  <c r="R204" i="7"/>
  <c r="E215" i="7"/>
  <c r="U215" i="7"/>
  <c r="P234" i="7"/>
  <c r="B238" i="7"/>
  <c r="T238" i="7"/>
  <c r="K150" i="7"/>
  <c r="V150" i="7"/>
  <c r="I151" i="7"/>
  <c r="V151" i="7"/>
  <c r="I152" i="7"/>
  <c r="T152" i="7"/>
  <c r="E159" i="7"/>
  <c r="S159" i="7"/>
  <c r="E162" i="7"/>
  <c r="Q162" i="7"/>
  <c r="G170" i="7"/>
  <c r="U170" i="7"/>
  <c r="D174" i="7"/>
  <c r="R174" i="7"/>
  <c r="R193" i="7"/>
  <c r="R263" i="7" s="1"/>
  <c r="I194" i="7"/>
  <c r="Y194" i="7"/>
  <c r="U201" i="7"/>
  <c r="U271" i="7" s="1"/>
  <c r="C204" i="7"/>
  <c r="U204" i="7"/>
  <c r="F215" i="7"/>
  <c r="D234" i="7"/>
  <c r="T234" i="7"/>
  <c r="C238" i="7"/>
  <c r="U238" i="7"/>
  <c r="L150" i="7"/>
  <c r="W150" i="7"/>
  <c r="J151" i="7"/>
  <c r="X151" i="7"/>
  <c r="J152" i="7"/>
  <c r="U152" i="7"/>
  <c r="F159" i="7"/>
  <c r="T159" i="7"/>
  <c r="F162" i="7"/>
  <c r="R162" i="7"/>
  <c r="H170" i="7"/>
  <c r="V170" i="7"/>
  <c r="E174" i="7"/>
  <c r="S174" i="7"/>
  <c r="S193" i="7"/>
  <c r="S263" i="7" s="1"/>
  <c r="J194" i="7"/>
  <c r="Z194" i="7"/>
  <c r="D201" i="7"/>
  <c r="D271" i="7" s="1"/>
  <c r="V201" i="7"/>
  <c r="V271" i="7" s="1"/>
  <c r="D204" i="7"/>
  <c r="V204" i="7"/>
  <c r="J215" i="7"/>
  <c r="E234" i="7"/>
  <c r="U234" i="7"/>
  <c r="D238" i="7"/>
  <c r="Z238" i="7"/>
  <c r="B150" i="7"/>
  <c r="M150" i="7"/>
  <c r="Y150" i="7"/>
  <c r="M151" i="7"/>
  <c r="Y151" i="7"/>
  <c r="K152" i="7"/>
  <c r="Y152" i="7"/>
  <c r="J159" i="7"/>
  <c r="U159" i="7"/>
  <c r="H162" i="7"/>
  <c r="S162" i="7"/>
  <c r="K170" i="7"/>
  <c r="H174" i="7"/>
  <c r="T174" i="7"/>
  <c r="K192" i="7"/>
  <c r="D193" i="7"/>
  <c r="D263" i="7" s="1"/>
  <c r="T193" i="7"/>
  <c r="T263" i="7" s="1"/>
  <c r="K194" i="7"/>
  <c r="G201" i="7"/>
  <c r="G271" i="7" s="1"/>
  <c r="W201" i="7"/>
  <c r="W271" i="7" s="1"/>
  <c r="J204" i="7"/>
  <c r="Z204" i="7"/>
  <c r="M215" i="7"/>
  <c r="F234" i="7"/>
  <c r="V234" i="7"/>
  <c r="E238" i="7"/>
  <c r="C150" i="7"/>
  <c r="N150" i="7"/>
  <c r="Z150" i="7"/>
  <c r="N151" i="7"/>
  <c r="Z151" i="7"/>
  <c r="L152" i="7"/>
  <c r="Z152" i="7"/>
  <c r="K159" i="7"/>
  <c r="V159" i="7"/>
  <c r="I162" i="7"/>
  <c r="T162" i="7"/>
  <c r="L170" i="7"/>
  <c r="I174" i="7"/>
  <c r="U174" i="7"/>
  <c r="E193" i="7"/>
  <c r="E263" i="7" s="1"/>
  <c r="U193" i="7"/>
  <c r="U263" i="7" s="1"/>
  <c r="L194" i="7"/>
  <c r="H201" i="7"/>
  <c r="H271" i="7" s="1"/>
  <c r="X201" i="7"/>
  <c r="X271" i="7" s="1"/>
  <c r="K204" i="7"/>
  <c r="N215" i="7"/>
  <c r="G234" i="7"/>
  <c r="W234" i="7"/>
  <c r="J238" i="7"/>
  <c r="G338" i="7"/>
  <c r="O338" i="7"/>
  <c r="W338" i="7"/>
  <c r="D150" i="7"/>
  <c r="O150" i="7"/>
  <c r="D151" i="7"/>
  <c r="P151" i="7"/>
  <c r="B152" i="7"/>
  <c r="P152" i="7"/>
  <c r="L159" i="7"/>
  <c r="W159" i="7"/>
  <c r="J162" i="7"/>
  <c r="X162" i="7"/>
  <c r="O170" i="7"/>
  <c r="J174" i="7"/>
  <c r="Z174" i="7"/>
  <c r="F190" i="7"/>
  <c r="F193" i="7"/>
  <c r="F263" i="7" s="1"/>
  <c r="V193" i="7"/>
  <c r="V263" i="7" s="1"/>
  <c r="R194" i="7"/>
  <c r="L201" i="7"/>
  <c r="L271" i="7" s="1"/>
  <c r="C202" i="7"/>
  <c r="L204" i="7"/>
  <c r="B215" i="7"/>
  <c r="R215" i="7"/>
  <c r="H234" i="7"/>
  <c r="M238" i="7"/>
  <c r="H338" i="7"/>
  <c r="P338" i="7"/>
  <c r="X338" i="7"/>
  <c r="E150" i="7"/>
  <c r="Q150" i="7"/>
  <c r="E151" i="7"/>
  <c r="Q151" i="7"/>
  <c r="C152" i="7"/>
  <c r="Q152" i="7"/>
  <c r="B159" i="7"/>
  <c r="M159" i="7"/>
  <c r="X159" i="7"/>
  <c r="K162" i="7"/>
  <c r="Y162" i="7"/>
  <c r="P170" i="7"/>
  <c r="K174" i="7"/>
  <c r="S192" i="7"/>
  <c r="J193" i="7"/>
  <c r="J263" i="7" s="1"/>
  <c r="Z193" i="7"/>
  <c r="Z263" i="7" s="1"/>
  <c r="S194" i="7"/>
  <c r="M201" i="7"/>
  <c r="M271" i="7" s="1"/>
  <c r="M204" i="7"/>
  <c r="C215" i="7"/>
  <c r="S215" i="7"/>
  <c r="L234" i="7"/>
  <c r="R238" i="7"/>
  <c r="C192" i="7"/>
  <c r="I338" i="7"/>
  <c r="Q338" i="7"/>
  <c r="Y338" i="7"/>
  <c r="F150" i="7"/>
  <c r="T150" i="7"/>
  <c r="F151" i="7"/>
  <c r="R151" i="7"/>
  <c r="G152" i="7"/>
  <c r="R152" i="7"/>
  <c r="C159" i="7"/>
  <c r="N159" i="7"/>
  <c r="N162" i="7"/>
  <c r="Z162" i="7"/>
  <c r="E170" i="7"/>
  <c r="S170" i="7"/>
  <c r="P174" i="7"/>
  <c r="K193" i="7"/>
  <c r="K263" i="7" s="1"/>
  <c r="D194" i="7"/>
  <c r="T194" i="7"/>
  <c r="N201" i="7"/>
  <c r="N271" i="7" s="1"/>
  <c r="N204" i="7"/>
  <c r="D215" i="7"/>
  <c r="T215" i="7"/>
  <c r="O234" i="7"/>
  <c r="S238" i="7"/>
  <c r="FE25" i="5"/>
  <c r="M169" i="4"/>
  <c r="M176" i="4" s="1"/>
  <c r="L170" i="4"/>
  <c r="CJ133" i="4"/>
  <c r="V69" i="4" l="1"/>
  <c r="Q40" i="9"/>
  <c r="Q84" i="9"/>
  <c r="Q86" i="9" s="1"/>
  <c r="Q87" i="9" s="1"/>
  <c r="Z34" i="9"/>
  <c r="AA34" i="9" s="1"/>
  <c r="Z19" i="9"/>
  <c r="AA19" i="9" s="1"/>
  <c r="Z80" i="9"/>
  <c r="AA80" i="9" s="1"/>
  <c r="Z66" i="9"/>
  <c r="AA66" i="9" s="1"/>
  <c r="D382" i="7"/>
  <c r="C505" i="7"/>
  <c r="B383" i="7"/>
  <c r="B505" i="7"/>
  <c r="G384" i="7"/>
  <c r="F506" i="7"/>
  <c r="D383" i="7"/>
  <c r="D202" i="7"/>
  <c r="B202" i="7"/>
  <c r="D190" i="7"/>
  <c r="C506" i="7"/>
  <c r="C504" i="7"/>
  <c r="C190" i="7"/>
  <c r="F505" i="7"/>
  <c r="E505" i="7"/>
  <c r="GK301" i="5"/>
  <c r="GK302" i="5"/>
  <c r="FY49" i="5"/>
  <c r="N36" i="9"/>
  <c r="CG57" i="5"/>
  <c r="CG59" i="5" s="1"/>
  <c r="P37" i="9" s="1"/>
  <c r="X37" i="9" s="1"/>
  <c r="O36" i="9"/>
  <c r="GH301" i="5"/>
  <c r="GH302" i="5" s="1"/>
  <c r="GH35" i="5"/>
  <c r="F384" i="7"/>
  <c r="B389" i="7"/>
  <c r="D414" i="7"/>
  <c r="I389" i="7"/>
  <c r="D408" i="7"/>
  <c r="D390" i="7"/>
  <c r="C414" i="7"/>
  <c r="H388" i="7"/>
  <c r="B408" i="7"/>
  <c r="C408" i="7"/>
  <c r="B409" i="7"/>
  <c r="D384" i="7"/>
  <c r="G390" i="7"/>
  <c r="F414" i="7"/>
  <c r="B241" i="7"/>
  <c r="D241" i="7"/>
  <c r="E470" i="7"/>
  <c r="E24" i="7" s="1"/>
  <c r="C241" i="7"/>
  <c r="F202" i="7"/>
  <c r="E241" i="7"/>
  <c r="F241" i="7"/>
  <c r="I382" i="7"/>
  <c r="C390" i="7"/>
  <c r="E414" i="7"/>
  <c r="H382" i="7"/>
  <c r="F409" i="7"/>
  <c r="B414" i="8"/>
  <c r="M52" i="9"/>
  <c r="FU21" i="5"/>
  <c r="FU49" i="5"/>
  <c r="GG35" i="5"/>
  <c r="FU42" i="5"/>
  <c r="FU43" i="5" s="1"/>
  <c r="GF301" i="5"/>
  <c r="GF302" i="5" s="1"/>
  <c r="FT42" i="5"/>
  <c r="FT21" i="5"/>
  <c r="FS42" i="5"/>
  <c r="GD301" i="5"/>
  <c r="GD302" i="5" s="1"/>
  <c r="FQ42" i="5"/>
  <c r="FQ49" i="5"/>
  <c r="FQ21" i="5"/>
  <c r="J131" i="4"/>
  <c r="J142" i="4" s="1"/>
  <c r="G382" i="7"/>
  <c r="H172" i="4"/>
  <c r="C470" i="7"/>
  <c r="C24" i="7" s="1"/>
  <c r="F407" i="7"/>
  <c r="D470" i="7"/>
  <c r="D24" i="7" s="1"/>
  <c r="D45" i="7" s="1"/>
  <c r="FN21" i="5"/>
  <c r="CR33" i="5"/>
  <c r="CR35" i="5" s="1"/>
  <c r="CJ33" i="5"/>
  <c r="CJ35" i="5" s="1"/>
  <c r="BH33" i="5"/>
  <c r="BH35" i="5" s="1"/>
  <c r="CB33" i="5"/>
  <c r="CB300" i="5" s="1"/>
  <c r="CB301" i="5" s="1"/>
  <c r="CB302" i="5" s="1"/>
  <c r="DV33" i="5"/>
  <c r="DV35" i="5" s="1"/>
  <c r="EE33" i="5"/>
  <c r="EE300" i="5" s="1"/>
  <c r="EE301" i="5" s="1"/>
  <c r="EE302" i="5" s="1"/>
  <c r="EW33" i="5"/>
  <c r="EW300" i="5" s="1"/>
  <c r="EW301" i="5" s="1"/>
  <c r="EW302" i="5" s="1"/>
  <c r="FK33" i="5"/>
  <c r="FK35" i="5" s="1"/>
  <c r="FF33" i="5"/>
  <c r="FF300" i="5" s="1"/>
  <c r="FF301" i="5" s="1"/>
  <c r="FF302" i="5" s="1"/>
  <c r="CY33" i="5"/>
  <c r="CY300" i="5" s="1"/>
  <c r="CY301" i="5" s="1"/>
  <c r="CY302" i="5" s="1"/>
  <c r="CQ33" i="5"/>
  <c r="CQ300" i="5" s="1"/>
  <c r="CQ301" i="5" s="1"/>
  <c r="CQ302" i="5" s="1"/>
  <c r="CI33" i="5"/>
  <c r="CI300" i="5" s="1"/>
  <c r="CI301" i="5" s="1"/>
  <c r="CI302" i="5" s="1"/>
  <c r="BG33" i="5"/>
  <c r="BG300" i="5" s="1"/>
  <c r="BG301" i="5" s="1"/>
  <c r="BG302" i="5" s="1"/>
  <c r="BL33" i="5"/>
  <c r="BL35" i="5" s="1"/>
  <c r="CA33" i="5"/>
  <c r="CA300" i="5" s="1"/>
  <c r="CA301" i="5" s="1"/>
  <c r="CA302" i="5" s="1"/>
  <c r="DU33" i="5"/>
  <c r="DU300" i="5" s="1"/>
  <c r="DU301" i="5" s="1"/>
  <c r="DU302" i="5" s="1"/>
  <c r="FL33" i="5"/>
  <c r="FL35" i="5" s="1"/>
  <c r="EM33" i="5"/>
  <c r="EM300" i="5" s="1"/>
  <c r="EM301" i="5" s="1"/>
  <c r="EM302" i="5" s="1"/>
  <c r="DI33" i="5"/>
  <c r="DI300" i="5" s="1"/>
  <c r="DI301" i="5" s="1"/>
  <c r="DI302" i="5" s="1"/>
  <c r="DF33" i="5"/>
  <c r="DF35" i="5" s="1"/>
  <c r="CX33" i="5"/>
  <c r="CX300" i="5" s="1"/>
  <c r="CX301" i="5" s="1"/>
  <c r="CX302" i="5" s="1"/>
  <c r="CP33" i="5"/>
  <c r="CP35" i="5" s="1"/>
  <c r="CH33" i="5"/>
  <c r="BF33" i="5"/>
  <c r="BF300" i="5" s="1"/>
  <c r="BF301" i="5" s="1"/>
  <c r="BF302" i="5" s="1"/>
  <c r="BK33" i="5"/>
  <c r="BK35" i="5" s="1"/>
  <c r="BV33" i="5"/>
  <c r="BV300" i="5" s="1"/>
  <c r="BV301" i="5" s="1"/>
  <c r="BV302" i="5" s="1"/>
  <c r="BZ33" i="5"/>
  <c r="BZ35" i="5" s="1"/>
  <c r="DT33" i="5"/>
  <c r="DT35" i="5" s="1"/>
  <c r="EK33" i="5"/>
  <c r="EU33" i="5"/>
  <c r="FB33" i="5"/>
  <c r="FB300" i="5" s="1"/>
  <c r="FB301" i="5" s="1"/>
  <c r="FB302" i="5" s="1"/>
  <c r="FM33" i="5"/>
  <c r="FM300" i="5" s="1"/>
  <c r="FM301" i="5" s="1"/>
  <c r="FM302" i="5" s="1"/>
  <c r="FD33" i="5"/>
  <c r="FD35" i="5" s="1"/>
  <c r="DL33" i="5"/>
  <c r="DL300" i="5" s="1"/>
  <c r="DL301" i="5" s="1"/>
  <c r="DL302" i="5" s="1"/>
  <c r="CZ33" i="5"/>
  <c r="CZ300" i="5" s="1"/>
  <c r="CZ301" i="5" s="1"/>
  <c r="CZ302" i="5" s="1"/>
  <c r="BM33" i="5"/>
  <c r="BM300" i="5" s="1"/>
  <c r="BM301" i="5" s="1"/>
  <c r="BM302" i="5" s="1"/>
  <c r="BO33" i="5"/>
  <c r="BO300" i="5" s="1"/>
  <c r="BO301" i="5" s="1"/>
  <c r="BO302" i="5" s="1"/>
  <c r="DJ33" i="5"/>
  <c r="DJ300" i="5" s="1"/>
  <c r="DJ301" i="5" s="1"/>
  <c r="DJ302" i="5" s="1"/>
  <c r="BN33" i="5"/>
  <c r="BN300" i="5" s="1"/>
  <c r="BN301" i="5" s="1"/>
  <c r="BN302" i="5" s="1"/>
  <c r="EN33" i="5"/>
  <c r="EN300" i="5" s="1"/>
  <c r="EN301" i="5" s="1"/>
  <c r="EN302" i="5" s="1"/>
  <c r="ED33" i="5"/>
  <c r="ED35" i="5" s="1"/>
  <c r="EV33" i="5"/>
  <c r="EV300" i="5" s="1"/>
  <c r="EV301" i="5" s="1"/>
  <c r="EV302" i="5" s="1"/>
  <c r="FE33" i="5"/>
  <c r="FE300" i="5" s="1"/>
  <c r="FE301" i="5" s="1"/>
  <c r="FE302" i="5" s="1"/>
  <c r="DH33" i="5"/>
  <c r="DH35" i="5" s="1"/>
  <c r="DE33" i="5"/>
  <c r="DE35" i="5" s="1"/>
  <c r="CW33" i="5"/>
  <c r="CW35" i="5" s="1"/>
  <c r="CO33" i="5"/>
  <c r="CO35" i="5" s="1"/>
  <c r="AX33" i="5"/>
  <c r="AX35" i="5" s="1"/>
  <c r="BD33" i="5"/>
  <c r="BD35" i="5" s="1"/>
  <c r="BE33" i="5"/>
  <c r="BE35" i="5" s="1"/>
  <c r="BU33" i="5"/>
  <c r="BU300" i="5" s="1"/>
  <c r="BU301" i="5" s="1"/>
  <c r="BU302" i="5" s="1"/>
  <c r="CG33" i="5"/>
  <c r="CG300" i="5" s="1"/>
  <c r="CG301" i="5" s="1"/>
  <c r="CG302" i="5" s="1"/>
  <c r="BY33" i="5"/>
  <c r="BY300" i="5" s="1"/>
  <c r="BY301" i="5" s="1"/>
  <c r="BY302" i="5" s="1"/>
  <c r="EC33" i="5"/>
  <c r="EC35" i="5" s="1"/>
  <c r="DS33" i="5"/>
  <c r="DS35" i="5" s="1"/>
  <c r="EJ33" i="5"/>
  <c r="EJ35" i="5" s="1"/>
  <c r="ET33" i="5"/>
  <c r="ET35" i="5" s="1"/>
  <c r="FC33" i="5"/>
  <c r="FC35" i="5" s="1"/>
  <c r="FS33" i="5"/>
  <c r="FS49" i="5"/>
  <c r="FT33" i="5"/>
  <c r="FT49" i="5"/>
  <c r="DG33" i="5"/>
  <c r="DG35" i="5" s="1"/>
  <c r="CV33" i="5"/>
  <c r="CV300" i="5" s="1"/>
  <c r="CV301" i="5" s="1"/>
  <c r="CV302" i="5" s="1"/>
  <c r="BC33" i="5"/>
  <c r="BC35" i="5" s="1"/>
  <c r="BS33" i="5"/>
  <c r="BS35" i="5" s="1"/>
  <c r="BX33" i="5"/>
  <c r="BX300" i="5" s="1"/>
  <c r="BX301" i="5" s="1"/>
  <c r="BX302" i="5" s="1"/>
  <c r="DO33" i="5"/>
  <c r="DO300" i="5" s="1"/>
  <c r="DO301" i="5" s="1"/>
  <c r="DO302" i="5" s="1"/>
  <c r="DC33" i="5"/>
  <c r="DC300" i="5" s="1"/>
  <c r="DC301" i="5" s="1"/>
  <c r="DC302" i="5" s="1"/>
  <c r="CM33" i="5"/>
  <c r="CM35" i="5" s="1"/>
  <c r="AZ33" i="5"/>
  <c r="AZ35" i="5" s="1"/>
  <c r="BB33" i="5"/>
  <c r="BB35" i="5" s="1"/>
  <c r="BW33" i="5"/>
  <c r="BW35" i="5" s="1"/>
  <c r="DB33" i="5"/>
  <c r="DB300" i="5" s="1"/>
  <c r="DB301" i="5" s="1"/>
  <c r="DB302" i="5" s="1"/>
  <c r="CT33" i="5"/>
  <c r="CT300" i="5" s="1"/>
  <c r="CT301" i="5" s="1"/>
  <c r="CT302" i="5" s="1"/>
  <c r="CL33" i="5"/>
  <c r="CL300" i="5" s="1"/>
  <c r="CL301" i="5" s="1"/>
  <c r="CL302" i="5" s="1"/>
  <c r="AY33" i="5"/>
  <c r="AY35" i="5" s="1"/>
  <c r="BJ33" i="5"/>
  <c r="BJ300" i="5" s="1"/>
  <c r="BJ301" i="5" s="1"/>
  <c r="BJ302" i="5" s="1"/>
  <c r="BQ33" i="5"/>
  <c r="BQ35" i="5" s="1"/>
  <c r="CD33" i="5"/>
  <c r="CD35" i="5" s="1"/>
  <c r="DY33" i="5"/>
  <c r="DY300" i="5" s="1"/>
  <c r="DY301" i="5" s="1"/>
  <c r="DY302" i="5" s="1"/>
  <c r="EG33" i="5"/>
  <c r="EG300" i="5" s="1"/>
  <c r="EG301" i="5" s="1"/>
  <c r="EG302" i="5" s="1"/>
  <c r="FA33" i="5"/>
  <c r="FA300" i="5" s="1"/>
  <c r="FA301" i="5" s="1"/>
  <c r="FA302" i="5" s="1"/>
  <c r="EQ33" i="5"/>
  <c r="EQ35" i="5" s="1"/>
  <c r="FI33" i="5"/>
  <c r="FI300" i="5" s="1"/>
  <c r="FI301" i="5" s="1"/>
  <c r="FI302" i="5" s="1"/>
  <c r="FN49" i="5"/>
  <c r="DQ33" i="5"/>
  <c r="DQ300" i="5" s="1"/>
  <c r="DQ301" i="5" s="1"/>
  <c r="DQ302" i="5" s="1"/>
  <c r="DD33" i="5"/>
  <c r="DD35" i="5" s="1"/>
  <c r="CN33" i="5"/>
  <c r="CN300" i="5" s="1"/>
  <c r="CN301" i="5" s="1"/>
  <c r="CN302" i="5" s="1"/>
  <c r="BA33" i="5"/>
  <c r="BA35" i="5" s="1"/>
  <c r="CF33" i="5"/>
  <c r="CF300" i="5" s="1"/>
  <c r="CF301" i="5" s="1"/>
  <c r="CF302" i="5" s="1"/>
  <c r="EB33" i="5"/>
  <c r="EB300" i="5" s="1"/>
  <c r="EB301" i="5" s="1"/>
  <c r="EB302" i="5" s="1"/>
  <c r="DR33" i="5"/>
  <c r="DR300" i="5" s="1"/>
  <c r="DR301" i="5" s="1"/>
  <c r="DR302" i="5" s="1"/>
  <c r="EI33" i="5"/>
  <c r="EI300" i="5" s="1"/>
  <c r="EI301" i="5" s="1"/>
  <c r="EI302" i="5" s="1"/>
  <c r="EO33" i="5"/>
  <c r="EO300" i="5" s="1"/>
  <c r="EO301" i="5" s="1"/>
  <c r="EO302" i="5" s="1"/>
  <c r="ES33" i="5"/>
  <c r="ES35" i="5" s="1"/>
  <c r="EY33" i="5"/>
  <c r="EY300" i="5" s="1"/>
  <c r="EY301" i="5" s="1"/>
  <c r="EY302" i="5" s="1"/>
  <c r="FG33" i="5"/>
  <c r="FG300" i="5" s="1"/>
  <c r="FG301" i="5" s="1"/>
  <c r="FG302" i="5" s="1"/>
  <c r="CU33" i="5"/>
  <c r="CU300" i="5" s="1"/>
  <c r="CU301" i="5" s="1"/>
  <c r="CU302" i="5" s="1"/>
  <c r="BR33" i="5"/>
  <c r="BR35" i="5" s="1"/>
  <c r="CE33" i="5"/>
  <c r="CE35" i="5" s="1"/>
  <c r="DP33" i="5"/>
  <c r="DP35" i="5" s="1"/>
  <c r="EA33" i="5"/>
  <c r="EA300" i="5" s="1"/>
  <c r="EA301" i="5" s="1"/>
  <c r="EA302" i="5" s="1"/>
  <c r="DW33" i="5"/>
  <c r="DW35" i="5" s="1"/>
  <c r="EH33" i="5"/>
  <c r="EH35" i="5" s="1"/>
  <c r="ER33" i="5"/>
  <c r="ER35" i="5" s="1"/>
  <c r="EX33" i="5"/>
  <c r="EX35" i="5" s="1"/>
  <c r="FH33" i="5"/>
  <c r="FH300" i="5" s="1"/>
  <c r="FH301" i="5" s="1"/>
  <c r="FH302" i="5" s="1"/>
  <c r="DM33" i="5"/>
  <c r="DM35" i="5" s="1"/>
  <c r="DA33" i="5"/>
  <c r="DA300" i="5" s="1"/>
  <c r="DA301" i="5" s="1"/>
  <c r="DA302" i="5" s="1"/>
  <c r="CS33" i="5"/>
  <c r="CS300" i="5" s="1"/>
  <c r="CS301" i="5" s="1"/>
  <c r="CS302" i="5" s="1"/>
  <c r="CK33" i="5"/>
  <c r="CK300" i="5" s="1"/>
  <c r="CK301" i="5" s="1"/>
  <c r="CK302" i="5" s="1"/>
  <c r="BI33" i="5"/>
  <c r="BI35" i="5" s="1"/>
  <c r="BT33" i="5"/>
  <c r="BT35" i="5" s="1"/>
  <c r="BP33" i="5"/>
  <c r="BP35" i="5" s="1"/>
  <c r="CC33" i="5"/>
  <c r="CC300" i="5" s="1"/>
  <c r="CC301" i="5" s="1"/>
  <c r="CC302" i="5" s="1"/>
  <c r="DX33" i="5"/>
  <c r="DX35" i="5" s="1"/>
  <c r="EF33" i="5"/>
  <c r="EF300" i="5" s="1"/>
  <c r="EF301" i="5" s="1"/>
  <c r="EF302" i="5" s="1"/>
  <c r="EZ33" i="5"/>
  <c r="EZ300" i="5" s="1"/>
  <c r="EZ301" i="5" s="1"/>
  <c r="EZ302" i="5" s="1"/>
  <c r="EP33" i="5"/>
  <c r="FJ33" i="5"/>
  <c r="FJ300" i="5" s="1"/>
  <c r="FJ301" i="5" s="1"/>
  <c r="FJ302" i="5" s="1"/>
  <c r="O67" i="5"/>
  <c r="O68" i="5" s="1"/>
  <c r="M73" i="5"/>
  <c r="M75" i="5" s="1"/>
  <c r="M77" i="5" s="1"/>
  <c r="AQ181" i="5"/>
  <c r="G73" i="5"/>
  <c r="G75" i="5" s="1"/>
  <c r="G77" i="5" s="1"/>
  <c r="G232" i="5"/>
  <c r="DO295" i="5"/>
  <c r="DO296" i="5" s="1"/>
  <c r="DO297" i="5" s="1"/>
  <c r="DO42" i="5"/>
  <c r="FP43" i="5"/>
  <c r="FX295" i="5"/>
  <c r="FX296" i="5" s="1"/>
  <c r="FX297" i="5" s="1"/>
  <c r="FX42" i="5"/>
  <c r="FX43" i="5" s="1"/>
  <c r="AU163" i="5"/>
  <c r="M67" i="5"/>
  <c r="M68" i="5" s="1"/>
  <c r="N73" i="5"/>
  <c r="N75" i="5" s="1"/>
  <c r="N77" i="5" s="1"/>
  <c r="FE295" i="5"/>
  <c r="FE296" i="5" s="1"/>
  <c r="FE297" i="5" s="1"/>
  <c r="FE42" i="5"/>
  <c r="DI295" i="5"/>
  <c r="DI296" i="5" s="1"/>
  <c r="DI297" i="5" s="1"/>
  <c r="DI42" i="5"/>
  <c r="AM163" i="5"/>
  <c r="F73" i="5"/>
  <c r="F75" i="5" s="1"/>
  <c r="F77" i="5" s="1"/>
  <c r="EN295" i="5"/>
  <c r="EN296" i="5" s="1"/>
  <c r="EN297" i="5" s="1"/>
  <c r="EN42" i="5"/>
  <c r="FO43" i="5"/>
  <c r="FW295" i="5"/>
  <c r="FW296" i="5" s="1"/>
  <c r="FW297" i="5" s="1"/>
  <c r="FW42" i="5"/>
  <c r="DL295" i="5"/>
  <c r="DL296" i="5" s="1"/>
  <c r="DL297" i="5" s="1"/>
  <c r="DL42" i="5"/>
  <c r="FY295" i="5"/>
  <c r="FY296" i="5" s="1"/>
  <c r="FY297" i="5" s="1"/>
  <c r="FY42" i="5"/>
  <c r="FY43" i="5" s="1"/>
  <c r="EV295" i="5"/>
  <c r="EV296" i="5" s="1"/>
  <c r="EV297" i="5" s="1"/>
  <c r="EV42" i="5"/>
  <c r="DX295" i="5"/>
  <c r="DX296" i="5" s="1"/>
  <c r="DX297" i="5" s="1"/>
  <c r="DX42" i="5"/>
  <c r="AX295" i="5"/>
  <c r="AX296" i="5" s="1"/>
  <c r="AX297" i="5" s="1"/>
  <c r="AX42" i="5"/>
  <c r="AP181" i="5"/>
  <c r="F238" i="5"/>
  <c r="BJ295" i="5"/>
  <c r="BJ296" i="5" s="1"/>
  <c r="BJ297" i="5" s="1"/>
  <c r="BJ42" i="5"/>
  <c r="AV178" i="5"/>
  <c r="DL26" i="5"/>
  <c r="AT181" i="5"/>
  <c r="AY163" i="5"/>
  <c r="G226" i="5"/>
  <c r="AJ177" i="5"/>
  <c r="BA181" i="5"/>
  <c r="G237" i="5"/>
  <c r="G249" i="5" s="1"/>
  <c r="AW181" i="5"/>
  <c r="N67" i="5"/>
  <c r="N68" i="5" s="1"/>
  <c r="AZ181" i="5"/>
  <c r="AZ163" i="5"/>
  <c r="EV26" i="5"/>
  <c r="AO163" i="5"/>
  <c r="BI175" i="5"/>
  <c r="AR178" i="5"/>
  <c r="AS181" i="5"/>
  <c r="K72" i="5"/>
  <c r="L73" i="5"/>
  <c r="L75" i="5" s="1"/>
  <c r="L77" i="5" s="1"/>
  <c r="AT163" i="5"/>
  <c r="BI163" i="5"/>
  <c r="O73" i="5"/>
  <c r="O78" i="5" s="1"/>
  <c r="G235" i="5"/>
  <c r="G247" i="5" s="1"/>
  <c r="DK26" i="5"/>
  <c r="FS20" i="5"/>
  <c r="AJ180" i="5"/>
  <c r="AK181" i="5"/>
  <c r="AK163" i="5"/>
  <c r="G181" i="5"/>
  <c r="AV181" i="5"/>
  <c r="AJ160" i="5"/>
  <c r="D229" i="5" s="1"/>
  <c r="D235" i="5" s="1"/>
  <c r="AB33" i="5"/>
  <c r="AB35" i="5" s="1"/>
  <c r="B163" i="5"/>
  <c r="AD181" i="5"/>
  <c r="AV163" i="5"/>
  <c r="F244" i="5"/>
  <c r="T33" i="5"/>
  <c r="T35" i="5" s="1"/>
  <c r="AF31" i="5"/>
  <c r="F224" i="5"/>
  <c r="D241" i="5"/>
  <c r="D244" i="5" s="1"/>
  <c r="FZ301" i="5"/>
  <c r="FZ302" i="5" s="1"/>
  <c r="F160" i="7"/>
  <c r="F163" i="7" s="1"/>
  <c r="F105" i="7" s="1"/>
  <c r="J408" i="7"/>
  <c r="C160" i="7"/>
  <c r="C163" i="7" s="1"/>
  <c r="C105" i="7" s="1"/>
  <c r="E160" i="7"/>
  <c r="E163" i="7" s="1"/>
  <c r="E105" i="7" s="1"/>
  <c r="M384" i="7"/>
  <c r="L169" i="4"/>
  <c r="L176" i="4" s="1"/>
  <c r="GA301" i="5"/>
  <c r="GA302" i="5" s="1"/>
  <c r="BN95" i="4"/>
  <c r="K113" i="4"/>
  <c r="K118" i="4" s="1"/>
  <c r="AQ31" i="5"/>
  <c r="AI31" i="5"/>
  <c r="AA33" i="5"/>
  <c r="AA300" i="5" s="1"/>
  <c r="AA301" i="5" s="1"/>
  <c r="AA302" i="5" s="1"/>
  <c r="Y181" i="5"/>
  <c r="AK229" i="2"/>
  <c r="BD516" i="2"/>
  <c r="AT178" i="5"/>
  <c r="R263" i="2"/>
  <c r="AX409" i="2"/>
  <c r="AL56" i="5"/>
  <c r="AF56" i="5"/>
  <c r="M233" i="2"/>
  <c r="AZ31" i="2"/>
  <c r="AG68" i="2"/>
  <c r="T181" i="5"/>
  <c r="AI199" i="2"/>
  <c r="AW127" i="2"/>
  <c r="AW511" i="2"/>
  <c r="AX199" i="2"/>
  <c r="L52" i="9"/>
  <c r="K52" i="9"/>
  <c r="AT156" i="2"/>
  <c r="BC510" i="2"/>
  <c r="AQ150" i="2"/>
  <c r="Y33" i="5"/>
  <c r="Y300" i="5" s="1"/>
  <c r="Y301" i="5" s="1"/>
  <c r="Y302" i="5" s="1"/>
  <c r="AS31" i="5"/>
  <c r="AO31" i="5"/>
  <c r="AG31" i="5"/>
  <c r="AE56" i="5"/>
  <c r="R23" i="5"/>
  <c r="R25" i="5" s="1"/>
  <c r="R42" i="5" s="1"/>
  <c r="Y163" i="5"/>
  <c r="F181" i="5"/>
  <c r="Q181" i="5"/>
  <c r="K237" i="7"/>
  <c r="W181" i="5"/>
  <c r="K66" i="5"/>
  <c r="AZ37" i="2"/>
  <c r="AN16" i="2"/>
  <c r="BK74" i="2"/>
  <c r="CZ47" i="2"/>
  <c r="AQ156" i="2"/>
  <c r="AX406" i="2"/>
  <c r="BC502" i="2"/>
  <c r="B231" i="5"/>
  <c r="B237" i="5" s="1"/>
  <c r="B249" i="5" s="1"/>
  <c r="AI163" i="5"/>
  <c r="AL163" i="5"/>
  <c r="AP163" i="5"/>
  <c r="I73" i="5"/>
  <c r="I75" i="5" s="1"/>
  <c r="I77" i="5" s="1"/>
  <c r="J73" i="5"/>
  <c r="J75" i="5" s="1"/>
  <c r="J77" i="5" s="1"/>
  <c r="E231" i="5"/>
  <c r="E237" i="5" s="1"/>
  <c r="E249" i="5" s="1"/>
  <c r="AU181" i="5"/>
  <c r="AX181" i="5"/>
  <c r="BB358" i="2"/>
  <c r="BB147" i="2"/>
  <c r="Q479" i="7"/>
  <c r="Z395" i="7"/>
  <c r="AJ144" i="2"/>
  <c r="AJ68" i="2"/>
  <c r="AI68" i="2"/>
  <c r="AH204" i="2"/>
  <c r="BL156" i="2"/>
  <c r="AL31" i="5"/>
  <c r="AD33" i="5"/>
  <c r="AD300" i="5" s="1"/>
  <c r="AD301" i="5" s="1"/>
  <c r="AD302" i="5" s="1"/>
  <c r="N33" i="5"/>
  <c r="N300" i="5" s="1"/>
  <c r="N301" i="5" s="1"/>
  <c r="N302" i="5" s="1"/>
  <c r="AI181" i="5"/>
  <c r="BJ163" i="5"/>
  <c r="AK56" i="5"/>
  <c r="C66" i="5"/>
  <c r="AJ162" i="5"/>
  <c r="D231" i="5" s="1"/>
  <c r="D237" i="5" s="1"/>
  <c r="D249" i="5" s="1"/>
  <c r="AJ169" i="5"/>
  <c r="C74" i="5"/>
  <c r="AA56" i="5"/>
  <c r="P163" i="5"/>
  <c r="I163" i="5"/>
  <c r="AO181" i="5"/>
  <c r="F67" i="5"/>
  <c r="F68" i="5" s="1"/>
  <c r="I67" i="5"/>
  <c r="I68" i="5" s="1"/>
  <c r="AQ163" i="5"/>
  <c r="E226" i="5"/>
  <c r="BC163" i="5"/>
  <c r="E74" i="5"/>
  <c r="AG56" i="5"/>
  <c r="P33" i="5"/>
  <c r="P35" i="5" s="1"/>
  <c r="AC56" i="5"/>
  <c r="B244" i="5"/>
  <c r="G67" i="5"/>
  <c r="G68" i="5" s="1"/>
  <c r="H67" i="5"/>
  <c r="H68" i="5" s="1"/>
  <c r="AS163" i="5"/>
  <c r="BA163" i="5"/>
  <c r="FY26" i="5"/>
  <c r="P72" i="5"/>
  <c r="AR160" i="5"/>
  <c r="AR163" i="5" s="1"/>
  <c r="DL23" i="5"/>
  <c r="K65" i="5" s="1"/>
  <c r="BD154" i="5"/>
  <c r="F223" i="5" s="1"/>
  <c r="AR157" i="5"/>
  <c r="F163" i="5"/>
  <c r="BI56" i="5"/>
  <c r="FY33" i="5"/>
  <c r="E241" i="5"/>
  <c r="E244" i="5" s="1"/>
  <c r="AU178" i="5"/>
  <c r="J67" i="5"/>
  <c r="J68" i="5" s="1"/>
  <c r="P65" i="5"/>
  <c r="P67" i="5" s="1"/>
  <c r="P68" i="5" s="1"/>
  <c r="E72" i="5"/>
  <c r="U33" i="5"/>
  <c r="U300" i="5" s="1"/>
  <c r="U301" i="5" s="1"/>
  <c r="U302" i="5" s="1"/>
  <c r="F225" i="5"/>
  <c r="FX26" i="5"/>
  <c r="AD56" i="5"/>
  <c r="M62" i="5"/>
  <c r="M63" i="5" s="1"/>
  <c r="P80" i="2"/>
  <c r="ET44" i="2"/>
  <c r="ES11" i="2" s="1"/>
  <c r="AZ512" i="2"/>
  <c r="AB222" i="2"/>
  <c r="AR156" i="2"/>
  <c r="R274" i="7"/>
  <c r="C478" i="7"/>
  <c r="U420" i="7"/>
  <c r="EE123" i="2"/>
  <c r="ER12" i="2" s="1"/>
  <c r="AY516" i="2"/>
  <c r="BG526" i="2"/>
  <c r="J163" i="5"/>
  <c r="AC163" i="5"/>
  <c r="U262" i="7"/>
  <c r="AD263" i="2"/>
  <c r="L163" i="5"/>
  <c r="AW414" i="2"/>
  <c r="AW514" i="2"/>
  <c r="BC366" i="2"/>
  <c r="AC222" i="2"/>
  <c r="J263" i="2"/>
  <c r="AT206" i="2"/>
  <c r="E71" i="5"/>
  <c r="D181" i="5"/>
  <c r="AU197" i="2"/>
  <c r="AY127" i="2"/>
  <c r="R477" i="7"/>
  <c r="Y261" i="2"/>
  <c r="Y265" i="2" s="1"/>
  <c r="BC222" i="2"/>
  <c r="AV48" i="2"/>
  <c r="D70" i="5"/>
  <c r="AD163" i="5"/>
  <c r="J181" i="5"/>
  <c r="L67" i="5"/>
  <c r="L68" i="5" s="1"/>
  <c r="AV507" i="2"/>
  <c r="BI179" i="5"/>
  <c r="AH120" i="2"/>
  <c r="AH144" i="2" s="1"/>
  <c r="AW179" i="2"/>
  <c r="AT204" i="2"/>
  <c r="AY515" i="2"/>
  <c r="BF150" i="2"/>
  <c r="V181" i="5"/>
  <c r="AX410" i="2"/>
  <c r="BD523" i="2"/>
  <c r="AV197" i="2"/>
  <c r="N478" i="7"/>
  <c r="BK53" i="2"/>
  <c r="ET36" i="2"/>
  <c r="ES9" i="2" s="1"/>
  <c r="EV9" i="2" s="1"/>
  <c r="BC197" i="2"/>
  <c r="CZ45" i="2"/>
  <c r="EG56" i="2"/>
  <c r="ER60" i="2"/>
  <c r="BC503" i="2"/>
  <c r="BE519" i="2"/>
  <c r="Z120" i="2"/>
  <c r="N23" i="5" s="1"/>
  <c r="N25" i="5" s="1"/>
  <c r="AP344" i="2"/>
  <c r="AP345" i="2" s="1"/>
  <c r="BC364" i="2"/>
  <c r="AE229" i="2"/>
  <c r="AV227" i="2"/>
  <c r="AV229" i="2" s="1"/>
  <c r="AZ48" i="2"/>
  <c r="B181" i="5"/>
  <c r="O438" i="7"/>
  <c r="F478" i="7"/>
  <c r="B228" i="5"/>
  <c r="B234" i="5" s="1"/>
  <c r="B246" i="5" s="1"/>
  <c r="Y170" i="2"/>
  <c r="Y172" i="2" s="1"/>
  <c r="AZ265" i="2"/>
  <c r="AX419" i="2"/>
  <c r="AW419" i="2"/>
  <c r="AX513" i="2"/>
  <c r="BC524" i="2"/>
  <c r="AZ521" i="2"/>
  <c r="AX511" i="2"/>
  <c r="AB181" i="5"/>
  <c r="FU33" i="5"/>
  <c r="L366" i="7"/>
  <c r="G439" i="7"/>
  <c r="P114" i="4"/>
  <c r="BC362" i="2"/>
  <c r="AQ204" i="2"/>
  <c r="BC356" i="2"/>
  <c r="CZ39" i="2"/>
  <c r="D438" i="7"/>
  <c r="FW26" i="5"/>
  <c r="BE38" i="2"/>
  <c r="AX508" i="2"/>
  <c r="P420" i="7"/>
  <c r="BC147" i="2"/>
  <c r="F274" i="7"/>
  <c r="AW408" i="2"/>
  <c r="BC506" i="2"/>
  <c r="AZ502" i="2"/>
  <c r="AP34" i="2"/>
  <c r="AP35" i="2" s="1"/>
  <c r="AP36" i="2" s="1"/>
  <c r="BG156" i="2"/>
  <c r="BL134" i="2"/>
  <c r="AX521" i="2"/>
  <c r="AZ510" i="2"/>
  <c r="AS199" i="2"/>
  <c r="V262" i="7"/>
  <c r="AV405" i="2"/>
  <c r="BB514" i="2"/>
  <c r="AI229" i="2"/>
  <c r="BE156" i="2"/>
  <c r="AY504" i="2"/>
  <c r="BD515" i="2"/>
  <c r="BE183" i="2"/>
  <c r="H262" i="7"/>
  <c r="H264" i="7" s="1"/>
  <c r="AY517" i="2"/>
  <c r="AK204" i="2"/>
  <c r="BA227" i="2"/>
  <c r="BA229" i="2" s="1"/>
  <c r="AW410" i="2"/>
  <c r="AZ519" i="2"/>
  <c r="BA510" i="2"/>
  <c r="BD508" i="2"/>
  <c r="BG127" i="2"/>
  <c r="BG147" i="2"/>
  <c r="U181" i="5"/>
  <c r="ET35" i="2"/>
  <c r="BC156" i="2"/>
  <c r="BB508" i="2"/>
  <c r="AY519" i="2"/>
  <c r="AX522" i="2"/>
  <c r="BB197" i="2"/>
  <c r="AL183" i="2"/>
  <c r="U477" i="7"/>
  <c r="AL16" i="2"/>
  <c r="AH163" i="5"/>
  <c r="G420" i="7"/>
  <c r="S33" i="5"/>
  <c r="S35" i="5" s="1"/>
  <c r="R69" i="4"/>
  <c r="BB357" i="2"/>
  <c r="BD222" i="2"/>
  <c r="AW512" i="2"/>
  <c r="BB519" i="2"/>
  <c r="BA515" i="2"/>
  <c r="AZ516" i="2"/>
  <c r="AY520" i="2"/>
  <c r="BH156" i="2"/>
  <c r="AR31" i="5"/>
  <c r="AV31" i="5"/>
  <c r="S181" i="5"/>
  <c r="S69" i="4"/>
  <c r="AJ178" i="5"/>
  <c r="G274" i="7"/>
  <c r="L477" i="7"/>
  <c r="S477" i="7"/>
  <c r="P477" i="7"/>
  <c r="Q395" i="7"/>
  <c r="X23" i="5"/>
  <c r="X25" i="5" s="1"/>
  <c r="X26" i="5" s="1"/>
  <c r="AC261" i="2"/>
  <c r="AC265" i="2" s="1"/>
  <c r="BB364" i="2"/>
  <c r="AT126" i="2"/>
  <c r="AT150" i="2" s="1"/>
  <c r="BG224" i="2"/>
  <c r="ET46" i="2"/>
  <c r="R59" i="2"/>
  <c r="AO199" i="2"/>
  <c r="BB510" i="2"/>
  <c r="AY514" i="2"/>
  <c r="AY147" i="2"/>
  <c r="N479" i="7"/>
  <c r="H477" i="7"/>
  <c r="U395" i="7"/>
  <c r="O274" i="7"/>
  <c r="Y420" i="7"/>
  <c r="K126" i="4"/>
  <c r="K131" i="4" s="1"/>
  <c r="BB355" i="2"/>
  <c r="AZ143" i="2"/>
  <c r="BB505" i="2"/>
  <c r="AZ515" i="2"/>
  <c r="AZ511" i="2"/>
  <c r="AX509" i="2"/>
  <c r="AX506" i="2"/>
  <c r="AW517" i="2"/>
  <c r="BD512" i="2"/>
  <c r="BD510" i="2"/>
  <c r="BA559" i="2"/>
  <c r="AX559" i="2"/>
  <c r="AX560" i="2" s="1"/>
  <c r="BD38" i="2"/>
  <c r="BB362" i="2"/>
  <c r="E263" i="2"/>
  <c r="BA204" i="2"/>
  <c r="AS222" i="2"/>
  <c r="AJ229" i="2"/>
  <c r="AH179" i="2"/>
  <c r="BC518" i="2"/>
  <c r="BB521" i="2"/>
  <c r="BB513" i="2"/>
  <c r="AV522" i="2"/>
  <c r="AX520" i="2"/>
  <c r="AV511" i="2"/>
  <c r="BE502" i="2"/>
  <c r="BE512" i="2"/>
  <c r="AD183" i="2"/>
  <c r="AW163" i="5"/>
  <c r="AN229" i="2"/>
  <c r="AZ503" i="2"/>
  <c r="BC181" i="5"/>
  <c r="O366" i="7"/>
  <c r="BB368" i="2"/>
  <c r="DL10" i="2"/>
  <c r="AG120" i="2"/>
  <c r="AG144" i="2" s="1"/>
  <c r="BA171" i="2"/>
  <c r="AO24" i="5" s="1"/>
  <c r="AJ56" i="5" s="1"/>
  <c r="BA48" i="2"/>
  <c r="I263" i="2"/>
  <c r="BE204" i="2"/>
  <c r="BE71" i="2"/>
  <c r="BB360" i="2"/>
  <c r="DU61" i="2"/>
  <c r="EI56" i="2"/>
  <c r="EF61" i="2"/>
  <c r="AQ35" i="2"/>
  <c r="AQ36" i="2" s="1"/>
  <c r="AX415" i="2"/>
  <c r="AW411" i="2"/>
  <c r="AV411" i="2"/>
  <c r="AV407" i="2"/>
  <c r="BB522" i="2"/>
  <c r="AV508" i="2"/>
  <c r="BE524" i="2"/>
  <c r="AW204" i="2"/>
  <c r="DI26" i="5"/>
  <c r="N420" i="7"/>
  <c r="L263" i="2"/>
  <c r="BB172" i="2"/>
  <c r="BB183" i="2" s="1"/>
  <c r="AY70" i="2"/>
  <c r="BC187" i="2"/>
  <c r="BA126" i="2"/>
  <c r="AE74" i="2"/>
  <c r="AX510" i="2"/>
  <c r="AW506" i="2"/>
  <c r="BB517" i="2"/>
  <c r="AZ522" i="2"/>
  <c r="AY508" i="2"/>
  <c r="AV510" i="2"/>
  <c r="BD506" i="2"/>
  <c r="BD511" i="2"/>
  <c r="BE507" i="2"/>
  <c r="BL183" i="2"/>
  <c r="AQ16" i="2"/>
  <c r="AV16" i="2"/>
  <c r="AQ147" i="2"/>
  <c r="AY199" i="2"/>
  <c r="BJ26" i="5"/>
  <c r="L181" i="5"/>
  <c r="AL181" i="5"/>
  <c r="AT48" i="2"/>
  <c r="AT59" i="2" s="1"/>
  <c r="AC33" i="5"/>
  <c r="AC300" i="5" s="1"/>
  <c r="AC301" i="5" s="1"/>
  <c r="AC302" i="5" s="1"/>
  <c r="AH23" i="5"/>
  <c r="AH25" i="5" s="1"/>
  <c r="AN181" i="5"/>
  <c r="AF163" i="5"/>
  <c r="DX26" i="5"/>
  <c r="F230" i="5"/>
  <c r="EJ300" i="5"/>
  <c r="EJ301" i="5" s="1"/>
  <c r="EJ302" i="5" s="1"/>
  <c r="AT26" i="5"/>
  <c r="AT295" i="5"/>
  <c r="AT296" i="5" s="1"/>
  <c r="AT297" i="5" s="1"/>
  <c r="CM26" i="5"/>
  <c r="CM295" i="5"/>
  <c r="CM296" i="5" s="1"/>
  <c r="CM297" i="5" s="1"/>
  <c r="DJ26" i="5"/>
  <c r="DJ295" i="5"/>
  <c r="DJ296" i="5" s="1"/>
  <c r="DJ297" i="5" s="1"/>
  <c r="BW26" i="5"/>
  <c r="BW295" i="5"/>
  <c r="BW296" i="5" s="1"/>
  <c r="BW297" i="5" s="1"/>
  <c r="BU26" i="5"/>
  <c r="BU295" i="5"/>
  <c r="BU296" i="5" s="1"/>
  <c r="BU297" i="5" s="1"/>
  <c r="B226" i="5"/>
  <c r="BT70" i="4" s="1"/>
  <c r="ED26" i="5"/>
  <c r="ED295" i="5"/>
  <c r="ED296" i="5" s="1"/>
  <c r="ED297" i="5" s="1"/>
  <c r="ES26" i="5"/>
  <c r="ES295" i="5"/>
  <c r="ES296" i="5" s="1"/>
  <c r="ES297" i="5" s="1"/>
  <c r="CL26" i="5"/>
  <c r="CL295" i="5"/>
  <c r="CL296" i="5" s="1"/>
  <c r="CL297" i="5" s="1"/>
  <c r="BV26" i="5"/>
  <c r="BV295" i="5"/>
  <c r="BV296" i="5" s="1"/>
  <c r="BV297" i="5" s="1"/>
  <c r="BT26" i="5"/>
  <c r="BT295" i="5"/>
  <c r="BT296" i="5" s="1"/>
  <c r="BT297" i="5" s="1"/>
  <c r="ER26" i="5"/>
  <c r="ER295" i="5"/>
  <c r="ER296" i="5" s="1"/>
  <c r="ER297" i="5" s="1"/>
  <c r="FE26" i="5"/>
  <c r="CK26" i="5"/>
  <c r="CK295" i="5"/>
  <c r="CK296" i="5" s="1"/>
  <c r="CK297" i="5" s="1"/>
  <c r="BA26" i="5"/>
  <c r="BA295" i="5"/>
  <c r="BA296" i="5" s="1"/>
  <c r="BA297" i="5" s="1"/>
  <c r="BS26" i="5"/>
  <c r="BS295" i="5"/>
  <c r="BS296" i="5" s="1"/>
  <c r="BS297" i="5" s="1"/>
  <c r="EO26" i="5"/>
  <c r="EO295" i="5"/>
  <c r="EO296" i="5" s="1"/>
  <c r="EO297" i="5" s="1"/>
  <c r="EQ26" i="5"/>
  <c r="EQ295" i="5"/>
  <c r="EQ296" i="5" s="1"/>
  <c r="EQ297" i="5" s="1"/>
  <c r="AS26" i="5"/>
  <c r="AS295" i="5"/>
  <c r="AS296" i="5" s="1"/>
  <c r="AS297" i="5" s="1"/>
  <c r="CJ26" i="5"/>
  <c r="CJ295" i="5"/>
  <c r="CJ296" i="5" s="1"/>
  <c r="CJ297" i="5" s="1"/>
  <c r="AZ26" i="5"/>
  <c r="AZ295" i="5"/>
  <c r="AZ296" i="5" s="1"/>
  <c r="AZ297" i="5" s="1"/>
  <c r="BR26" i="5"/>
  <c r="BR295" i="5"/>
  <c r="BR296" i="5" s="1"/>
  <c r="BR297" i="5" s="1"/>
  <c r="EP26" i="5"/>
  <c r="EP295" i="5"/>
  <c r="EP296" i="5" s="1"/>
  <c r="EP297" i="5" s="1"/>
  <c r="AR26" i="5"/>
  <c r="AR295" i="5"/>
  <c r="AR296" i="5" s="1"/>
  <c r="AR297" i="5" s="1"/>
  <c r="CH26" i="5"/>
  <c r="CH295" i="5"/>
  <c r="CH296" i="5" s="1"/>
  <c r="CH297" i="5" s="1"/>
  <c r="AY26" i="5"/>
  <c r="AY295" i="5"/>
  <c r="AY296" i="5" s="1"/>
  <c r="AY297" i="5" s="1"/>
  <c r="BQ26" i="5"/>
  <c r="BQ295" i="5"/>
  <c r="BQ296" i="5" s="1"/>
  <c r="BQ297" i="5" s="1"/>
  <c r="FF26" i="5"/>
  <c r="FF295" i="5"/>
  <c r="FF296" i="5" s="1"/>
  <c r="FF297" i="5" s="1"/>
  <c r="FO26" i="5"/>
  <c r="FO295" i="5"/>
  <c r="FO296" i="5" s="1"/>
  <c r="FO297" i="5" s="1"/>
  <c r="CR26" i="5"/>
  <c r="CR295" i="5"/>
  <c r="CR296" i="5" s="1"/>
  <c r="CR297" i="5" s="1"/>
  <c r="BP26" i="5"/>
  <c r="BP295" i="5"/>
  <c r="BP296" i="5" s="1"/>
  <c r="BP297" i="5" s="1"/>
  <c r="FM35" i="5"/>
  <c r="FP26" i="5"/>
  <c r="FP295" i="5"/>
  <c r="FP296" i="5" s="1"/>
  <c r="FP297" i="5" s="1"/>
  <c r="DZ35" i="5"/>
  <c r="DZ300" i="5"/>
  <c r="DZ301" i="5" s="1"/>
  <c r="DZ302" i="5" s="1"/>
  <c r="CQ26" i="5"/>
  <c r="CQ295" i="5"/>
  <c r="CQ296" i="5" s="1"/>
  <c r="CQ297" i="5" s="1"/>
  <c r="BO26" i="5"/>
  <c r="BO295" i="5"/>
  <c r="BO296" i="5" s="1"/>
  <c r="BO297" i="5" s="1"/>
  <c r="FQ26" i="5"/>
  <c r="FQ295" i="5"/>
  <c r="FQ296" i="5" s="1"/>
  <c r="FQ297" i="5" s="1"/>
  <c r="AE33" i="5"/>
  <c r="CS26" i="5"/>
  <c r="CS295" i="5"/>
  <c r="CS296" i="5" s="1"/>
  <c r="CS297" i="5" s="1"/>
  <c r="BN26" i="5"/>
  <c r="BN295" i="5"/>
  <c r="BN296" i="5" s="1"/>
  <c r="BN297" i="5" s="1"/>
  <c r="C226" i="5"/>
  <c r="BU70" i="4" s="1"/>
  <c r="EC26" i="5"/>
  <c r="EC295" i="5"/>
  <c r="EC296" i="5" s="1"/>
  <c r="EC297" i="5" s="1"/>
  <c r="FR26" i="5"/>
  <c r="FR295" i="5"/>
  <c r="FR296" i="5" s="1"/>
  <c r="FR297" i="5" s="1"/>
  <c r="AK26" i="5"/>
  <c r="AK295" i="5"/>
  <c r="AK296" i="5" s="1"/>
  <c r="AK297" i="5" s="1"/>
  <c r="DE26" i="5"/>
  <c r="DE295" i="5"/>
  <c r="DE296" i="5" s="1"/>
  <c r="DE297" i="5" s="1"/>
  <c r="BM26" i="5"/>
  <c r="BM295" i="5"/>
  <c r="EB26" i="5"/>
  <c r="EB295" i="5"/>
  <c r="EB296" i="5" s="1"/>
  <c r="EB297" i="5" s="1"/>
  <c r="FS26" i="5"/>
  <c r="FS295" i="5"/>
  <c r="FS296" i="5" s="1"/>
  <c r="FS297" i="5" s="1"/>
  <c r="DD26" i="5"/>
  <c r="DD295" i="5"/>
  <c r="DD296" i="5" s="1"/>
  <c r="DD297" i="5" s="1"/>
  <c r="BL26" i="5"/>
  <c r="BL295" i="5"/>
  <c r="BL296" i="5" s="1"/>
  <c r="BL297" i="5" s="1"/>
  <c r="EA26" i="5"/>
  <c r="EA295" i="5"/>
  <c r="EA296" i="5" s="1"/>
  <c r="EA297" i="5" s="1"/>
  <c r="FT26" i="5"/>
  <c r="FT295" i="5"/>
  <c r="FT296" i="5" s="1"/>
  <c r="FT297" i="5" s="1"/>
  <c r="DC26" i="5"/>
  <c r="DC295" i="5"/>
  <c r="DC296" i="5" s="1"/>
  <c r="DC297" i="5" s="1"/>
  <c r="BK26" i="5"/>
  <c r="BK295" i="5"/>
  <c r="BK296" i="5" s="1"/>
  <c r="BK297" i="5" s="1"/>
  <c r="DZ26" i="5"/>
  <c r="DZ295" i="5"/>
  <c r="DZ296" i="5" s="1"/>
  <c r="DZ297" i="5" s="1"/>
  <c r="FU26" i="5"/>
  <c r="FU295" i="5"/>
  <c r="FU296" i="5" s="1"/>
  <c r="FU297" i="5" s="1"/>
  <c r="DB26" i="5"/>
  <c r="DB295" i="5"/>
  <c r="DB296" i="5" s="1"/>
  <c r="DB297" i="5" s="1"/>
  <c r="CP26" i="5"/>
  <c r="CP295" i="5"/>
  <c r="CP296" i="5" s="1"/>
  <c r="CP297" i="5" s="1"/>
  <c r="EL35" i="5"/>
  <c r="EL300" i="5"/>
  <c r="EL301" i="5" s="1"/>
  <c r="EL302" i="5" s="1"/>
  <c r="FV26" i="5"/>
  <c r="FV295" i="5"/>
  <c r="FV296" i="5" s="1"/>
  <c r="FV297" i="5" s="1"/>
  <c r="DA26" i="5"/>
  <c r="DA295" i="5"/>
  <c r="DA296" i="5" s="1"/>
  <c r="DA297" i="5" s="1"/>
  <c r="AX26" i="5"/>
  <c r="CO26" i="5"/>
  <c r="CO295" i="5"/>
  <c r="CO296" i="5" s="1"/>
  <c r="CO297" i="5" s="1"/>
  <c r="DV26" i="5"/>
  <c r="DV295" i="5"/>
  <c r="DV296" i="5" s="1"/>
  <c r="DV297" i="5" s="1"/>
  <c r="CZ26" i="5"/>
  <c r="CZ295" i="5"/>
  <c r="CZ296" i="5" s="1"/>
  <c r="CZ297" i="5" s="1"/>
  <c r="CN26" i="5"/>
  <c r="CN295" i="5"/>
  <c r="CN296" i="5" s="1"/>
  <c r="CN297" i="5" s="1"/>
  <c r="DU26" i="5"/>
  <c r="DU295" i="5"/>
  <c r="DU296" i="5" s="1"/>
  <c r="DU297" i="5" s="1"/>
  <c r="H73" i="5"/>
  <c r="H75" i="5" s="1"/>
  <c r="H77" i="5" s="1"/>
  <c r="CY26" i="5"/>
  <c r="CY295" i="5"/>
  <c r="CY296" i="5" s="1"/>
  <c r="CY297" i="5" s="1"/>
  <c r="DT26" i="5"/>
  <c r="DT295" i="5"/>
  <c r="DT296" i="5" s="1"/>
  <c r="DT297" i="5" s="1"/>
  <c r="FM26" i="5"/>
  <c r="FM295" i="5"/>
  <c r="FM296" i="5" s="1"/>
  <c r="FM297" i="5" s="1"/>
  <c r="CI26" i="5"/>
  <c r="CI295" i="5"/>
  <c r="CI296" i="5" s="1"/>
  <c r="CI297" i="5" s="1"/>
  <c r="CX26" i="5"/>
  <c r="CX295" i="5"/>
  <c r="CX296" i="5" s="1"/>
  <c r="CX297" i="5" s="1"/>
  <c r="M181" i="5"/>
  <c r="DS26" i="5"/>
  <c r="DS295" i="5"/>
  <c r="DS296" i="5" s="1"/>
  <c r="DS297" i="5" s="1"/>
  <c r="FL26" i="5"/>
  <c r="FL295" i="5"/>
  <c r="FL296" i="5" s="1"/>
  <c r="FL297" i="5" s="1"/>
  <c r="CW26" i="5"/>
  <c r="CW295" i="5"/>
  <c r="CW296" i="5" s="1"/>
  <c r="CW297" i="5" s="1"/>
  <c r="BI26" i="5"/>
  <c r="BI295" i="5"/>
  <c r="BI296" i="5" s="1"/>
  <c r="BI297" i="5" s="1"/>
  <c r="DP26" i="5"/>
  <c r="DP295" i="5"/>
  <c r="DP296" i="5" s="1"/>
  <c r="DP297" i="5" s="1"/>
  <c r="DR26" i="5"/>
  <c r="DR295" i="5"/>
  <c r="DR296" i="5" s="1"/>
  <c r="DR297" i="5" s="1"/>
  <c r="FK26" i="5"/>
  <c r="FK295" i="5"/>
  <c r="FK296" i="5" s="1"/>
  <c r="FK297" i="5" s="1"/>
  <c r="CV26" i="5"/>
  <c r="CV295" i="5"/>
  <c r="CV296" i="5" s="1"/>
  <c r="CV297" i="5" s="1"/>
  <c r="BH26" i="5"/>
  <c r="BH295" i="5"/>
  <c r="BH296" i="5" s="1"/>
  <c r="BH297" i="5" s="1"/>
  <c r="FJ26" i="5"/>
  <c r="FJ295" i="5"/>
  <c r="FJ296" i="5" s="1"/>
  <c r="FJ297" i="5" s="1"/>
  <c r="CU26" i="5"/>
  <c r="CU295" i="5"/>
  <c r="CU296" i="5" s="1"/>
  <c r="CU297" i="5" s="1"/>
  <c r="BG26" i="5"/>
  <c r="BG295" i="5"/>
  <c r="BG296" i="5" s="1"/>
  <c r="BG297" i="5" s="1"/>
  <c r="FI26" i="5"/>
  <c r="FI295" i="5"/>
  <c r="FI296" i="5" s="1"/>
  <c r="FI297" i="5" s="1"/>
  <c r="CT26" i="5"/>
  <c r="CT295" i="5"/>
  <c r="CT296" i="5" s="1"/>
  <c r="CT297" i="5" s="1"/>
  <c r="BF26" i="5"/>
  <c r="BF295" i="5"/>
  <c r="BF296" i="5" s="1"/>
  <c r="BF297" i="5" s="1"/>
  <c r="EL26" i="5"/>
  <c r="EL295" i="5"/>
  <c r="EL296" i="5" s="1"/>
  <c r="EL297" i="5" s="1"/>
  <c r="FH26" i="5"/>
  <c r="FH295" i="5"/>
  <c r="FH296" i="5" s="1"/>
  <c r="FH297" i="5" s="1"/>
  <c r="BM35" i="5"/>
  <c r="BE26" i="5"/>
  <c r="BE295" i="5"/>
  <c r="BE296" i="5" s="1"/>
  <c r="BE297" i="5" s="1"/>
  <c r="FG26" i="5"/>
  <c r="FG295" i="5"/>
  <c r="FG296" i="5" s="1"/>
  <c r="FG297" i="5" s="1"/>
  <c r="AU26" i="5"/>
  <c r="AU295" i="5"/>
  <c r="AU296" i="5" s="1"/>
  <c r="AU297" i="5" s="1"/>
  <c r="BD26" i="5"/>
  <c r="BD295" i="5"/>
  <c r="BD296" i="5" s="1"/>
  <c r="BD297" i="5" s="1"/>
  <c r="AY181" i="5"/>
  <c r="FD26" i="5"/>
  <c r="FD295" i="5"/>
  <c r="FD296" i="5" s="1"/>
  <c r="FD297" i="5" s="1"/>
  <c r="FQ33" i="5"/>
  <c r="R33" i="5"/>
  <c r="R300" i="5" s="1"/>
  <c r="R301" i="5" s="1"/>
  <c r="R302" i="5" s="1"/>
  <c r="DN35" i="5"/>
  <c r="DN300" i="5"/>
  <c r="DN301" i="5" s="1"/>
  <c r="DN302" i="5" s="1"/>
  <c r="BC26" i="5"/>
  <c r="BC295" i="5"/>
  <c r="BC296" i="5" s="1"/>
  <c r="BC297" i="5" s="1"/>
  <c r="EN26" i="5"/>
  <c r="FC26" i="5"/>
  <c r="FC295" i="5"/>
  <c r="FC296" i="5" s="1"/>
  <c r="FC297" i="5" s="1"/>
  <c r="BB26" i="5"/>
  <c r="BB295" i="5"/>
  <c r="BB296" i="5" s="1"/>
  <c r="BB297" i="5" s="1"/>
  <c r="M163" i="5"/>
  <c r="FB26" i="5"/>
  <c r="FB295" i="5"/>
  <c r="FB296" i="5" s="1"/>
  <c r="FB297" i="5" s="1"/>
  <c r="CG26" i="5"/>
  <c r="CG295" i="5"/>
  <c r="CG296" i="5" s="1"/>
  <c r="CG297" i="5" s="1"/>
  <c r="X181" i="5"/>
  <c r="EM26" i="5"/>
  <c r="EM295" i="5"/>
  <c r="EM296" i="5" s="1"/>
  <c r="EM297" i="5" s="1"/>
  <c r="FA26" i="5"/>
  <c r="FA295" i="5"/>
  <c r="FA296" i="5" s="1"/>
  <c r="FA297" i="5" s="1"/>
  <c r="CF26" i="5"/>
  <c r="CF295" i="5"/>
  <c r="CF296" i="5" s="1"/>
  <c r="CF297" i="5" s="1"/>
  <c r="DY26" i="5"/>
  <c r="DY295" i="5"/>
  <c r="DY296" i="5" s="1"/>
  <c r="DY297" i="5" s="1"/>
  <c r="EK26" i="5"/>
  <c r="EK295" i="5"/>
  <c r="EK296" i="5" s="1"/>
  <c r="EK297" i="5" s="1"/>
  <c r="EZ26" i="5"/>
  <c r="EZ295" i="5"/>
  <c r="EZ296" i="5" s="1"/>
  <c r="EZ297" i="5" s="1"/>
  <c r="CE26" i="5"/>
  <c r="CE295" i="5"/>
  <c r="CE296" i="5" s="1"/>
  <c r="CE297" i="5" s="1"/>
  <c r="DH26" i="5"/>
  <c r="DH295" i="5"/>
  <c r="DH296" i="5" s="1"/>
  <c r="DH297" i="5" s="1"/>
  <c r="DW26" i="5"/>
  <c r="DW295" i="5"/>
  <c r="DW296" i="5" s="1"/>
  <c r="DW297" i="5" s="1"/>
  <c r="EJ26" i="5"/>
  <c r="EJ295" i="5"/>
  <c r="EJ296" i="5" s="1"/>
  <c r="EJ297" i="5" s="1"/>
  <c r="EY26" i="5"/>
  <c r="EY295" i="5"/>
  <c r="EY296" i="5" s="1"/>
  <c r="EY297" i="5" s="1"/>
  <c r="FW33" i="5"/>
  <c r="FW35" i="5" s="1"/>
  <c r="CI35" i="5"/>
  <c r="CD26" i="5"/>
  <c r="CD295" i="5"/>
  <c r="CD296" i="5" s="1"/>
  <c r="CD297" i="5" s="1"/>
  <c r="DF26" i="5"/>
  <c r="DF295" i="5"/>
  <c r="DF296" i="5" s="1"/>
  <c r="DF297" i="5" s="1"/>
  <c r="EI26" i="5"/>
  <c r="EI295" i="5"/>
  <c r="EI296" i="5" s="1"/>
  <c r="EI297" i="5" s="1"/>
  <c r="EX26" i="5"/>
  <c r="EX295" i="5"/>
  <c r="EX296" i="5" s="1"/>
  <c r="EX297" i="5" s="1"/>
  <c r="CH35" i="5"/>
  <c r="CH300" i="5"/>
  <c r="CH301" i="5" s="1"/>
  <c r="CH302" i="5" s="1"/>
  <c r="CC26" i="5"/>
  <c r="CC295" i="5"/>
  <c r="CC296" i="5" s="1"/>
  <c r="CC297" i="5" s="1"/>
  <c r="DG26" i="5"/>
  <c r="DG295" i="5"/>
  <c r="DG296" i="5" s="1"/>
  <c r="DG297" i="5" s="1"/>
  <c r="DO26" i="5"/>
  <c r="EH26" i="5"/>
  <c r="EH295" i="5"/>
  <c r="EH296" i="5" s="1"/>
  <c r="EH297" i="5" s="1"/>
  <c r="EW26" i="5"/>
  <c r="EW295" i="5"/>
  <c r="EW296" i="5" s="1"/>
  <c r="EW297" i="5" s="1"/>
  <c r="DQ26" i="5"/>
  <c r="DQ295" i="5"/>
  <c r="DQ296" i="5" s="1"/>
  <c r="DQ297" i="5" s="1"/>
  <c r="CB26" i="5"/>
  <c r="CB295" i="5"/>
  <c r="CB296" i="5" s="1"/>
  <c r="CB297" i="5" s="1"/>
  <c r="EG26" i="5"/>
  <c r="EG295" i="5"/>
  <c r="EG296" i="5" s="1"/>
  <c r="EG297" i="5" s="1"/>
  <c r="DN26" i="5"/>
  <c r="DN295" i="5"/>
  <c r="DN296" i="5" s="1"/>
  <c r="DN297" i="5" s="1"/>
  <c r="BY26" i="5"/>
  <c r="BY295" i="5"/>
  <c r="BY296" i="5" s="1"/>
  <c r="BY297" i="5" s="1"/>
  <c r="CA26" i="5"/>
  <c r="CA295" i="5"/>
  <c r="CA296" i="5" s="1"/>
  <c r="CA297" i="5" s="1"/>
  <c r="EF26" i="5"/>
  <c r="EF295" i="5"/>
  <c r="EF296" i="5" s="1"/>
  <c r="EF297" i="5" s="1"/>
  <c r="EU26" i="5"/>
  <c r="EU295" i="5"/>
  <c r="EU296" i="5" s="1"/>
  <c r="EU297" i="5" s="1"/>
  <c r="DM26" i="5"/>
  <c r="DM295" i="5"/>
  <c r="DM296" i="5" s="1"/>
  <c r="DM297" i="5" s="1"/>
  <c r="BX26" i="5"/>
  <c r="BX295" i="5"/>
  <c r="BX296" i="5" s="1"/>
  <c r="BX297" i="5" s="1"/>
  <c r="BZ26" i="5"/>
  <c r="BZ295" i="5"/>
  <c r="BZ296" i="5" s="1"/>
  <c r="BZ297" i="5" s="1"/>
  <c r="AN163" i="5"/>
  <c r="EE26" i="5"/>
  <c r="EE295" i="5"/>
  <c r="EE296" i="5" s="1"/>
  <c r="EE297" i="5" s="1"/>
  <c r="ET26" i="5"/>
  <c r="ET295" i="5"/>
  <c r="ET296" i="5" s="1"/>
  <c r="ET297" i="5" s="1"/>
  <c r="F366" i="7"/>
  <c r="L274" i="7"/>
  <c r="R366" i="7"/>
  <c r="T477" i="7"/>
  <c r="V420" i="7"/>
  <c r="M478" i="7"/>
  <c r="J262" i="7"/>
  <c r="J264" i="7" s="1"/>
  <c r="AV204" i="2"/>
  <c r="AX414" i="2"/>
  <c r="AW405" i="2"/>
  <c r="AV414" i="2"/>
  <c r="AV410" i="2"/>
  <c r="P366" i="7"/>
  <c r="R479" i="7"/>
  <c r="U439" i="7"/>
  <c r="AI197" i="2"/>
  <c r="N59" i="2"/>
  <c r="N15" i="2"/>
  <c r="N16" i="2" s="1"/>
  <c r="BA156" i="2"/>
  <c r="AP179" i="2"/>
  <c r="AP204" i="2"/>
  <c r="BI23" i="2"/>
  <c r="AT344" i="2"/>
  <c r="AT345" i="2" s="1"/>
  <c r="AT265" i="2"/>
  <c r="AR127" i="2"/>
  <c r="E205" i="7"/>
  <c r="E109" i="7" s="1"/>
  <c r="Z204" i="2"/>
  <c r="AR227" i="2"/>
  <c r="AR229" i="2" s="1"/>
  <c r="S59" i="2"/>
  <c r="W59" i="2"/>
  <c r="BB502" i="2"/>
  <c r="BA519" i="2"/>
  <c r="AZ517" i="2"/>
  <c r="BE592" i="2"/>
  <c r="AX120" i="2"/>
  <c r="AX261" i="2"/>
  <c r="AX344" i="2" s="1"/>
  <c r="AU156" i="2"/>
  <c r="E366" i="7"/>
  <c r="CH40" i="2"/>
  <c r="CH41" i="2"/>
  <c r="CH42" i="2"/>
  <c r="CH38" i="2"/>
  <c r="AZ204" i="2"/>
  <c r="T438" i="7"/>
  <c r="T440" i="7" s="1"/>
  <c r="Y478" i="7"/>
  <c r="J479" i="7"/>
  <c r="AE187" i="2"/>
  <c r="AZ317" i="2"/>
  <c r="CH39" i="2"/>
  <c r="EP59" i="2"/>
  <c r="AW134" i="2"/>
  <c r="AF23" i="2"/>
  <c r="BA493" i="2"/>
  <c r="AW508" i="2"/>
  <c r="BA514" i="2"/>
  <c r="AZ506" i="2"/>
  <c r="AX512" i="2"/>
  <c r="BE514" i="2"/>
  <c r="BB559" i="2"/>
  <c r="BB560" i="2" s="1"/>
  <c r="BG183" i="2"/>
  <c r="BJ156" i="2"/>
  <c r="AY134" i="2"/>
  <c r="BL68" i="2"/>
  <c r="BL71" i="2"/>
  <c r="C429" i="7"/>
  <c r="B274" i="7"/>
  <c r="R438" i="7"/>
  <c r="V477" i="7"/>
  <c r="AV156" i="2"/>
  <c r="BC513" i="2"/>
  <c r="BE508" i="2"/>
  <c r="BD204" i="2"/>
  <c r="BD48" i="2"/>
  <c r="BD59" i="2" s="1"/>
  <c r="BD197" i="2"/>
  <c r="AM16" i="2"/>
  <c r="BK183" i="2"/>
  <c r="BC199" i="2"/>
  <c r="BF47" i="2"/>
  <c r="BF221" i="2" s="1"/>
  <c r="BF222" i="2" s="1"/>
  <c r="AT75" i="2"/>
  <c r="AR10" i="2"/>
  <c r="AR66" i="2"/>
  <c r="AR63" i="2"/>
  <c r="AM9" i="2"/>
  <c r="CH35" i="2"/>
  <c r="M274" i="7"/>
  <c r="S478" i="7"/>
  <c r="Q262" i="7"/>
  <c r="Q264" i="7" s="1"/>
  <c r="R262" i="7"/>
  <c r="R264" i="7" s="1"/>
  <c r="AW15" i="2"/>
  <c r="AF120" i="2"/>
  <c r="T23" i="5" s="1"/>
  <c r="T25" i="5" s="1"/>
  <c r="T42" i="5" s="1"/>
  <c r="AY38" i="2"/>
  <c r="AR147" i="2"/>
  <c r="AS179" i="2"/>
  <c r="AS183" i="2" s="1"/>
  <c r="CH34" i="2"/>
  <c r="AM198" i="2"/>
  <c r="DY61" i="2"/>
  <c r="BB370" i="2"/>
  <c r="BB420" i="2" s="1"/>
  <c r="BB369" i="2"/>
  <c r="BB365" i="2"/>
  <c r="BB361" i="2"/>
  <c r="BB359" i="2"/>
  <c r="BF16" i="2"/>
  <c r="BF151" i="2" s="1"/>
  <c r="AR48" i="2"/>
  <c r="K177" i="4"/>
  <c r="K172" i="4"/>
  <c r="B229" i="5"/>
  <c r="B235" i="5" s="1"/>
  <c r="B247" i="5" s="1"/>
  <c r="C230" i="5"/>
  <c r="C236" i="5" s="1"/>
  <c r="C248" i="5" s="1"/>
  <c r="Q163" i="5"/>
  <c r="C181" i="5"/>
  <c r="E230" i="5"/>
  <c r="Z199" i="2"/>
  <c r="AF183" i="2"/>
  <c r="AJ175" i="5"/>
  <c r="S23" i="2"/>
  <c r="Z229" i="2"/>
  <c r="AI16" i="2"/>
  <c r="BA222" i="2"/>
  <c r="BA233" i="2" s="1"/>
  <c r="BB227" i="2"/>
  <c r="BB229" i="2" s="1"/>
  <c r="AX411" i="2"/>
  <c r="AW415" i="2"/>
  <c r="AW407" i="2"/>
  <c r="BB507" i="2"/>
  <c r="BA522" i="2"/>
  <c r="AX514" i="2"/>
  <c r="AW510" i="2"/>
  <c r="AV517" i="2"/>
  <c r="BD517" i="2"/>
  <c r="BE504" i="2"/>
  <c r="BG150" i="2"/>
  <c r="BH151" i="2"/>
  <c r="BA197" i="2"/>
  <c r="AP31" i="5"/>
  <c r="AH31" i="5"/>
  <c r="AH56" i="5"/>
  <c r="AE163" i="5"/>
  <c r="V33" i="5"/>
  <c r="D66" i="5"/>
  <c r="Z181" i="5"/>
  <c r="AB56" i="5"/>
  <c r="N181" i="5"/>
  <c r="X477" i="7"/>
  <c r="E427" i="7"/>
  <c r="X438" i="7"/>
  <c r="Z439" i="7"/>
  <c r="L395" i="7"/>
  <c r="T439" i="7"/>
  <c r="Z438" i="7"/>
  <c r="Z262" i="7"/>
  <c r="Z264" i="7" s="1"/>
  <c r="I172" i="4"/>
  <c r="CI26" i="2"/>
  <c r="ET45" i="2"/>
  <c r="ES12" i="2" s="1"/>
  <c r="Z222" i="2"/>
  <c r="AF222" i="2"/>
  <c r="AM229" i="2"/>
  <c r="AD197" i="2"/>
  <c r="AK197" i="2"/>
  <c r="X59" i="2"/>
  <c r="AN204" i="2"/>
  <c r="BA55" i="2"/>
  <c r="BA59" i="2" s="1"/>
  <c r="AX413" i="2"/>
  <c r="AV409" i="2"/>
  <c r="BE74" i="2"/>
  <c r="BC504" i="2"/>
  <c r="BA520" i="2"/>
  <c r="AZ504" i="2"/>
  <c r="AW504" i="2"/>
  <c r="AV516" i="2"/>
  <c r="AZ514" i="2"/>
  <c r="AX515" i="2"/>
  <c r="AV509" i="2"/>
  <c r="AW503" i="2"/>
  <c r="BE521" i="2"/>
  <c r="BE559" i="2"/>
  <c r="BE560" i="2" s="1"/>
  <c r="BD592" i="2"/>
  <c r="BD593" i="2" s="1"/>
  <c r="AU16" i="2"/>
  <c r="AX183" i="2"/>
  <c r="AN31" i="5"/>
  <c r="AM31" i="5"/>
  <c r="R163" i="5"/>
  <c r="S163" i="5"/>
  <c r="U163" i="5"/>
  <c r="BE157" i="5"/>
  <c r="EG57" i="2"/>
  <c r="AL229" i="2"/>
  <c r="AK16" i="2"/>
  <c r="AM204" i="2"/>
  <c r="BB38" i="2"/>
  <c r="BO276" i="2"/>
  <c r="BC523" i="2"/>
  <c r="AY522" i="2"/>
  <c r="AV514" i="2"/>
  <c r="AV502" i="2"/>
  <c r="BD513" i="2"/>
  <c r="BE503" i="2"/>
  <c r="AW559" i="2"/>
  <c r="AB199" i="2"/>
  <c r="C163" i="5"/>
  <c r="AB163" i="5"/>
  <c r="AF181" i="5"/>
  <c r="AC181" i="5"/>
  <c r="BB163" i="5"/>
  <c r="O62" i="5"/>
  <c r="O63" i="5" s="1"/>
  <c r="ET55" i="2"/>
  <c r="AC229" i="2"/>
  <c r="AC233" i="2" s="1"/>
  <c r="AA59" i="2"/>
  <c r="U59" i="2"/>
  <c r="AW412" i="2"/>
  <c r="AV419" i="2"/>
  <c r="AV412" i="2"/>
  <c r="BB504" i="2"/>
  <c r="BA507" i="2"/>
  <c r="AW518" i="2"/>
  <c r="AV521" i="2"/>
  <c r="BL185" i="2"/>
  <c r="AZ153" i="2"/>
  <c r="AV150" i="2"/>
  <c r="D74" i="5"/>
  <c r="X33" i="5"/>
  <c r="X300" i="5" s="1"/>
  <c r="X301" i="5" s="1"/>
  <c r="X302" i="5" s="1"/>
  <c r="Q33" i="5"/>
  <c r="D163" i="5"/>
  <c r="G163" i="5"/>
  <c r="H163" i="5"/>
  <c r="C244" i="5"/>
  <c r="AP15" i="2"/>
  <c r="AP16" i="2" s="1"/>
  <c r="AP206" i="2"/>
  <c r="EV35" i="5"/>
  <c r="AB120" i="2"/>
  <c r="P23" i="5" s="1"/>
  <c r="P25" i="5" s="1"/>
  <c r="P42" i="5" s="1"/>
  <c r="AB74" i="2"/>
  <c r="AA120" i="2"/>
  <c r="AA187" i="2" s="1"/>
  <c r="AA74" i="2"/>
  <c r="AN9" i="2"/>
  <c r="AN263" i="2" s="1"/>
  <c r="AN347" i="2"/>
  <c r="AV59" i="2"/>
  <c r="AV210" i="2" s="1"/>
  <c r="AV199" i="2"/>
  <c r="AF197" i="2"/>
  <c r="BC456" i="2"/>
  <c r="E262" i="7"/>
  <c r="E264" i="7" s="1"/>
  <c r="AJ159" i="5"/>
  <c r="D228" i="5" s="1"/>
  <c r="D234" i="5" s="1"/>
  <c r="D246" i="5" s="1"/>
  <c r="BL23" i="2"/>
  <c r="BL158" i="2" s="1"/>
  <c r="AW55" i="2"/>
  <c r="AW59" i="2" s="1"/>
  <c r="AX204" i="2"/>
  <c r="AH48" i="2"/>
  <c r="BD493" i="2"/>
  <c r="BD494" i="2" s="1"/>
  <c r="K395" i="7"/>
  <c r="AX163" i="5"/>
  <c r="P439" i="7"/>
  <c r="G477" i="7"/>
  <c r="Z197" i="2"/>
  <c r="AF204" i="2"/>
  <c r="BB356" i="2"/>
  <c r="BG46" i="2"/>
  <c r="DK31" i="5"/>
  <c r="CI24" i="2"/>
  <c r="AM48" i="2"/>
  <c r="AM199" i="2" s="1"/>
  <c r="BC505" i="2"/>
  <c r="AW31" i="5"/>
  <c r="AE181" i="5"/>
  <c r="AX517" i="2"/>
  <c r="BC559" i="2"/>
  <c r="H274" i="7"/>
  <c r="O261" i="2"/>
  <c r="BL53" i="2"/>
  <c r="DL41" i="2"/>
  <c r="DL37" i="2" s="1"/>
  <c r="CI23" i="2"/>
  <c r="AI222" i="2"/>
  <c r="AB229" i="2"/>
  <c r="AB233" i="2" s="1"/>
  <c r="BC127" i="2"/>
  <c r="BD559" i="2"/>
  <c r="BD560" i="2" s="1"/>
  <c r="BL151" i="2"/>
  <c r="BC59" i="2"/>
  <c r="C124" i="9"/>
  <c r="D226" i="5"/>
  <c r="BV70" i="4" s="1"/>
  <c r="BC206" i="2"/>
  <c r="BQ302" i="2"/>
  <c r="AW513" i="2"/>
  <c r="C420" i="7"/>
  <c r="F427" i="7"/>
  <c r="E420" i="7"/>
  <c r="T479" i="7"/>
  <c r="AG197" i="2"/>
  <c r="AT39" i="2"/>
  <c r="AX126" i="2"/>
  <c r="K59" i="2"/>
  <c r="AV515" i="2"/>
  <c r="BB520" i="2"/>
  <c r="BD502" i="2"/>
  <c r="BE515" i="2"/>
  <c r="AQ229" i="2"/>
  <c r="BB156" i="2"/>
  <c r="AX504" i="2"/>
  <c r="AY559" i="2"/>
  <c r="AY560" i="2" s="1"/>
  <c r="AV198" i="2"/>
  <c r="AS265" i="2"/>
  <c r="AA197" i="2"/>
  <c r="AZ179" i="2"/>
  <c r="BG227" i="2"/>
  <c r="BG229" i="2" s="1"/>
  <c r="AP229" i="2"/>
  <c r="AZ148" i="2"/>
  <c r="AY511" i="2"/>
  <c r="BB512" i="2"/>
  <c r="AV221" i="2"/>
  <c r="AV222" i="2" s="1"/>
  <c r="AV233" i="2" s="1"/>
  <c r="C205" i="7"/>
  <c r="C109" i="7" s="1"/>
  <c r="W478" i="7"/>
  <c r="B366" i="7"/>
  <c r="L438" i="7"/>
  <c r="P479" i="7"/>
  <c r="F248" i="5"/>
  <c r="AM179" i="2"/>
  <c r="AM206" i="2" s="1"/>
  <c r="BA172" i="2"/>
  <c r="BA183" i="2" s="1"/>
  <c r="AL204" i="2"/>
  <c r="AF263" i="2"/>
  <c r="AR75" i="2"/>
  <c r="BD504" i="2"/>
  <c r="BE513" i="2"/>
  <c r="T274" i="7"/>
  <c r="R439" i="7"/>
  <c r="S420" i="7"/>
  <c r="W420" i="7"/>
  <c r="U479" i="7"/>
  <c r="N477" i="7"/>
  <c r="BA38" i="2"/>
  <c r="AV456" i="2"/>
  <c r="AV457" i="2" s="1"/>
  <c r="AG261" i="2"/>
  <c r="AG265" i="2" s="1"/>
  <c r="AZ9" i="2"/>
  <c r="AK179" i="2"/>
  <c r="X171" i="2"/>
  <c r="L24" i="5" s="1"/>
  <c r="L23" i="5" s="1"/>
  <c r="L25" i="5" s="1"/>
  <c r="L42" i="5" s="1"/>
  <c r="AW406" i="2"/>
  <c r="AW521" i="2"/>
  <c r="BA560" i="2"/>
  <c r="AX317" i="2"/>
  <c r="BQ307" i="2"/>
  <c r="AV406" i="2"/>
  <c r="AW456" i="2"/>
  <c r="AV147" i="2"/>
  <c r="O477" i="7"/>
  <c r="AU147" i="2"/>
  <c r="S274" i="7"/>
  <c r="O420" i="7"/>
  <c r="AY144" i="2"/>
  <c r="AZ123" i="2"/>
  <c r="AZ127" i="2" s="1"/>
  <c r="AH197" i="2"/>
  <c r="ET34" i="2"/>
  <c r="ES6" i="2" s="1"/>
  <c r="EV6" i="2" s="1"/>
  <c r="AN179" i="2"/>
  <c r="AN183" i="2" s="1"/>
  <c r="AY222" i="2"/>
  <c r="AY507" i="2"/>
  <c r="BD522" i="2"/>
  <c r="AT16" i="2"/>
  <c r="AU31" i="5"/>
  <c r="V264" i="7"/>
  <c r="C479" i="7"/>
  <c r="AY372" i="2"/>
  <c r="AY422" i="2" s="1"/>
  <c r="BE522" i="2"/>
  <c r="BK45" i="2"/>
  <c r="AK31" i="5"/>
  <c r="AT31" i="5"/>
  <c r="K420" i="7"/>
  <c r="AE197" i="2"/>
  <c r="Z23" i="2"/>
  <c r="AY10" i="2"/>
  <c r="AY145" i="2" s="1"/>
  <c r="EE118" i="2"/>
  <c r="ER8" i="2" s="1"/>
  <c r="AX519" i="2"/>
  <c r="D72" i="5"/>
  <c r="AH221" i="2"/>
  <c r="AH222" i="2" s="1"/>
  <c r="BD127" i="2"/>
  <c r="V261" i="2"/>
  <c r="V265" i="2" s="1"/>
  <c r="AH229" i="2"/>
  <c r="AV371" i="2"/>
  <c r="AV372" i="2" s="1"/>
  <c r="H131" i="4"/>
  <c r="H142" i="4" s="1"/>
  <c r="AH68" i="2"/>
  <c r="BD15" i="2"/>
  <c r="BD16" i="2" s="1"/>
  <c r="BD23" i="2" s="1"/>
  <c r="BD61" i="2" s="1"/>
  <c r="ET58" i="2"/>
  <c r="AW227" i="2"/>
  <c r="AW229" i="2" s="1"/>
  <c r="AX396" i="2"/>
  <c r="AX397" i="2" s="1"/>
  <c r="BK156" i="2"/>
  <c r="BE147" i="2"/>
  <c r="V479" i="7"/>
  <c r="C274" i="7"/>
  <c r="AJ161" i="5"/>
  <c r="D230" i="5" s="1"/>
  <c r="D236" i="5" s="1"/>
  <c r="D248" i="5" s="1"/>
  <c r="DL12" i="2"/>
  <c r="AX197" i="2"/>
  <c r="BA150" i="2"/>
  <c r="AB59" i="2"/>
  <c r="BE145" i="2"/>
  <c r="BC512" i="2"/>
  <c r="BD147" i="2"/>
  <c r="AX55" i="2"/>
  <c r="AX59" i="2" s="1"/>
  <c r="AR204" i="2"/>
  <c r="P23" i="2"/>
  <c r="BA516" i="2"/>
  <c r="C228" i="5"/>
  <c r="C234" i="5" s="1"/>
  <c r="C246" i="5" s="1"/>
  <c r="S439" i="7"/>
  <c r="J477" i="7"/>
  <c r="AM23" i="5"/>
  <c r="AM25" i="5" s="1"/>
  <c r="AM42" i="5" s="1"/>
  <c r="DG29" i="2"/>
  <c r="DS61" i="2"/>
  <c r="AX408" i="2"/>
  <c r="BE222" i="2"/>
  <c r="AJ157" i="5"/>
  <c r="P274" i="7"/>
  <c r="N439" i="7"/>
  <c r="AE204" i="2"/>
  <c r="AW39" i="2"/>
  <c r="AY521" i="2"/>
  <c r="AV512" i="2"/>
  <c r="BD518" i="2"/>
  <c r="BE16" i="2"/>
  <c r="BE23" i="2" s="1"/>
  <c r="F247" i="5"/>
  <c r="BB493" i="2"/>
  <c r="BB494" i="2" s="1"/>
  <c r="AD74" i="2"/>
  <c r="EO56" i="2"/>
  <c r="EP56" i="2" s="1"/>
  <c r="BQ311" i="2"/>
  <c r="BI151" i="2"/>
  <c r="BF39" i="2"/>
  <c r="C229" i="5"/>
  <c r="C235" i="5" s="1"/>
  <c r="C247" i="5" s="1"/>
  <c r="H439" i="7"/>
  <c r="B438" i="7"/>
  <c r="W479" i="7"/>
  <c r="BB198" i="2"/>
  <c r="K261" i="2"/>
  <c r="B261" i="2"/>
  <c r="AX38" i="2"/>
  <c r="AW420" i="2"/>
  <c r="AV413" i="2"/>
  <c r="AX456" i="2"/>
  <c r="AX457" i="2" s="1"/>
  <c r="AZ559" i="2"/>
  <c r="Q80" i="2"/>
  <c r="ER57" i="2"/>
  <c r="AC74" i="2"/>
  <c r="AH63" i="2"/>
  <c r="T59" i="2"/>
  <c r="AX592" i="2"/>
  <c r="AW522" i="2"/>
  <c r="BD520" i="2"/>
  <c r="F262" i="7"/>
  <c r="F264" i="7" s="1"/>
  <c r="V274" i="7"/>
  <c r="D395" i="7"/>
  <c r="Q477" i="7"/>
  <c r="O80" i="2"/>
  <c r="BB363" i="2"/>
  <c r="AD206" i="2"/>
  <c r="C261" i="2"/>
  <c r="BD179" i="2"/>
  <c r="BD206" i="2" s="1"/>
  <c r="DZ61" i="2"/>
  <c r="BD156" i="2"/>
  <c r="BE520" i="2"/>
  <c r="BE493" i="2"/>
  <c r="BE494" i="2" s="1"/>
  <c r="BF183" i="2"/>
  <c r="AY156" i="2"/>
  <c r="BC16" i="2"/>
  <c r="BC23" i="2" s="1"/>
  <c r="BC61" i="2" s="1"/>
  <c r="Z33" i="5"/>
  <c r="AH181" i="5"/>
  <c r="I274" i="7"/>
  <c r="D274" i="7"/>
  <c r="B478" i="7"/>
  <c r="BB397" i="2"/>
  <c r="BB386" i="2" s="1"/>
  <c r="X263" i="2"/>
  <c r="EH56" i="2"/>
  <c r="AQ38" i="2"/>
  <c r="BC227" i="2"/>
  <c r="BC229" i="2" s="1"/>
  <c r="AZ132" i="2"/>
  <c r="BL145" i="2"/>
  <c r="AV206" i="2"/>
  <c r="BB516" i="2"/>
  <c r="BA16" i="2"/>
  <c r="W477" i="7"/>
  <c r="BB366" i="2"/>
  <c r="AH198" i="2"/>
  <c r="AH23" i="2"/>
  <c r="BA508" i="2"/>
  <c r="AY512" i="2"/>
  <c r="BB503" i="2"/>
  <c r="Z274" i="7"/>
  <c r="F231" i="5"/>
  <c r="S479" i="7"/>
  <c r="O395" i="7"/>
  <c r="M192" i="7"/>
  <c r="M262" i="7" s="1"/>
  <c r="M264" i="7" s="1"/>
  <c r="AM221" i="2"/>
  <c r="AM222" i="2" s="1"/>
  <c r="Q263" i="2"/>
  <c r="AE222" i="2"/>
  <c r="AE233" i="2" s="1"/>
  <c r="BA206" i="2"/>
  <c r="BB515" i="2"/>
  <c r="AY513" i="2"/>
  <c r="X163" i="5"/>
  <c r="CY35" i="5"/>
  <c r="BD199" i="2"/>
  <c r="AQ9" i="2"/>
  <c r="AQ70" i="2" s="1"/>
  <c r="AQ68" i="2" s="1"/>
  <c r="AQ347" i="2"/>
  <c r="AJ183" i="2"/>
  <c r="AV184" i="2" s="1"/>
  <c r="AJ206" i="2"/>
  <c r="Q23" i="5"/>
  <c r="Q25" i="5" s="1"/>
  <c r="Q42" i="5" s="1"/>
  <c r="AC187" i="2"/>
  <c r="AC144" i="2"/>
  <c r="AP23" i="5"/>
  <c r="AP25" i="5" s="1"/>
  <c r="AP42" i="5" s="1"/>
  <c r="AT183" i="2"/>
  <c r="AT210" i="2" s="1"/>
  <c r="EE35" i="5"/>
  <c r="U366" i="7"/>
  <c r="K181" i="5"/>
  <c r="X274" i="7"/>
  <c r="BC183" i="2"/>
  <c r="BC210" i="2" s="1"/>
  <c r="AQ265" i="2"/>
  <c r="C427" i="7"/>
  <c r="F439" i="7"/>
  <c r="Y479" i="7"/>
  <c r="BC363" i="2"/>
  <c r="AG222" i="2"/>
  <c r="AW515" i="2"/>
  <c r="BC520" i="2"/>
  <c r="AV518" i="2"/>
  <c r="DL36" i="2"/>
  <c r="BE55" i="2"/>
  <c r="BE206" i="2" s="1"/>
  <c r="BC39" i="2"/>
  <c r="BC361" i="2"/>
  <c r="Y187" i="2"/>
  <c r="AR198" i="2"/>
  <c r="AT187" i="2"/>
  <c r="AR38" i="2"/>
  <c r="AT227" i="2"/>
  <c r="AT229" i="2" s="1"/>
  <c r="AZ155" i="2"/>
  <c r="AS227" i="2"/>
  <c r="AS229" i="2" s="1"/>
  <c r="AZ21" i="2"/>
  <c r="AZ156" i="2" s="1"/>
  <c r="V366" i="7"/>
  <c r="X233" i="2"/>
  <c r="AQ127" i="2"/>
  <c r="EE117" i="2"/>
  <c r="ER5" i="2" s="1"/>
  <c r="BC367" i="2"/>
  <c r="AU38" i="2"/>
  <c r="AK222" i="2"/>
  <c r="AK233" i="2" s="1"/>
  <c r="BC514" i="2"/>
  <c r="BC511" i="2"/>
  <c r="BA518" i="2"/>
  <c r="AV519" i="2"/>
  <c r="BE511" i="2"/>
  <c r="K163" i="5"/>
  <c r="N163" i="5"/>
  <c r="O163" i="5"/>
  <c r="P181" i="5"/>
  <c r="R181" i="5"/>
  <c r="AG163" i="5"/>
  <c r="Q420" i="7"/>
  <c r="B420" i="7"/>
  <c r="M477" i="7"/>
  <c r="G438" i="7"/>
  <c r="G440" i="7" s="1"/>
  <c r="L262" i="7"/>
  <c r="L264" i="7" s="1"/>
  <c r="D428" i="7"/>
  <c r="B205" i="7"/>
  <c r="B109" i="7" s="1"/>
  <c r="P478" i="7"/>
  <c r="T395" i="7"/>
  <c r="E479" i="7"/>
  <c r="J172" i="4"/>
  <c r="BA198" i="2"/>
  <c r="BD35" i="2"/>
  <c r="BD36" i="2" s="1"/>
  <c r="BC370" i="2"/>
  <c r="BC355" i="2"/>
  <c r="DX61" i="2"/>
  <c r="AL222" i="2"/>
  <c r="AY396" i="2"/>
  <c r="BC519" i="2"/>
  <c r="BC517" i="2"/>
  <c r="EA61" i="2"/>
  <c r="L62" i="5"/>
  <c r="L63" i="5" s="1"/>
  <c r="BA199" i="2"/>
  <c r="BA127" i="2"/>
  <c r="AB23" i="2"/>
  <c r="AN222" i="2"/>
  <c r="BF526" i="2"/>
  <c r="K479" i="7"/>
  <c r="AO229" i="2"/>
  <c r="BC507" i="2"/>
  <c r="AV493" i="2"/>
  <c r="AV494" i="2" s="1"/>
  <c r="AY518" i="2"/>
  <c r="D439" i="7"/>
  <c r="T420" i="7"/>
  <c r="Q438" i="7"/>
  <c r="Y477" i="7"/>
  <c r="F477" i="7"/>
  <c r="AZ63" i="2"/>
  <c r="ET47" i="2"/>
  <c r="BA9" i="2"/>
  <c r="BA372" i="2" s="1"/>
  <c r="B428" i="7"/>
  <c r="D477" i="7"/>
  <c r="J478" i="7"/>
  <c r="G262" i="7"/>
  <c r="G264" i="7" s="1"/>
  <c r="AJ31" i="5"/>
  <c r="BC357" i="2"/>
  <c r="DG31" i="2"/>
  <c r="AQ222" i="2"/>
  <c r="AI59" i="2"/>
  <c r="AI60" i="2" s="1"/>
  <c r="BE506" i="2"/>
  <c r="AT38" i="2"/>
  <c r="BI156" i="2"/>
  <c r="AG181" i="5"/>
  <c r="T69" i="4"/>
  <c r="B479" i="7"/>
  <c r="K366" i="7"/>
  <c r="W366" i="7"/>
  <c r="I478" i="7"/>
  <c r="BI169" i="5"/>
  <c r="BD68" i="2"/>
  <c r="C477" i="7"/>
  <c r="H478" i="7"/>
  <c r="V233" i="2"/>
  <c r="BE126" i="2"/>
  <c r="BE150" i="2" s="1"/>
  <c r="AP38" i="2"/>
  <c r="EE127" i="2"/>
  <c r="ER16" i="2" s="1"/>
  <c r="BC365" i="2"/>
  <c r="AP59" i="2"/>
  <c r="AW413" i="2"/>
  <c r="BA513" i="2"/>
  <c r="AV504" i="2"/>
  <c r="V163" i="5"/>
  <c r="W163" i="5"/>
  <c r="AA181" i="5"/>
  <c r="AM181" i="5"/>
  <c r="O439" i="7"/>
  <c r="O440" i="7" s="1"/>
  <c r="K438" i="7"/>
  <c r="K262" i="7"/>
  <c r="K264" i="7" s="1"/>
  <c r="H395" i="7"/>
  <c r="BB187" i="2"/>
  <c r="BC204" i="2"/>
  <c r="AJ59" i="2"/>
  <c r="BA511" i="2"/>
  <c r="AU48" i="2"/>
  <c r="AU59" i="2" s="1"/>
  <c r="AU222" i="2"/>
  <c r="AV408" i="2"/>
  <c r="BD71" i="2"/>
  <c r="D127" i="9"/>
  <c r="S262" i="7"/>
  <c r="S264" i="7" s="1"/>
  <c r="J420" i="7"/>
  <c r="G479" i="7"/>
  <c r="Z479" i="7"/>
  <c r="K439" i="7"/>
  <c r="J438" i="7"/>
  <c r="BF74" i="2"/>
  <c r="BC344" i="2"/>
  <c r="BC317" i="2" s="1"/>
  <c r="BC318" i="2" s="1"/>
  <c r="BC320" i="2" s="1"/>
  <c r="BA506" i="2"/>
  <c r="AW507" i="2"/>
  <c r="BA503" i="2"/>
  <c r="AZ154" i="2"/>
  <c r="G66" i="9"/>
  <c r="BF71" i="2"/>
  <c r="EI48" i="2"/>
  <c r="EI60" i="2" s="1"/>
  <c r="AY227" i="2"/>
  <c r="AY229" i="2" s="1"/>
  <c r="AY233" i="2" s="1"/>
  <c r="BQ308" i="2"/>
  <c r="B262" i="7"/>
  <c r="B264" i="7" s="1"/>
  <c r="G366" i="7"/>
  <c r="V439" i="7"/>
  <c r="N438" i="7"/>
  <c r="Z59" i="2"/>
  <c r="P263" i="2"/>
  <c r="AR179" i="2"/>
  <c r="AR206" i="2" s="1"/>
  <c r="CH43" i="2"/>
  <c r="BF224" i="2"/>
  <c r="BF227" i="2" s="1"/>
  <c r="BF229" i="2" s="1"/>
  <c r="EE122" i="2"/>
  <c r="ER11" i="2" s="1"/>
  <c r="EV11" i="2" s="1"/>
  <c r="AT221" i="2"/>
  <c r="AT222" i="2" s="1"/>
  <c r="AP222" i="2"/>
  <c r="AY187" i="2"/>
  <c r="BD503" i="2"/>
  <c r="F249" i="5"/>
  <c r="AO222" i="2"/>
  <c r="AY510" i="2"/>
  <c r="AQ151" i="2"/>
  <c r="D420" i="7"/>
  <c r="Z366" i="7"/>
  <c r="X478" i="7"/>
  <c r="Q439" i="7"/>
  <c r="Y262" i="7"/>
  <c r="Y264" i="7" s="1"/>
  <c r="O59" i="2"/>
  <c r="AA60" i="2" s="1"/>
  <c r="AW409" i="2"/>
  <c r="AX156" i="2"/>
  <c r="AA199" i="2"/>
  <c r="AA163" i="5"/>
  <c r="U264" i="7"/>
  <c r="T262" i="7"/>
  <c r="T264" i="7" s="1"/>
  <c r="U274" i="7"/>
  <c r="Y274" i="7"/>
  <c r="F395" i="7"/>
  <c r="F479" i="7"/>
  <c r="BB199" i="2"/>
  <c r="EH57" i="2"/>
  <c r="AX412" i="2"/>
  <c r="BC522" i="2"/>
  <c r="Y439" i="7"/>
  <c r="K477" i="7"/>
  <c r="I366" i="7"/>
  <c r="P395" i="7"/>
  <c r="O479" i="7"/>
  <c r="AI74" i="2"/>
  <c r="AO197" i="2"/>
  <c r="CH37" i="2"/>
  <c r="BC38" i="2"/>
  <c r="EE119" i="2"/>
  <c r="ER7" i="2" s="1"/>
  <c r="CI25" i="2"/>
  <c r="AA229" i="2"/>
  <c r="BF156" i="2"/>
  <c r="B477" i="7"/>
  <c r="X262" i="7"/>
  <c r="X264" i="7" s="1"/>
  <c r="AS197" i="2"/>
  <c r="AD204" i="2"/>
  <c r="U23" i="2"/>
  <c r="U61" i="2" s="1"/>
  <c r="AY592" i="2"/>
  <c r="AY593" i="2" s="1"/>
  <c r="AZ507" i="2"/>
  <c r="S395" i="7"/>
  <c r="L420" i="7"/>
  <c r="DW14" i="2"/>
  <c r="BQ312" i="2"/>
  <c r="BH23" i="2"/>
  <c r="AZ263" i="2"/>
  <c r="AY493" i="2"/>
  <c r="AY494" i="2" s="1"/>
  <c r="BJ74" i="2"/>
  <c r="M59" i="2"/>
  <c r="T23" i="2"/>
  <c r="AN69" i="2"/>
  <c r="BE516" i="2"/>
  <c r="BB16" i="2"/>
  <c r="BB23" i="2" s="1"/>
  <c r="AW197" i="2"/>
  <c r="ET37" i="2"/>
  <c r="ES5" i="2" s="1"/>
  <c r="BB518" i="2"/>
  <c r="EM35" i="5"/>
  <c r="AB263" i="2"/>
  <c r="AU344" i="2"/>
  <c r="AU345" i="2" s="1"/>
  <c r="AU347" i="2" s="1"/>
  <c r="X187" i="2"/>
  <c r="AW222" i="2"/>
  <c r="AW233" i="2" s="1"/>
  <c r="BB206" i="2"/>
  <c r="E163" i="5"/>
  <c r="H181" i="5"/>
  <c r="I181" i="5"/>
  <c r="G236" i="5"/>
  <c r="G248" i="5" s="1"/>
  <c r="J274" i="7"/>
  <c r="M420" i="7"/>
  <c r="L479" i="7"/>
  <c r="AW206" i="2"/>
  <c r="BJ68" i="2"/>
  <c r="F261" i="2"/>
  <c r="BL74" i="2"/>
  <c r="AR221" i="2"/>
  <c r="AR222" i="2" s="1"/>
  <c r="AW156" i="2"/>
  <c r="AV506" i="2"/>
  <c r="AX507" i="2"/>
  <c r="AL131" i="2"/>
  <c r="AL132" i="2" s="1"/>
  <c r="B507" i="7"/>
  <c r="Q366" i="7"/>
  <c r="V478" i="7"/>
  <c r="O262" i="7"/>
  <c r="O264" i="7" s="1"/>
  <c r="AF206" i="2"/>
  <c r="AN66" i="2"/>
  <c r="AN70" i="2"/>
  <c r="AZ318" i="2"/>
  <c r="AZ320" i="2" s="1"/>
  <c r="BB388" i="2"/>
  <c r="BB413" i="2" s="1"/>
  <c r="BB387" i="2"/>
  <c r="BB412" i="2" s="1"/>
  <c r="BB391" i="2"/>
  <c r="BB383" i="2"/>
  <c r="BB408" i="2" s="1"/>
  <c r="BB390" i="2"/>
  <c r="BB415" i="2" s="1"/>
  <c r="BB394" i="2"/>
  <c r="BB419" i="2" s="1"/>
  <c r="AM63" i="2"/>
  <c r="AM70" i="2"/>
  <c r="J59" i="2"/>
  <c r="J80" i="2"/>
  <c r="C439" i="7"/>
  <c r="D262" i="7"/>
  <c r="D264" i="7" s="1"/>
  <c r="BB389" i="2"/>
  <c r="BB414" i="2" s="1"/>
  <c r="J395" i="7"/>
  <c r="W438" i="7"/>
  <c r="Z478" i="7"/>
  <c r="E438" i="7"/>
  <c r="BB381" i="2"/>
  <c r="BB406" i="2" s="1"/>
  <c r="AW150" i="2"/>
  <c r="AW16" i="2"/>
  <c r="AW151" i="2" s="1"/>
  <c r="L439" i="7"/>
  <c r="S438" i="7"/>
  <c r="K274" i="7"/>
  <c r="E274" i="7"/>
  <c r="W395" i="7"/>
  <c r="W274" i="7"/>
  <c r="N274" i="7"/>
  <c r="V395" i="7"/>
  <c r="S366" i="7"/>
  <c r="H479" i="7"/>
  <c r="Y438" i="7"/>
  <c r="R395" i="7"/>
  <c r="F420" i="7"/>
  <c r="AX184" i="2"/>
  <c r="AX210" i="2"/>
  <c r="I420" i="7"/>
  <c r="J439" i="7"/>
  <c r="P262" i="7"/>
  <c r="P264" i="7" s="1"/>
  <c r="H366" i="7"/>
  <c r="AQ59" i="2"/>
  <c r="AX127" i="2"/>
  <c r="AX150" i="2"/>
  <c r="P438" i="7"/>
  <c r="P440" i="7" s="1"/>
  <c r="Q274" i="7"/>
  <c r="C395" i="7"/>
  <c r="E477" i="7"/>
  <c r="Z477" i="7"/>
  <c r="BB384" i="2"/>
  <c r="BB409" i="2" s="1"/>
  <c r="AR181" i="5"/>
  <c r="BO274" i="2"/>
  <c r="BO280" i="2"/>
  <c r="BO277" i="2"/>
  <c r="BB393" i="2"/>
  <c r="BB418" i="2" s="1"/>
  <c r="BB382" i="2"/>
  <c r="BB407" i="2" s="1"/>
  <c r="AM10" i="2"/>
  <c r="AM23" i="2" s="1"/>
  <c r="X395" i="7"/>
  <c r="N262" i="7"/>
  <c r="N264" i="7" s="1"/>
  <c r="W439" i="7"/>
  <c r="E395" i="7"/>
  <c r="N366" i="7"/>
  <c r="C428" i="7"/>
  <c r="E45" i="7"/>
  <c r="I479" i="7"/>
  <c r="E478" i="7"/>
  <c r="BC151" i="2"/>
  <c r="AO34" i="2"/>
  <c r="W171" i="2"/>
  <c r="W187" i="2" s="1"/>
  <c r="DG25" i="2"/>
  <c r="T263" i="2"/>
  <c r="T261" i="2"/>
  <c r="T265" i="2" s="1"/>
  <c r="EN49" i="2"/>
  <c r="ER40" i="2"/>
  <c r="BQ310" i="2"/>
  <c r="AW457" i="2"/>
  <c r="BD505" i="2"/>
  <c r="AS38" i="2"/>
  <c r="W23" i="5"/>
  <c r="W25" i="5" s="1"/>
  <c r="W42" i="5" s="1"/>
  <c r="AI144" i="2"/>
  <c r="BA147" i="2"/>
  <c r="AZ221" i="2"/>
  <c r="AZ222" i="2" s="1"/>
  <c r="AZ171" i="2"/>
  <c r="BJ47" i="2" s="1"/>
  <c r="AW172" i="2"/>
  <c r="AW199" i="2" s="1"/>
  <c r="AQ172" i="2"/>
  <c r="AQ199" i="2" s="1"/>
  <c r="AQ197" i="2"/>
  <c r="T366" i="7"/>
  <c r="F429" i="7"/>
  <c r="C366" i="7"/>
  <c r="M479" i="7"/>
  <c r="B45" i="7"/>
  <c r="M439" i="7"/>
  <c r="X479" i="7"/>
  <c r="B395" i="7"/>
  <c r="R420" i="7"/>
  <c r="D479" i="7"/>
  <c r="U478" i="7"/>
  <c r="W262" i="7"/>
  <c r="W264" i="7" s="1"/>
  <c r="AR70" i="2"/>
  <c r="AR74" i="2" s="1"/>
  <c r="BC233" i="2"/>
  <c r="CI28" i="2"/>
  <c r="BJ46" i="2"/>
  <c r="BJ197" i="2" s="1"/>
  <c r="CI27" i="2"/>
  <c r="AJ204" i="2"/>
  <c r="O23" i="2"/>
  <c r="AP172" i="2"/>
  <c r="AP197" i="2"/>
  <c r="BG202" i="2"/>
  <c r="BG53" i="2"/>
  <c r="BG204" i="2" s="1"/>
  <c r="DL28" i="2"/>
  <c r="DL27" i="2"/>
  <c r="DL29" i="2"/>
  <c r="DL22" i="2"/>
  <c r="DL65" i="2" s="1"/>
  <c r="DL25" i="2"/>
  <c r="AS55" i="2"/>
  <c r="AS15" i="2" s="1"/>
  <c r="AS150" i="2" s="1"/>
  <c r="AS204" i="2"/>
  <c r="AG199" i="2"/>
  <c r="AG183" i="2"/>
  <c r="AS184" i="2" s="1"/>
  <c r="BB59" i="2"/>
  <c r="AJ199" i="2"/>
  <c r="BB204" i="2"/>
  <c r="AJ197" i="2"/>
  <c r="DL23" i="2"/>
  <c r="BJ53" i="2"/>
  <c r="BJ55" i="2" s="1"/>
  <c r="BJ206" i="2" s="1"/>
  <c r="BC265" i="2"/>
  <c r="EB61" i="2"/>
  <c r="AB179" i="2"/>
  <c r="AB206" i="2" s="1"/>
  <c r="AB204" i="2"/>
  <c r="AI204" i="2"/>
  <c r="AI179" i="2"/>
  <c r="BB222" i="2"/>
  <c r="BB233" i="2" s="1"/>
  <c r="BE163" i="5"/>
  <c r="F205" i="7"/>
  <c r="F109" i="7" s="1"/>
  <c r="Y366" i="7"/>
  <c r="R478" i="7"/>
  <c r="M395" i="7"/>
  <c r="U438" i="7"/>
  <c r="U440" i="7" s="1"/>
  <c r="H438" i="7"/>
  <c r="I395" i="7"/>
  <c r="Q478" i="7"/>
  <c r="J366" i="7"/>
  <c r="D366" i="7"/>
  <c r="G395" i="7"/>
  <c r="K478" i="7"/>
  <c r="L478" i="7"/>
  <c r="O478" i="7"/>
  <c r="I477" i="7"/>
  <c r="BG197" i="2"/>
  <c r="AX345" i="2"/>
  <c r="AX347" i="2" s="1"/>
  <c r="G261" i="2"/>
  <c r="DL15" i="2"/>
  <c r="DL30" i="2"/>
  <c r="CZ41" i="2"/>
  <c r="B230" i="5"/>
  <c r="B236" i="5" s="1"/>
  <c r="B248" i="5" s="1"/>
  <c r="AV396" i="2"/>
  <c r="AV421" i="2" s="1"/>
  <c r="AW493" i="2"/>
  <c r="AW494" i="2" s="1"/>
  <c r="AW502" i="2"/>
  <c r="BC560" i="2"/>
  <c r="BG74" i="2"/>
  <c r="BG71" i="2"/>
  <c r="BK151" i="2"/>
  <c r="BK134" i="2"/>
  <c r="BK185" i="2" s="1"/>
  <c r="C231" i="5"/>
  <c r="C237" i="5" s="1"/>
  <c r="C249" i="5" s="1"/>
  <c r="DA48" i="2"/>
  <c r="CZ48" i="2" s="1"/>
  <c r="DL24" i="2"/>
  <c r="DL21" i="2"/>
  <c r="AV503" i="2"/>
  <c r="AQ179" i="2"/>
  <c r="AU227" i="2"/>
  <c r="AU229" i="2" s="1"/>
  <c r="AK59" i="2"/>
  <c r="AW60" i="2" s="1"/>
  <c r="AL206" i="2"/>
  <c r="BE517" i="2"/>
  <c r="BE48" i="2"/>
  <c r="BE199" i="2" s="1"/>
  <c r="BE197" i="2"/>
  <c r="BI197" i="2"/>
  <c r="AC59" i="2"/>
  <c r="BA363" i="2"/>
  <c r="BA369" i="2"/>
  <c r="BA359" i="2"/>
  <c r="DL26" i="2"/>
  <c r="AC204" i="2"/>
  <c r="AI233" i="2"/>
  <c r="DW61" i="2"/>
  <c r="AD222" i="2"/>
  <c r="AW396" i="2"/>
  <c r="AW397" i="2" s="1"/>
  <c r="BA494" i="2"/>
  <c r="BA504" i="2"/>
  <c r="BD521" i="2"/>
  <c r="AZ560" i="2"/>
  <c r="AW560" i="2"/>
  <c r="AV559" i="2"/>
  <c r="AV560" i="2" s="1"/>
  <c r="BE593" i="2"/>
  <c r="AR197" i="2"/>
  <c r="AR172" i="2"/>
  <c r="AK199" i="2"/>
  <c r="AZ149" i="2"/>
  <c r="Z163" i="5"/>
  <c r="O181" i="5"/>
  <c r="BB181" i="5"/>
  <c r="AY263" i="2"/>
  <c r="EE124" i="2"/>
  <c r="ER14" i="2" s="1"/>
  <c r="DG30" i="2"/>
  <c r="ET42" i="2"/>
  <c r="EE121" i="2"/>
  <c r="ER10" i="2" s="1"/>
  <c r="BB145" i="2"/>
  <c r="BD519" i="2"/>
  <c r="BF53" i="2"/>
  <c r="BF204" i="2" s="1"/>
  <c r="AG233" i="2"/>
  <c r="AZ518" i="2"/>
  <c r="AV127" i="2"/>
  <c r="AV151" i="2" s="1"/>
  <c r="AR265" i="2"/>
  <c r="BC369" i="2"/>
  <c r="BC358" i="2"/>
  <c r="AE263" i="2"/>
  <c r="AE261" i="2"/>
  <c r="AE265" i="2" s="1"/>
  <c r="AG23" i="2"/>
  <c r="L59" i="2"/>
  <c r="AS156" i="2"/>
  <c r="Q59" i="2"/>
  <c r="BC150" i="2"/>
  <c r="AJ179" i="5"/>
  <c r="ET41" i="2"/>
  <c r="AD229" i="2"/>
  <c r="AI23" i="2"/>
  <c r="AI61" i="2" s="1"/>
  <c r="AL59" i="2"/>
  <c r="AX60" i="2" s="1"/>
  <c r="BQ315" i="2"/>
  <c r="BQ314" i="2"/>
  <c r="BQ309" i="2"/>
  <c r="AX405" i="2"/>
  <c r="BH46" i="2"/>
  <c r="BH197" i="2" s="1"/>
  <c r="AZ197" i="2"/>
  <c r="AO183" i="2"/>
  <c r="BJ181" i="5"/>
  <c r="C127" i="9"/>
  <c r="EG48" i="2"/>
  <c r="EG60" i="2" s="1"/>
  <c r="EG61" i="2" s="1"/>
  <c r="AD23" i="2"/>
  <c r="P59" i="2"/>
  <c r="AB60" i="2" s="1"/>
  <c r="AL197" i="2"/>
  <c r="AV38" i="2"/>
  <c r="BC515" i="2"/>
  <c r="BB511" i="2"/>
  <c r="AX516" i="2"/>
  <c r="AW509" i="2"/>
  <c r="AW519" i="2"/>
  <c r="AY503" i="2"/>
  <c r="D71" i="5"/>
  <c r="E70" i="5"/>
  <c r="BH163" i="5"/>
  <c r="EC61" i="2"/>
  <c r="DV61" i="2"/>
  <c r="AJ222" i="2"/>
  <c r="AJ233" i="2" s="1"/>
  <c r="AA23" i="2"/>
  <c r="BQ305" i="2"/>
  <c r="AV415" i="2"/>
  <c r="BD145" i="2"/>
  <c r="AZ520" i="2"/>
  <c r="AX518" i="2"/>
  <c r="BE518" i="2"/>
  <c r="AW38" i="2"/>
  <c r="AZ10" i="2"/>
  <c r="S23" i="5"/>
  <c r="S25" i="5" s="1"/>
  <c r="S42" i="5" s="1"/>
  <c r="AY197" i="2"/>
  <c r="BH181" i="5"/>
  <c r="N62" i="5"/>
  <c r="N63" i="5" s="1"/>
  <c r="D125" i="9"/>
  <c r="X23" i="2"/>
  <c r="X61" i="2" s="1"/>
  <c r="DR61" i="2"/>
  <c r="DT61" i="2"/>
  <c r="EP58" i="2"/>
  <c r="AA222" i="2"/>
  <c r="AM197" i="2"/>
  <c r="AZ227" i="2"/>
  <c r="AZ229" i="2" s="1"/>
  <c r="BA512" i="2"/>
  <c r="BA502" i="2"/>
  <c r="AZ493" i="2"/>
  <c r="AZ494" i="2" s="1"/>
  <c r="BC521" i="2"/>
  <c r="BD507" i="2"/>
  <c r="BD514" i="2"/>
  <c r="AT197" i="2"/>
  <c r="BJ23" i="2"/>
  <c r="BJ151" i="2"/>
  <c r="BF147" i="2"/>
  <c r="BG16" i="2"/>
  <c r="BG151" i="2" s="1"/>
  <c r="T163" i="5"/>
  <c r="D126" i="9"/>
  <c r="F438" i="7"/>
  <c r="I438" i="7"/>
  <c r="C262" i="7"/>
  <c r="C264" i="7" s="1"/>
  <c r="B439" i="7"/>
  <c r="AK9" i="2"/>
  <c r="AK347" i="2"/>
  <c r="BJ172" i="2"/>
  <c r="M23" i="5"/>
  <c r="M25" i="5" s="1"/>
  <c r="M42" i="5" s="1"/>
  <c r="AC172" i="2"/>
  <c r="AC197" i="2"/>
  <c r="Y228" i="2"/>
  <c r="Y229" i="2" s="1"/>
  <c r="Y233" i="2" s="1"/>
  <c r="M32" i="5"/>
  <c r="B74" i="5" s="1"/>
  <c r="W31" i="5"/>
  <c r="C72" i="5"/>
  <c r="C73" i="5" s="1"/>
  <c r="X366" i="7"/>
  <c r="X439" i="7"/>
  <c r="X420" i="7"/>
  <c r="Z420" i="7"/>
  <c r="H263" i="2"/>
  <c r="H261" i="2"/>
  <c r="E439" i="7"/>
  <c r="AY345" i="2"/>
  <c r="AY347" i="2" s="1"/>
  <c r="AY317" i="2"/>
  <c r="AY318" i="2" s="1"/>
  <c r="AY320" i="2" s="1"/>
  <c r="C438" i="7"/>
  <c r="V167" i="2"/>
  <c r="Z261" i="2"/>
  <c r="Z265" i="2" s="1"/>
  <c r="Z263" i="2"/>
  <c r="ET59" i="2"/>
  <c r="M438" i="7"/>
  <c r="N395" i="7"/>
  <c r="V438" i="7"/>
  <c r="E507" i="7"/>
  <c r="M366" i="7"/>
  <c r="T478" i="7"/>
  <c r="I262" i="7"/>
  <c r="I264" i="7" s="1"/>
  <c r="BK55" i="2"/>
  <c r="BK206" i="2" s="1"/>
  <c r="BK204" i="2"/>
  <c r="BB134" i="2"/>
  <c r="M261" i="2"/>
  <c r="M263" i="2"/>
  <c r="H420" i="7"/>
  <c r="D478" i="7"/>
  <c r="I439" i="7"/>
  <c r="C45" i="7"/>
  <c r="BE184" i="2"/>
  <c r="S263" i="2"/>
  <c r="S261" i="2"/>
  <c r="Y395" i="7"/>
  <c r="D427" i="7"/>
  <c r="D385" i="7"/>
  <c r="D306" i="7" s="1"/>
  <c r="D22" i="7" s="1"/>
  <c r="B427" i="7"/>
  <c r="B410" i="7"/>
  <c r="B308" i="7" s="1"/>
  <c r="B29" i="7" s="1"/>
  <c r="F45" i="7"/>
  <c r="V23" i="5"/>
  <c r="V25" i="5" s="1"/>
  <c r="V42" i="5" s="1"/>
  <c r="AH187" i="2"/>
  <c r="Z60" i="2"/>
  <c r="AY183" i="2"/>
  <c r="AF144" i="2"/>
  <c r="AF187" i="2"/>
  <c r="Z144" i="2"/>
  <c r="Z187" i="2"/>
  <c r="AR59" i="2"/>
  <c r="BD60" i="2" s="1"/>
  <c r="DG28" i="2"/>
  <c r="CI21" i="2"/>
  <c r="DL34" i="2"/>
  <c r="DL35" i="2"/>
  <c r="DL38" i="2"/>
  <c r="DL39" i="2"/>
  <c r="DL40" i="2"/>
  <c r="ES39" i="2"/>
  <c r="ET39" i="2" s="1"/>
  <c r="EP39" i="2"/>
  <c r="AF199" i="2"/>
  <c r="AF59" i="2"/>
  <c r="BD227" i="2"/>
  <c r="BD229" i="2" s="1"/>
  <c r="AX493" i="2"/>
  <c r="AX494" i="2" s="1"/>
  <c r="AX526" i="2" s="1"/>
  <c r="BC592" i="2"/>
  <c r="BC593" i="2" s="1"/>
  <c r="BA592" i="2"/>
  <c r="BA593" i="2" s="1"/>
  <c r="AZ592" i="2"/>
  <c r="AX593" i="2"/>
  <c r="BB592" i="2"/>
  <c r="BB593" i="2" s="1"/>
  <c r="BC508" i="2"/>
  <c r="BC457" i="2"/>
  <c r="BB506" i="2"/>
  <c r="BB456" i="2"/>
  <c r="BB457" i="2" s="1"/>
  <c r="BA456" i="2"/>
  <c r="BA457" i="2" s="1"/>
  <c r="BA526" i="2" s="1"/>
  <c r="BA517" i="2"/>
  <c r="AZ456" i="2"/>
  <c r="AZ457" i="2" s="1"/>
  <c r="AZ513" i="2"/>
  <c r="AY456" i="2"/>
  <c r="AY457" i="2" s="1"/>
  <c r="AY502" i="2"/>
  <c r="AL347" i="2"/>
  <c r="AL9" i="2"/>
  <c r="BF134" i="2"/>
  <c r="AF229" i="2"/>
  <c r="AF233" i="2" s="1"/>
  <c r="AR150" i="2"/>
  <c r="AR16" i="2"/>
  <c r="W168" i="2"/>
  <c r="V168" i="2" s="1"/>
  <c r="U168" i="2" s="1"/>
  <c r="T168" i="2" s="1"/>
  <c r="S168" i="2" s="1"/>
  <c r="R168" i="2" s="1"/>
  <c r="Q168" i="2" s="1"/>
  <c r="P168" i="2" s="1"/>
  <c r="O168" i="2" s="1"/>
  <c r="N168" i="2" s="1"/>
  <c r="M168" i="2" s="1"/>
  <c r="L168" i="2" s="1"/>
  <c r="K168" i="2" s="1"/>
  <c r="J168" i="2" s="1"/>
  <c r="I168" i="2" s="1"/>
  <c r="H168" i="2" s="1"/>
  <c r="G168" i="2" s="1"/>
  <c r="F168" i="2" s="1"/>
  <c r="E168" i="2" s="1"/>
  <c r="D168" i="2" s="1"/>
  <c r="X170" i="2"/>
  <c r="X172" i="2" s="1"/>
  <c r="AY68" i="2"/>
  <c r="AY71" i="2"/>
  <c r="AY74" i="2"/>
  <c r="AC15" i="2"/>
  <c r="AC16" i="2" s="1"/>
  <c r="AC23" i="2" s="1"/>
  <c r="AC206" i="2"/>
  <c r="EO57" i="2"/>
  <c r="EP57" i="2" s="1"/>
  <c r="ES38" i="2"/>
  <c r="EO48" i="2"/>
  <c r="EP38" i="2"/>
  <c r="AD48" i="2"/>
  <c r="AX407" i="2"/>
  <c r="AX371" i="2"/>
  <c r="AX421" i="2" s="1"/>
  <c r="BE227" i="2"/>
  <c r="BE229" i="2" s="1"/>
  <c r="D205" i="7"/>
  <c r="D109" i="7" s="1"/>
  <c r="L80" i="2"/>
  <c r="ET43" i="2"/>
  <c r="ES56" i="2"/>
  <c r="AA179" i="2"/>
  <c r="AA204" i="2"/>
  <c r="AH206" i="2"/>
  <c r="AH183" i="2"/>
  <c r="BO278" i="2"/>
  <c r="BO288" i="2"/>
  <c r="AW293" i="2"/>
  <c r="BO286" i="2"/>
  <c r="BO275" i="2"/>
  <c r="BO290" i="2"/>
  <c r="BO289" i="2"/>
  <c r="BO287" i="2"/>
  <c r="BO273" i="2"/>
  <c r="BO293" i="2" s="1"/>
  <c r="BO291" i="2"/>
  <c r="BO279" i="2"/>
  <c r="BO285" i="2"/>
  <c r="BO281" i="2"/>
  <c r="BO284" i="2"/>
  <c r="BO283" i="2"/>
  <c r="BO282" i="2"/>
  <c r="BQ303" i="2"/>
  <c r="AX318" i="2"/>
  <c r="AX320" i="2" s="1"/>
  <c r="AO55" i="2"/>
  <c r="AO206" i="2" s="1"/>
  <c r="AO204" i="2"/>
  <c r="BK23" i="2"/>
  <c r="BK145" i="2"/>
  <c r="D507" i="7"/>
  <c r="B385" i="7"/>
  <c r="B306" i="7" s="1"/>
  <c r="B22" i="7" s="1"/>
  <c r="AS127" i="2"/>
  <c r="AE199" i="2"/>
  <c r="AE183" i="2"/>
  <c r="AS345" i="2"/>
  <c r="U23" i="5"/>
  <c r="U25" i="5" s="1"/>
  <c r="U42" i="5" s="1"/>
  <c r="AG187" i="2"/>
  <c r="AP9" i="2"/>
  <c r="AP347" i="2"/>
  <c r="DL51" i="2"/>
  <c r="DL44" i="2"/>
  <c r="DL46" i="2"/>
  <c r="DL47" i="2"/>
  <c r="DL45" i="2"/>
  <c r="DL52" i="2"/>
  <c r="N263" i="2"/>
  <c r="N261" i="2"/>
  <c r="V15" i="2"/>
  <c r="V16" i="2" s="1"/>
  <c r="V23" i="2" s="1"/>
  <c r="AH24" i="2" s="1"/>
  <c r="V59" i="2"/>
  <c r="Y59" i="2"/>
  <c r="Y15" i="2"/>
  <c r="Y16" i="2" s="1"/>
  <c r="Y23" i="2" s="1"/>
  <c r="AM263" i="2"/>
  <c r="AM66" i="2"/>
  <c r="BA63" i="2"/>
  <c r="BA263" i="2"/>
  <c r="CZ42" i="2"/>
  <c r="CI20" i="2"/>
  <c r="R15" i="2"/>
  <c r="R16" i="2" s="1"/>
  <c r="R23" i="2" s="1"/>
  <c r="R61" i="2" s="1"/>
  <c r="R80" i="2"/>
  <c r="AO344" i="2"/>
  <c r="AO345" i="2" s="1"/>
  <c r="AO265" i="2"/>
  <c r="Z183" i="2"/>
  <c r="Z206" i="2"/>
  <c r="AN233" i="2"/>
  <c r="Q23" i="2"/>
  <c r="AR233" i="2"/>
  <c r="Q229" i="2"/>
  <c r="Q233" i="2" s="1"/>
  <c r="AY15" i="2"/>
  <c r="AY55" i="2"/>
  <c r="AY59" i="2" s="1"/>
  <c r="AY204" i="2"/>
  <c r="BC70" i="2"/>
  <c r="BC121" i="2"/>
  <c r="AQ23" i="5"/>
  <c r="AQ25" i="5" s="1"/>
  <c r="AQ42" i="5" s="1"/>
  <c r="BF196" i="2"/>
  <c r="BF46" i="2"/>
  <c r="BH194" i="2"/>
  <c r="AZ39" i="2"/>
  <c r="AZ38" i="2"/>
  <c r="AT127" i="2"/>
  <c r="AT147" i="2"/>
  <c r="BA364" i="2"/>
  <c r="BA356" i="2"/>
  <c r="BA362" i="2"/>
  <c r="BA370" i="2"/>
  <c r="BA355" i="2"/>
  <c r="BA360" i="2"/>
  <c r="CZ40" i="2"/>
  <c r="CI30" i="2"/>
  <c r="CZ46" i="2"/>
  <c r="AE15" i="2"/>
  <c r="AE16" i="2" s="1"/>
  <c r="AE23" i="2" s="1"/>
  <c r="AE24" i="2" s="1"/>
  <c r="AE59" i="2"/>
  <c r="AH199" i="2"/>
  <c r="AH59" i="2"/>
  <c r="BC516" i="2"/>
  <c r="BC493" i="2"/>
  <c r="BC494" i="2" s="1"/>
  <c r="W144" i="2"/>
  <c r="AJ16" i="2"/>
  <c r="AJ23" i="2" s="1"/>
  <c r="BI53" i="2"/>
  <c r="BI203" i="2"/>
  <c r="AV344" i="2"/>
  <c r="AQ263" i="2"/>
  <c r="CI22" i="2"/>
  <c r="CZ44" i="2"/>
  <c r="N23" i="2"/>
  <c r="Z24" i="2" s="1"/>
  <c r="W23" i="2"/>
  <c r="AU9" i="2"/>
  <c r="CZ43" i="2"/>
  <c r="AX227" i="2"/>
  <c r="AX229" i="2" s="1"/>
  <c r="BD456" i="2"/>
  <c r="BD457" i="2" s="1"/>
  <c r="BD526" i="2" s="1"/>
  <c r="BF145" i="2"/>
  <c r="BF23" i="2"/>
  <c r="BG134" i="2"/>
  <c r="BG145" i="2"/>
  <c r="AX16" i="2"/>
  <c r="AZ12" i="2"/>
  <c r="AX147" i="2"/>
  <c r="BH53" i="2"/>
  <c r="BH202" i="2"/>
  <c r="AW261" i="2"/>
  <c r="BO244" i="2" s="1"/>
  <c r="AU179" i="2"/>
  <c r="AU204" i="2"/>
  <c r="AU126" i="2"/>
  <c r="AU150" i="2" s="1"/>
  <c r="AX265" i="2"/>
  <c r="AX9" i="2"/>
  <c r="BH47" i="2"/>
  <c r="BK47" i="2"/>
  <c r="DG32" i="2"/>
  <c r="DL16" i="2"/>
  <c r="DL13" i="2"/>
  <c r="DL11" i="2"/>
  <c r="EH58" i="2"/>
  <c r="EH48" i="2"/>
  <c r="EH60" i="2" s="1"/>
  <c r="U233" i="2"/>
  <c r="AB197" i="2"/>
  <c r="BQ301" i="2"/>
  <c r="BB344" i="2"/>
  <c r="BB317" i="2" s="1"/>
  <c r="BB318" i="2" s="1"/>
  <c r="BB320" i="2" s="1"/>
  <c r="BA344" i="2"/>
  <c r="BA317" i="2" s="1"/>
  <c r="BA318" i="2" s="1"/>
  <c r="BA320" i="2" s="1"/>
  <c r="BB68" i="2"/>
  <c r="BB71" i="2"/>
  <c r="BB74" i="2"/>
  <c r="AL199" i="2"/>
  <c r="EV12" i="2"/>
  <c r="DG24" i="2"/>
  <c r="DF33" i="2"/>
  <c r="DG26" i="2"/>
  <c r="DG27" i="2"/>
  <c r="EP55" i="2"/>
  <c r="EN61" i="2"/>
  <c r="ET17" i="2"/>
  <c r="P233" i="2"/>
  <c r="AZ55" i="2"/>
  <c r="AZ15" i="2"/>
  <c r="AZ150" i="2" s="1"/>
  <c r="BL46" i="2"/>
  <c r="BL195" i="2"/>
  <c r="AN75" i="2"/>
  <c r="AN198" i="2"/>
  <c r="AN48" i="2"/>
  <c r="AG204" i="2"/>
  <c r="AG55" i="2"/>
  <c r="AG59" i="2" s="1"/>
  <c r="AX503" i="2"/>
  <c r="BE510" i="2"/>
  <c r="BE456" i="2"/>
  <c r="BE457" i="2" s="1"/>
  <c r="BE526" i="2" s="1"/>
  <c r="BJ145" i="2"/>
  <c r="BJ134" i="2"/>
  <c r="BH183" i="2"/>
  <c r="AS147" i="2"/>
  <c r="AS16" i="2"/>
  <c r="EI57" i="2"/>
  <c r="K227" i="2"/>
  <c r="K229" i="2" s="1"/>
  <c r="AX222" i="2"/>
  <c r="AW371" i="2"/>
  <c r="BC359" i="2"/>
  <c r="BC397" i="2"/>
  <c r="BC368" i="2"/>
  <c r="BE505" i="2"/>
  <c r="Y179" i="2"/>
  <c r="Y183" i="2" s="1"/>
  <c r="EE61" i="2"/>
  <c r="EU17" i="2"/>
  <c r="AE206" i="2"/>
  <c r="BB392" i="2"/>
  <c r="EP40" i="2"/>
  <c r="ED61" i="2"/>
  <c r="W227" i="2"/>
  <c r="W229" i="2" s="1"/>
  <c r="EJ52" i="2"/>
  <c r="BQ300" i="2"/>
  <c r="M30" i="5"/>
  <c r="M31" i="5" s="1"/>
  <c r="X174" i="2"/>
  <c r="BQ306" i="2"/>
  <c r="BD524" i="2"/>
  <c r="L233" i="2"/>
  <c r="BQ304" i="2"/>
  <c r="BQ313" i="2"/>
  <c r="BQ316" i="2"/>
  <c r="G244" i="5"/>
  <c r="O33" i="5"/>
  <c r="O300" i="5" s="1"/>
  <c r="O301" i="5" s="1"/>
  <c r="O302" i="5" s="1"/>
  <c r="AA159" i="7"/>
  <c r="AA201" i="7"/>
  <c r="AA271" i="7" s="1"/>
  <c r="AA353" i="7"/>
  <c r="AA394" i="7"/>
  <c r="AA150" i="7"/>
  <c r="AA467" i="7"/>
  <c r="AA468" i="7"/>
  <c r="AA162" i="7"/>
  <c r="AA204" i="7"/>
  <c r="AA354" i="7"/>
  <c r="AA454" i="7"/>
  <c r="AA339" i="7"/>
  <c r="AA192" i="7"/>
  <c r="AA347" i="7"/>
  <c r="AA170" i="7"/>
  <c r="AA215" i="7"/>
  <c r="AA334" i="7"/>
  <c r="AA355" i="7"/>
  <c r="AA418" i="7"/>
  <c r="AA455" i="7"/>
  <c r="AA419" i="7"/>
  <c r="AA234" i="7"/>
  <c r="AA487" i="7"/>
  <c r="AA31" i="7" s="1"/>
  <c r="AA340" i="7"/>
  <c r="AA363" i="7" s="1"/>
  <c r="AA193" i="7"/>
  <c r="AA263" i="7" s="1"/>
  <c r="AA152" i="7"/>
  <c r="AA194" i="7"/>
  <c r="AA351" i="7"/>
  <c r="AA393" i="7"/>
  <c r="AA469" i="7"/>
  <c r="AA174" i="7"/>
  <c r="AA456" i="7"/>
  <c r="AA238" i="7"/>
  <c r="AA372" i="7"/>
  <c r="AA345" i="7" s="1"/>
  <c r="AA151" i="7"/>
  <c r="AA338" i="7"/>
  <c r="E181" i="5"/>
  <c r="I131" i="4"/>
  <c r="I142" i="4" s="1"/>
  <c r="FP33" i="5"/>
  <c r="C125" i="9"/>
  <c r="B237" i="7"/>
  <c r="C126" i="9"/>
  <c r="P19" i="4"/>
  <c r="M16" i="4"/>
  <c r="FR33" i="5"/>
  <c r="J52" i="9"/>
  <c r="Q69" i="4"/>
  <c r="I408" i="7"/>
  <c r="C52" i="9"/>
  <c r="M190" i="7"/>
  <c r="L384" i="7"/>
  <c r="C237" i="7"/>
  <c r="FN33" i="5"/>
  <c r="D52" i="9"/>
  <c r="B213" i="7"/>
  <c r="B212" i="7"/>
  <c r="B219" i="7"/>
  <c r="D219" i="7"/>
  <c r="D211" i="7"/>
  <c r="D213" i="7"/>
  <c r="C211" i="7"/>
  <c r="C213" i="7"/>
  <c r="C507" i="7"/>
  <c r="B200" i="7"/>
  <c r="C389" i="7"/>
  <c r="C200" i="7"/>
  <c r="D388" i="8"/>
  <c r="D200" i="7"/>
  <c r="C388" i="7"/>
  <c r="C413" i="7"/>
  <c r="F428" i="7"/>
  <c r="D429" i="7"/>
  <c r="BT83" i="4"/>
  <c r="BL16" i="4"/>
  <c r="AA201" i="8"/>
  <c r="AA271" i="8" s="1"/>
  <c r="AA334" i="8"/>
  <c r="AA338" i="8"/>
  <c r="AA355" i="8"/>
  <c r="AA418" i="8"/>
  <c r="AA419" i="8"/>
  <c r="AA455" i="8"/>
  <c r="AA194" i="8"/>
  <c r="AA204" i="8"/>
  <c r="AA192" i="8"/>
  <c r="AA234" i="8"/>
  <c r="AA393" i="8"/>
  <c r="AA339" i="8"/>
  <c r="AA454" i="8"/>
  <c r="AA456" i="8"/>
  <c r="AA468" i="8"/>
  <c r="AA394" i="8"/>
  <c r="AA340" i="8"/>
  <c r="AA363" i="8" s="1"/>
  <c r="AA372" i="8"/>
  <c r="AA345" i="8" s="1"/>
  <c r="AA215" i="8"/>
  <c r="AA347" i="8"/>
  <c r="AA467" i="8"/>
  <c r="AA487" i="8"/>
  <c r="AA31" i="8" s="1"/>
  <c r="AA351" i="8"/>
  <c r="AA238" i="8"/>
  <c r="AA150" i="8"/>
  <c r="AA151" i="8"/>
  <c r="AA353" i="8"/>
  <c r="AA469" i="8"/>
  <c r="AA152" i="8"/>
  <c r="AA354" i="8"/>
  <c r="AA193" i="8"/>
  <c r="AA263" i="8" s="1"/>
  <c r="AA159" i="8"/>
  <c r="AA162" i="8"/>
  <c r="AA170" i="8"/>
  <c r="AA174" i="8"/>
  <c r="F158" i="7"/>
  <c r="BJ19" i="4"/>
  <c r="S27" i="4"/>
  <c r="BR103" i="4"/>
  <c r="R72" i="4"/>
  <c r="BR53" i="4"/>
  <c r="R113" i="4" s="1"/>
  <c r="R76" i="4" s="1"/>
  <c r="R16" i="4"/>
  <c r="BS83" i="4"/>
  <c r="N170" i="4"/>
  <c r="N172" i="4" s="1"/>
  <c r="BQ87" i="4"/>
  <c r="C233" i="7"/>
  <c r="Q19" i="4"/>
  <c r="E219" i="7"/>
  <c r="E213" i="7"/>
  <c r="I180" i="4"/>
  <c r="E200" i="7"/>
  <c r="D389" i="8"/>
  <c r="E429" i="7"/>
  <c r="F507" i="7"/>
  <c r="C385" i="7"/>
  <c r="C306" i="7" s="1"/>
  <c r="C22" i="7" s="1"/>
  <c r="J180" i="4"/>
  <c r="BN40" i="4"/>
  <c r="F212" i="7"/>
  <c r="G172" i="4"/>
  <c r="K16" i="4"/>
  <c r="E390" i="7"/>
  <c r="BF16" i="4"/>
  <c r="BM16" i="4"/>
  <c r="BP99" i="4"/>
  <c r="G131" i="4"/>
  <c r="G142" i="4" s="1"/>
  <c r="D415" i="7"/>
  <c r="D410" i="7"/>
  <c r="D308" i="7" s="1"/>
  <c r="D29" i="7" s="1"/>
  <c r="E410" i="7"/>
  <c r="E308" i="7" s="1"/>
  <c r="E29" i="7" s="1"/>
  <c r="E428" i="7"/>
  <c r="C415" i="7"/>
  <c r="H180" i="4"/>
  <c r="F200" i="7"/>
  <c r="I390" i="7"/>
  <c r="H389" i="7"/>
  <c r="G388" i="7"/>
  <c r="F415" i="7"/>
  <c r="F413" i="7"/>
  <c r="C219" i="7"/>
  <c r="F385" i="7"/>
  <c r="F306" i="7" s="1"/>
  <c r="B429" i="7"/>
  <c r="H390" i="7"/>
  <c r="G389" i="7"/>
  <c r="F388" i="7"/>
  <c r="E415" i="7"/>
  <c r="E413" i="7"/>
  <c r="C410" i="7"/>
  <c r="C308" i="7" s="1"/>
  <c r="C29" i="7" s="1"/>
  <c r="E385" i="7"/>
  <c r="E306" i="7" s="1"/>
  <c r="C146" i="7"/>
  <c r="F389" i="7"/>
  <c r="G176" i="4"/>
  <c r="G180" i="4" s="1"/>
  <c r="BR83" i="4"/>
  <c r="F390" i="7"/>
  <c r="E212" i="7"/>
  <c r="B388" i="7"/>
  <c r="B413" i="7"/>
  <c r="B390" i="7"/>
  <c r="I388" i="7"/>
  <c r="B415" i="7"/>
  <c r="BC16" i="4"/>
  <c r="BC20" i="4" s="1"/>
  <c r="BC24" i="4" s="1"/>
  <c r="BD16" i="4"/>
  <c r="BD20" i="4" s="1"/>
  <c r="BD24" i="4" s="1"/>
  <c r="M146" i="7"/>
  <c r="E233" i="7"/>
  <c r="J146" i="7"/>
  <c r="E146" i="7"/>
  <c r="BW32" i="4"/>
  <c r="BW98" i="4" s="1"/>
  <c r="M49" i="4"/>
  <c r="M53" i="4" s="1"/>
  <c r="M160" i="4" s="1"/>
  <c r="M175" i="4" s="1"/>
  <c r="BW19" i="4"/>
  <c r="BX16" i="4"/>
  <c r="C66" i="9"/>
  <c r="I66" i="9"/>
  <c r="C139" i="9"/>
  <c r="E52" i="9"/>
  <c r="F52" i="9"/>
  <c r="G52" i="9"/>
  <c r="H52" i="9"/>
  <c r="I52" i="9"/>
  <c r="E66" i="9"/>
  <c r="F237" i="7"/>
  <c r="F237" i="8"/>
  <c r="BR27" i="4"/>
  <c r="D237" i="7"/>
  <c r="CR133" i="4"/>
  <c r="N63" i="4"/>
  <c r="N164" i="4" s="1"/>
  <c r="N179" i="4" s="1"/>
  <c r="C16" i="4"/>
  <c r="C20" i="4" s="1"/>
  <c r="C24" i="4" s="1"/>
  <c r="BL95" i="4"/>
  <c r="BK78" i="4"/>
  <c r="CN133" i="4"/>
  <c r="R146" i="7"/>
  <c r="C140" i="9"/>
  <c r="F66" i="9"/>
  <c r="C138" i="9"/>
  <c r="C141" i="9"/>
  <c r="H66" i="9"/>
  <c r="D66" i="9"/>
  <c r="O16" i="4"/>
  <c r="BW78" i="4"/>
  <c r="BI16" i="4"/>
  <c r="R19" i="4"/>
  <c r="N16" i="4"/>
  <c r="BE16" i="4"/>
  <c r="BK19" i="4"/>
  <c r="BO19" i="4"/>
  <c r="T19" i="4"/>
  <c r="BY19" i="4"/>
  <c r="J190" i="7"/>
  <c r="BU32" i="4"/>
  <c r="U146" i="8"/>
  <c r="N127" i="4"/>
  <c r="R162" i="4"/>
  <c r="D143" i="9"/>
  <c r="C101" i="9"/>
  <c r="D101" i="9"/>
  <c r="C115" i="9"/>
  <c r="C157" i="9"/>
  <c r="D115" i="9"/>
  <c r="D157" i="9"/>
  <c r="E148" i="4"/>
  <c r="D148" i="4"/>
  <c r="O19" i="4"/>
  <c r="L16" i="4"/>
  <c r="BT32" i="4"/>
  <c r="BM63" i="4"/>
  <c r="M117" i="4" s="1"/>
  <c r="M130" i="4" s="1"/>
  <c r="BH19" i="4"/>
  <c r="M19" i="4"/>
  <c r="K146" i="7"/>
  <c r="BJ16" i="4"/>
  <c r="BQ19" i="4"/>
  <c r="F16" i="4"/>
  <c r="E19" i="4"/>
  <c r="K235" i="7"/>
  <c r="K112" i="7" s="1"/>
  <c r="N57" i="4"/>
  <c r="N59" i="4" s="1"/>
  <c r="BN89" i="4"/>
  <c r="BN83" i="4"/>
  <c r="W19" i="4"/>
  <c r="N162" i="4"/>
  <c r="P63" i="4"/>
  <c r="P164" i="4" s="1"/>
  <c r="P179" i="4" s="1"/>
  <c r="O63" i="4"/>
  <c r="O164" i="4" s="1"/>
  <c r="O179" i="4" s="1"/>
  <c r="N19" i="4"/>
  <c r="BU40" i="4"/>
  <c r="I16" i="4"/>
  <c r="P161" i="4"/>
  <c r="BR104" i="4"/>
  <c r="BP68" i="4"/>
  <c r="C373" i="7"/>
  <c r="C352" i="7" s="1"/>
  <c r="C356" i="7" s="1"/>
  <c r="BG28" i="4"/>
  <c r="BG35" i="4" s="1"/>
  <c r="BQ27" i="4"/>
  <c r="BQ28" i="4" s="1"/>
  <c r="R27" i="4"/>
  <c r="BN32" i="4"/>
  <c r="E158" i="7"/>
  <c r="R57" i="4"/>
  <c r="R59" i="4" s="1"/>
  <c r="BR95" i="4"/>
  <c r="O114" i="4"/>
  <c r="R34" i="4"/>
  <c r="BH40" i="4"/>
  <c r="BH101" i="4" s="1"/>
  <c r="J16" i="4"/>
  <c r="O49" i="4"/>
  <c r="O53" i="4" s="1"/>
  <c r="O160" i="4" s="1"/>
  <c r="BP40" i="4"/>
  <c r="M34" i="4"/>
  <c r="M35" i="4" s="1"/>
  <c r="L49" i="4"/>
  <c r="L53" i="4" s="1"/>
  <c r="L160" i="4" s="1"/>
  <c r="BQ68" i="4"/>
  <c r="BR87" i="4"/>
  <c r="M162" i="4"/>
  <c r="M177" i="4" s="1"/>
  <c r="L34" i="4"/>
  <c r="L35" i="4" s="1"/>
  <c r="O146" i="7"/>
  <c r="L162" i="4"/>
  <c r="L177" i="4" s="1"/>
  <c r="BP63" i="4"/>
  <c r="P117" i="4" s="1"/>
  <c r="P130" i="4" s="1"/>
  <c r="BR57" i="4"/>
  <c r="BR59" i="4" s="1"/>
  <c r="BD28" i="4"/>
  <c r="BD35" i="4" s="1"/>
  <c r="Q79" i="4"/>
  <c r="BS87" i="4"/>
  <c r="Q27" i="4"/>
  <c r="Q28" i="4" s="1"/>
  <c r="BO16" i="4"/>
  <c r="BR34" i="4"/>
  <c r="BO40" i="4"/>
  <c r="M40" i="4"/>
  <c r="S146" i="7"/>
  <c r="BE19" i="4"/>
  <c r="G146" i="7"/>
  <c r="BG40" i="4"/>
  <c r="BG101" i="4" s="1"/>
  <c r="Q16" i="4"/>
  <c r="BP83" i="4"/>
  <c r="P16" i="4"/>
  <c r="C40" i="4"/>
  <c r="BS19" i="4"/>
  <c r="F40" i="4"/>
  <c r="L129" i="4"/>
  <c r="BF28" i="4"/>
  <c r="BF35" i="4" s="1"/>
  <c r="BV32" i="4"/>
  <c r="L146" i="7"/>
  <c r="W16" i="4"/>
  <c r="BD40" i="4"/>
  <c r="F146" i="7"/>
  <c r="BR19" i="4"/>
  <c r="T32" i="4"/>
  <c r="N116" i="4"/>
  <c r="M63" i="4"/>
  <c r="M164" i="4" s="1"/>
  <c r="M179" i="4" s="1"/>
  <c r="BL19" i="4"/>
  <c r="N146" i="7"/>
  <c r="P49" i="4"/>
  <c r="P53" i="4" s="1"/>
  <c r="P160" i="4" s="1"/>
  <c r="T16" i="4"/>
  <c r="BV16" i="4"/>
  <c r="E40" i="4"/>
  <c r="BO104" i="4"/>
  <c r="BN104" i="4"/>
  <c r="F148" i="4"/>
  <c r="BW89" i="4"/>
  <c r="L40" i="4"/>
  <c r="K40" i="4"/>
  <c r="BS97" i="4"/>
  <c r="BN103" i="4"/>
  <c r="BU19" i="4"/>
  <c r="BQ78" i="4"/>
  <c r="BP57" i="4"/>
  <c r="BP59" i="4" s="1"/>
  <c r="E35" i="4"/>
  <c r="BW16" i="4"/>
  <c r="I19" i="4"/>
  <c r="BP103" i="4"/>
  <c r="L19" i="4"/>
  <c r="S72" i="4"/>
  <c r="BN99" i="4"/>
  <c r="BR16" i="4"/>
  <c r="BG19" i="4"/>
  <c r="R40" i="4"/>
  <c r="BX19" i="4"/>
  <c r="BP78" i="4"/>
  <c r="BS16" i="4"/>
  <c r="BK16" i="4"/>
  <c r="BO63" i="4"/>
  <c r="O117" i="4" s="1"/>
  <c r="O130" i="4" s="1"/>
  <c r="BC40" i="4"/>
  <c r="S32" i="4"/>
  <c r="F150" i="4"/>
  <c r="R63" i="4"/>
  <c r="R164" i="4" s="1"/>
  <c r="R179" i="4" s="1"/>
  <c r="BE40" i="4"/>
  <c r="BL57" i="4"/>
  <c r="BL59" i="4" s="1"/>
  <c r="C158" i="7"/>
  <c r="BK32" i="4"/>
  <c r="BV40" i="4"/>
  <c r="BF40" i="4"/>
  <c r="D40" i="4"/>
  <c r="S16" i="4"/>
  <c r="L190" i="7"/>
  <c r="BM57" i="4"/>
  <c r="BM59" i="4" s="1"/>
  <c r="T146" i="8"/>
  <c r="R115" i="4"/>
  <c r="N40" i="4"/>
  <c r="P32" i="4"/>
  <c r="S19" i="4"/>
  <c r="Q63" i="4"/>
  <c r="Q164" i="4" s="1"/>
  <c r="Q179" i="4" s="1"/>
  <c r="L115" i="4"/>
  <c r="L128" i="4" s="1"/>
  <c r="O32" i="4"/>
  <c r="BP16" i="4"/>
  <c r="N49" i="4"/>
  <c r="N53" i="4" s="1"/>
  <c r="N160" i="4" s="1"/>
  <c r="N175" i="4" s="1"/>
  <c r="N32" i="4"/>
  <c r="R32" i="4"/>
  <c r="BV87" i="4"/>
  <c r="BT63" i="4"/>
  <c r="T117" i="4" s="1"/>
  <c r="T130" i="4" s="1"/>
  <c r="BP19" i="4"/>
  <c r="BW83" i="4"/>
  <c r="BO34" i="4"/>
  <c r="I40" i="4"/>
  <c r="BS63" i="4"/>
  <c r="S117" i="4" s="1"/>
  <c r="S130" i="4" s="1"/>
  <c r="F35" i="4"/>
  <c r="G190" i="7"/>
  <c r="BN53" i="4"/>
  <c r="N113" i="4" s="1"/>
  <c r="N76" i="4" s="1"/>
  <c r="BG78" i="4"/>
  <c r="H190" i="7"/>
  <c r="V32" i="4"/>
  <c r="G35" i="4"/>
  <c r="G16" i="4"/>
  <c r="BF19" i="4"/>
  <c r="BU16" i="4"/>
  <c r="F374" i="8"/>
  <c r="O27" i="4"/>
  <c r="J40" i="4"/>
  <c r="P28" i="4"/>
  <c r="D150" i="4"/>
  <c r="D233" i="7"/>
  <c r="C150" i="4"/>
  <c r="BL98" i="4"/>
  <c r="O115" i="4"/>
  <c r="V40" i="4"/>
  <c r="BH78" i="4"/>
  <c r="P146" i="7"/>
  <c r="BQ63" i="4"/>
  <c r="Q117" i="4" s="1"/>
  <c r="BM40" i="4"/>
  <c r="Q32" i="4"/>
  <c r="U40" i="4"/>
  <c r="M59" i="4"/>
  <c r="BJ40" i="4"/>
  <c r="BJ101" i="4" s="1"/>
  <c r="P115" i="4"/>
  <c r="H408" i="7"/>
  <c r="K160" i="4"/>
  <c r="K165" i="4" s="1"/>
  <c r="BL90" i="4"/>
  <c r="BZ32" i="4"/>
  <c r="BQ40" i="4"/>
  <c r="BK40" i="4"/>
  <c r="BK101" i="4" s="1"/>
  <c r="BU83" i="4"/>
  <c r="BV83" i="4"/>
  <c r="E16" i="4"/>
  <c r="H237" i="7"/>
  <c r="K374" i="8"/>
  <c r="BI78" i="4"/>
  <c r="J35" i="4"/>
  <c r="BN57" i="4"/>
  <c r="BN59" i="4" s="1"/>
  <c r="F244" i="8"/>
  <c r="BJ78" i="4"/>
  <c r="M124" i="4"/>
  <c r="BO57" i="4"/>
  <c r="BO59" i="4" s="1"/>
  <c r="Q115" i="4"/>
  <c r="CM133" i="4"/>
  <c r="H40" i="4"/>
  <c r="G40" i="4"/>
  <c r="BH16" i="4"/>
  <c r="J374" i="8"/>
  <c r="H35" i="4"/>
  <c r="BI40" i="4"/>
  <c r="BI101" i="4" s="1"/>
  <c r="BO99" i="4"/>
  <c r="BP34" i="4"/>
  <c r="Q146" i="7"/>
  <c r="BE28" i="4"/>
  <c r="BE35" i="4" s="1"/>
  <c r="BV19" i="4"/>
  <c r="U16" i="4"/>
  <c r="D146" i="7"/>
  <c r="O168" i="4"/>
  <c r="BC28" i="4"/>
  <c r="BC35" i="4" s="1"/>
  <c r="BN34" i="4"/>
  <c r="BU89" i="4"/>
  <c r="BR63" i="4"/>
  <c r="R117" i="4" s="1"/>
  <c r="BQ99" i="4"/>
  <c r="BR89" i="4"/>
  <c r="BG97" i="4"/>
  <c r="BX32" i="4"/>
  <c r="BR78" i="4"/>
  <c r="H213" i="7"/>
  <c r="H219" i="7"/>
  <c r="H211" i="7"/>
  <c r="BJ98" i="4"/>
  <c r="BM98" i="4"/>
  <c r="BJ90" i="4"/>
  <c r="S40" i="4"/>
  <c r="BI19" i="4"/>
  <c r="BM95" i="4"/>
  <c r="BQ34" i="4"/>
  <c r="BS103" i="4"/>
  <c r="BZ19" i="4"/>
  <c r="BM53" i="4"/>
  <c r="BQ57" i="4"/>
  <c r="BQ59" i="4" s="1"/>
  <c r="P168" i="4"/>
  <c r="BS40" i="4"/>
  <c r="G237" i="7"/>
  <c r="Z16" i="4"/>
  <c r="BN78" i="4"/>
  <c r="Z19" i="4"/>
  <c r="BS32" i="4"/>
  <c r="BM78" i="4"/>
  <c r="CL133" i="4"/>
  <c r="BL53" i="4"/>
  <c r="L113" i="4" s="1"/>
  <c r="CK133" i="4"/>
  <c r="B374" i="8"/>
  <c r="BL78" i="4"/>
  <c r="BM104" i="4"/>
  <c r="BR32" i="4"/>
  <c r="R79" i="4"/>
  <c r="BR99" i="4"/>
  <c r="W40" i="4"/>
  <c r="BG90" i="4"/>
  <c r="BG98" i="4"/>
  <c r="M374" i="8"/>
  <c r="Q53" i="4"/>
  <c r="Q160" i="4" s="1"/>
  <c r="Z32" i="4"/>
  <c r="L124" i="4"/>
  <c r="BL104" i="4"/>
  <c r="BQ16" i="4"/>
  <c r="I35" i="4"/>
  <c r="BM90" i="4"/>
  <c r="F245" i="7"/>
  <c r="N178" i="4"/>
  <c r="M178" i="4"/>
  <c r="G408" i="7"/>
  <c r="G202" i="7"/>
  <c r="G205" i="7" s="1"/>
  <c r="G109" i="7" s="1"/>
  <c r="G200" i="8"/>
  <c r="J233" i="7"/>
  <c r="BH98" i="4"/>
  <c r="BH90" i="4"/>
  <c r="BY32" i="4"/>
  <c r="B111" i="9" s="1"/>
  <c r="G111" i="9" s="1"/>
  <c r="BU87" i="4"/>
  <c r="BP28" i="4"/>
  <c r="BT87" i="4"/>
  <c r="BT16" i="4"/>
  <c r="BN19" i="4"/>
  <c r="BT19" i="4"/>
  <c r="K19" i="4"/>
  <c r="BN63" i="4"/>
  <c r="J19" i="4"/>
  <c r="D16" i="4"/>
  <c r="D20" i="4" s="1"/>
  <c r="D24" i="4" s="1"/>
  <c r="H19" i="4"/>
  <c r="G19" i="4"/>
  <c r="H16" i="4"/>
  <c r="F19" i="4"/>
  <c r="K35" i="4"/>
  <c r="U32" i="4"/>
  <c r="T40" i="4"/>
  <c r="Q40" i="4"/>
  <c r="BV84" i="4"/>
  <c r="P40" i="4"/>
  <c r="W57" i="4"/>
  <c r="O40" i="4"/>
  <c r="W161" i="4"/>
  <c r="V19" i="4"/>
  <c r="O178" i="4"/>
  <c r="BL40" i="4"/>
  <c r="BT40" i="4"/>
  <c r="BP89" i="4"/>
  <c r="BR40" i="4"/>
  <c r="E150" i="4"/>
  <c r="D235" i="7"/>
  <c r="D112" i="7" s="1"/>
  <c r="D239" i="8"/>
  <c r="D113" i="8" s="1"/>
  <c r="O418" i="8"/>
  <c r="Q469" i="8"/>
  <c r="L162" i="8"/>
  <c r="C390" i="8"/>
  <c r="S152" i="8"/>
  <c r="F245" i="8"/>
  <c r="F454" i="8"/>
  <c r="F247" i="8"/>
  <c r="F247" i="7"/>
  <c r="E239" i="8"/>
  <c r="E113" i="8" s="1"/>
  <c r="E235" i="7"/>
  <c r="E112" i="7" s="1"/>
  <c r="BY16" i="4"/>
  <c r="BZ16" i="4"/>
  <c r="B235" i="7"/>
  <c r="B112" i="7" s="1"/>
  <c r="B235" i="8"/>
  <c r="B112" i="8" s="1"/>
  <c r="F233" i="8"/>
  <c r="F233" i="7"/>
  <c r="E237" i="8"/>
  <c r="E237" i="7"/>
  <c r="S192" i="8"/>
  <c r="J192" i="8"/>
  <c r="C338" i="8"/>
  <c r="O338" i="8"/>
  <c r="E504" i="8"/>
  <c r="K469" i="8"/>
  <c r="Z455" i="8"/>
  <c r="Y487" i="8"/>
  <c r="Y31" i="8" s="1"/>
  <c r="H456" i="8"/>
  <c r="S454" i="8"/>
  <c r="R339" i="8"/>
  <c r="J353" i="8"/>
  <c r="J204" i="8"/>
  <c r="J159" i="8"/>
  <c r="Z347" i="8"/>
  <c r="G347" i="8"/>
  <c r="C414" i="8"/>
  <c r="D407" i="8"/>
  <c r="W354" i="8"/>
  <c r="C347" i="8"/>
  <c r="D334" i="8"/>
  <c r="N347" i="8"/>
  <c r="I355" i="8"/>
  <c r="R354" i="8"/>
  <c r="Z151" i="8"/>
  <c r="O194" i="8"/>
  <c r="J234" i="8"/>
  <c r="E190" i="8"/>
  <c r="C152" i="8"/>
  <c r="I150" i="8"/>
  <c r="S201" i="8"/>
  <c r="S271" i="8" s="1"/>
  <c r="F170" i="8"/>
  <c r="W487" i="8"/>
  <c r="W31" i="8" s="1"/>
  <c r="N487" i="8"/>
  <c r="N31" i="8" s="1"/>
  <c r="Z468" i="8"/>
  <c r="O455" i="8"/>
  <c r="X469" i="8"/>
  <c r="G408" i="8"/>
  <c r="F408" i="8"/>
  <c r="H455" i="8"/>
  <c r="Z419" i="8"/>
  <c r="B382" i="8"/>
  <c r="J339" i="8"/>
  <c r="W351" i="8"/>
  <c r="B204" i="8"/>
  <c r="B159" i="8"/>
  <c r="F506" i="8"/>
  <c r="C408" i="8"/>
  <c r="E394" i="8"/>
  <c r="G354" i="8"/>
  <c r="W340" i="8"/>
  <c r="W363" i="8" s="1"/>
  <c r="V394" i="8"/>
  <c r="V340" i="8"/>
  <c r="V363" i="8" s="1"/>
  <c r="F190" i="8"/>
  <c r="W353" i="8"/>
  <c r="K353" i="8"/>
  <c r="P151" i="8"/>
  <c r="E194" i="8"/>
  <c r="D233" i="8"/>
  <c r="C193" i="8"/>
  <c r="C263" i="8" s="1"/>
  <c r="K174" i="8"/>
  <c r="R151" i="8"/>
  <c r="N190" i="8"/>
  <c r="S162" i="8"/>
  <c r="R192" i="8"/>
  <c r="K338" i="8"/>
  <c r="E192" i="8"/>
  <c r="W338" i="8"/>
  <c r="N468" i="8"/>
  <c r="B455" i="8"/>
  <c r="L487" i="8"/>
  <c r="L31" i="8" s="1"/>
  <c r="J469" i="8"/>
  <c r="S394" i="8"/>
  <c r="Z394" i="8"/>
  <c r="I454" i="8"/>
  <c r="N419" i="8"/>
  <c r="B339" i="8"/>
  <c r="N351" i="8"/>
  <c r="C202" i="8"/>
  <c r="R468" i="8"/>
  <c r="M468" i="8"/>
  <c r="X394" i="8"/>
  <c r="G382" i="8"/>
  <c r="T353" i="8"/>
  <c r="R174" i="8"/>
  <c r="J347" i="8"/>
  <c r="R351" i="8"/>
  <c r="S215" i="8"/>
  <c r="G151" i="8"/>
  <c r="V174" i="8"/>
  <c r="S193" i="8"/>
  <c r="S263" i="8" s="1"/>
  <c r="U215" i="8"/>
  <c r="P170" i="8"/>
  <c r="F151" i="8"/>
  <c r="K238" i="8"/>
  <c r="C194" i="8"/>
  <c r="S174" i="8"/>
  <c r="E162" i="8"/>
  <c r="Y150" i="8"/>
  <c r="F338" i="8"/>
  <c r="O487" i="8"/>
  <c r="O31" i="8" s="1"/>
  <c r="F487" i="8"/>
  <c r="F31" i="8" s="1"/>
  <c r="D468" i="8"/>
  <c r="P454" i="8"/>
  <c r="V468" i="8"/>
  <c r="K394" i="8"/>
  <c r="R394" i="8"/>
  <c r="W419" i="8"/>
  <c r="B419" i="8"/>
  <c r="X372" i="8"/>
  <c r="X345" i="8" s="1"/>
  <c r="U334" i="8"/>
  <c r="E351" i="8"/>
  <c r="T201" i="8"/>
  <c r="T271" i="8" s="1"/>
  <c r="G455" i="8"/>
  <c r="F455" i="8"/>
  <c r="Z467" i="8"/>
  <c r="G394" i="8"/>
  <c r="D353" i="8"/>
  <c r="M340" i="8"/>
  <c r="M363" i="8" s="1"/>
  <c r="D383" i="8"/>
  <c r="V339" i="8"/>
  <c r="I174" i="8"/>
  <c r="S340" i="8"/>
  <c r="S363" i="8" s="1"/>
  <c r="H215" i="8"/>
  <c r="W150" i="8"/>
  <c r="L174" i="8"/>
  <c r="K215" i="8"/>
  <c r="N174" i="8"/>
  <c r="O162" i="8"/>
  <c r="U150" i="8"/>
  <c r="B234" i="8"/>
  <c r="G193" i="8"/>
  <c r="U170" i="8"/>
  <c r="Z192" i="8"/>
  <c r="S338" i="8"/>
  <c r="M192" i="8"/>
  <c r="S467" i="8"/>
  <c r="B454" i="8"/>
  <c r="D470" i="8"/>
  <c r="D24" i="8" s="1"/>
  <c r="K468" i="8"/>
  <c r="C394" i="8"/>
  <c r="J394" i="8"/>
  <c r="H419" i="8"/>
  <c r="P418" i="8"/>
  <c r="M334" i="8"/>
  <c r="O419" i="8"/>
  <c r="G419" i="8"/>
  <c r="W454" i="8"/>
  <c r="O393" i="8"/>
  <c r="S372" i="8"/>
  <c r="S345" i="8" s="1"/>
  <c r="Y351" i="8"/>
  <c r="H382" i="8"/>
  <c r="R334" i="8"/>
  <c r="T170" i="8"/>
  <c r="G340" i="8"/>
  <c r="G363" i="8" s="1"/>
  <c r="N150" i="8"/>
  <c r="B174" i="8"/>
  <c r="H193" i="8"/>
  <c r="H263" i="8" s="1"/>
  <c r="W204" i="8"/>
  <c r="Q170" i="8"/>
  <c r="K150" i="8"/>
  <c r="G170" i="8"/>
  <c r="P159" i="8"/>
  <c r="I190" i="8"/>
  <c r="K151" i="8"/>
  <c r="N338" i="8"/>
  <c r="H338" i="8"/>
  <c r="G487" i="8"/>
  <c r="G31" i="8" s="1"/>
  <c r="E470" i="8"/>
  <c r="E24" i="8" s="1"/>
  <c r="G467" i="8"/>
  <c r="V419" i="8"/>
  <c r="W467" i="8"/>
  <c r="T393" i="8"/>
  <c r="B394" i="8"/>
  <c r="W418" i="8"/>
  <c r="F418" i="8"/>
  <c r="N372" i="8"/>
  <c r="N345" i="8" s="1"/>
  <c r="E334" i="8"/>
  <c r="R347" i="8"/>
  <c r="L201" i="8"/>
  <c r="L271" i="8" s="1"/>
  <c r="K418" i="8"/>
  <c r="J418" i="8"/>
  <c r="F419" i="8"/>
  <c r="I351" i="8"/>
  <c r="C340" i="8"/>
  <c r="C363" i="8" s="1"/>
  <c r="T372" i="8"/>
  <c r="T345" i="8" s="1"/>
  <c r="V238" i="8"/>
  <c r="J170" i="8"/>
  <c r="N339" i="8"/>
  <c r="T204" i="8"/>
  <c r="E150" i="8"/>
  <c r="X170" i="8"/>
  <c r="M204" i="8"/>
  <c r="B170" i="8"/>
  <c r="Y159" i="8"/>
  <c r="W215" i="8"/>
  <c r="T162" i="8"/>
  <c r="E159" i="8"/>
  <c r="U192" i="8"/>
  <c r="Q456" i="8"/>
  <c r="R469" i="8"/>
  <c r="L467" i="8"/>
  <c r="L393" i="8"/>
  <c r="S393" i="8"/>
  <c r="L418" i="8"/>
  <c r="E505" i="8"/>
  <c r="I347" i="8"/>
  <c r="E409" i="8"/>
  <c r="C409" i="8"/>
  <c r="I418" i="8"/>
  <c r="P355" i="8"/>
  <c r="Q347" i="8"/>
  <c r="M238" i="8"/>
  <c r="Z162" i="8"/>
  <c r="N334" i="8"/>
  <c r="D339" i="8"/>
  <c r="I204" i="8"/>
  <c r="N170" i="8"/>
  <c r="R162" i="8"/>
  <c r="N159" i="8"/>
  <c r="Y204" i="8"/>
  <c r="T174" i="8"/>
  <c r="F162" i="8"/>
  <c r="Q152" i="8"/>
  <c r="D192" i="8"/>
  <c r="V338" i="8"/>
  <c r="P338" i="8"/>
  <c r="F470" i="8"/>
  <c r="F24" i="8" s="1"/>
  <c r="V469" i="8"/>
  <c r="G456" i="8"/>
  <c r="E469" i="8"/>
  <c r="Z456" i="8"/>
  <c r="D393" i="8"/>
  <c r="K393" i="8"/>
  <c r="B418" i="8"/>
  <c r="E372" i="8"/>
  <c r="E345" i="8" s="1"/>
  <c r="E487" i="8"/>
  <c r="E31" i="8" s="1"/>
  <c r="R340" i="8"/>
  <c r="R363" i="8" s="1"/>
  <c r="D201" i="8"/>
  <c r="D271" i="8" s="1"/>
  <c r="B407" i="8"/>
  <c r="N394" i="8"/>
  <c r="B409" i="8"/>
  <c r="F383" i="8"/>
  <c r="Y354" i="8"/>
  <c r="D347" i="8"/>
  <c r="Q339" i="8"/>
  <c r="B372" i="8"/>
  <c r="B345" i="8" s="1"/>
  <c r="D238" i="8"/>
  <c r="Q162" i="8"/>
  <c r="Y372" i="8"/>
  <c r="Y345" i="8" s="1"/>
  <c r="F334" i="8"/>
  <c r="D170" i="8"/>
  <c r="W238" i="8"/>
  <c r="F202" i="8"/>
  <c r="B162" i="8"/>
  <c r="Y152" i="8"/>
  <c r="R238" i="8"/>
  <c r="V201" i="8"/>
  <c r="V271" i="8" s="1"/>
  <c r="D174" i="8"/>
  <c r="M190" i="8"/>
  <c r="K190" i="8"/>
  <c r="N469" i="8"/>
  <c r="V455" i="8"/>
  <c r="Z487" i="8"/>
  <c r="Z31" i="8" s="1"/>
  <c r="S468" i="8"/>
  <c r="O456" i="8"/>
  <c r="C393" i="8"/>
  <c r="D414" i="8"/>
  <c r="T394" i="8"/>
  <c r="P394" i="8"/>
  <c r="V393" i="8"/>
  <c r="I408" i="8"/>
  <c r="J487" i="8"/>
  <c r="J31" i="8" s="1"/>
  <c r="I354" i="8"/>
  <c r="X340" i="8"/>
  <c r="X363" i="8" s="1"/>
  <c r="G339" i="8"/>
  <c r="X234" i="8"/>
  <c r="G162" i="8"/>
  <c r="C241" i="8"/>
  <c r="D202" i="8"/>
  <c r="W162" i="8"/>
  <c r="L238" i="8"/>
  <c r="U201" i="8"/>
  <c r="U271" i="8" s="1"/>
  <c r="N152" i="8"/>
  <c r="I234" i="8"/>
  <c r="V170" i="8"/>
  <c r="Q159" i="8"/>
  <c r="F160" i="8"/>
  <c r="D235" i="8"/>
  <c r="D112" i="8" s="1"/>
  <c r="I192" i="8"/>
  <c r="X338" i="8"/>
  <c r="W469" i="8"/>
  <c r="F469" i="8"/>
  <c r="J455" i="8"/>
  <c r="F468" i="8"/>
  <c r="B456" i="8"/>
  <c r="F409" i="8"/>
  <c r="L394" i="8"/>
  <c r="W355" i="8"/>
  <c r="Y468" i="8"/>
  <c r="H340" i="8"/>
  <c r="H363" i="8" s="1"/>
  <c r="Y194" i="8"/>
  <c r="W393" i="8"/>
  <c r="M394" i="8"/>
  <c r="U353" i="8"/>
  <c r="Q355" i="8"/>
  <c r="O234" i="8"/>
  <c r="U159" i="8"/>
  <c r="H355" i="8"/>
  <c r="J372" i="8"/>
  <c r="J345" i="8" s="1"/>
  <c r="R201" i="8"/>
  <c r="R271" i="8" s="1"/>
  <c r="M162" i="8"/>
  <c r="B238" i="8"/>
  <c r="D152" i="8"/>
  <c r="H194" i="8"/>
  <c r="H170" i="8"/>
  <c r="F159" i="8"/>
  <c r="O469" i="8"/>
  <c r="W468" i="8"/>
  <c r="Y454" i="8"/>
  <c r="M487" i="8"/>
  <c r="M31" i="8" s="1"/>
  <c r="T467" i="8"/>
  <c r="P455" i="8"/>
  <c r="H388" i="8"/>
  <c r="E408" i="8"/>
  <c r="D394" i="8"/>
  <c r="O355" i="8"/>
  <c r="S455" i="8"/>
  <c r="Q194" i="8"/>
  <c r="F393" i="8"/>
  <c r="F384" i="8"/>
  <c r="Q393" i="8"/>
  <c r="P469" i="8"/>
  <c r="E353" i="8"/>
  <c r="N340" i="8"/>
  <c r="N363" i="8" s="1"/>
  <c r="Z354" i="8"/>
  <c r="F234" i="8"/>
  <c r="L159" i="8"/>
  <c r="N353" i="8"/>
  <c r="Z238" i="8"/>
  <c r="C162" i="8"/>
  <c r="Y234" i="8"/>
  <c r="J201" i="8"/>
  <c r="J271" i="8" s="1"/>
  <c r="O159" i="8"/>
  <c r="S151" i="8"/>
  <c r="X215" i="8"/>
  <c r="M193" i="8"/>
  <c r="U162" i="8"/>
  <c r="R152" i="8"/>
  <c r="Q192" i="8"/>
  <c r="D213" i="8"/>
  <c r="L192" i="8"/>
  <c r="G469" i="8"/>
  <c r="O468" i="8"/>
  <c r="O454" i="8"/>
  <c r="F467" i="8"/>
  <c r="C455" i="8"/>
  <c r="F407" i="8"/>
  <c r="U393" i="8"/>
  <c r="G355" i="8"/>
  <c r="Q419" i="8"/>
  <c r="X339" i="8"/>
  <c r="I194" i="8"/>
  <c r="N467" i="8"/>
  <c r="Z351" i="8"/>
  <c r="V372" i="8"/>
  <c r="V345" i="8" s="1"/>
  <c r="M354" i="8"/>
  <c r="C233" i="8"/>
  <c r="C159" i="8"/>
  <c r="B347" i="8"/>
  <c r="Q354" i="8"/>
  <c r="H201" i="8"/>
  <c r="H271" i="8" s="1"/>
  <c r="O238" i="8"/>
  <c r="N234" i="8"/>
  <c r="D159" i="8"/>
  <c r="H151" i="8"/>
  <c r="D204" i="8"/>
  <c r="I162" i="8"/>
  <c r="G152" i="8"/>
  <c r="E235" i="8"/>
  <c r="E112" i="8" s="1"/>
  <c r="C192" i="8"/>
  <c r="X468" i="8"/>
  <c r="G468" i="8"/>
  <c r="C454" i="8"/>
  <c r="B487" i="8"/>
  <c r="B31" i="8" s="1"/>
  <c r="W456" i="8"/>
  <c r="Q454" i="8"/>
  <c r="Y394" i="8"/>
  <c r="M393" i="8"/>
  <c r="X354" i="8"/>
  <c r="R418" i="8"/>
  <c r="O339" i="8"/>
  <c r="Z193" i="8"/>
  <c r="Z263" i="8" s="1"/>
  <c r="G384" i="8"/>
  <c r="E506" i="8"/>
  <c r="F456" i="8"/>
  <c r="J351" i="8"/>
  <c r="D340" i="8"/>
  <c r="D363" i="8" s="1"/>
  <c r="V353" i="8"/>
  <c r="X152" i="8"/>
  <c r="L340" i="8"/>
  <c r="L363" i="8" s="1"/>
  <c r="B353" i="8"/>
  <c r="E238" i="8"/>
  <c r="X238" i="8"/>
  <c r="C234" i="8"/>
  <c r="T194" i="8"/>
  <c r="Z152" i="8"/>
  <c r="V150" i="8"/>
  <c r="W201" i="8"/>
  <c r="W271" i="8" s="1"/>
  <c r="U174" i="8"/>
  <c r="S159" i="8"/>
  <c r="V151" i="8"/>
  <c r="Y192" i="8"/>
  <c r="G192" i="8"/>
  <c r="P468" i="8"/>
  <c r="X467" i="8"/>
  <c r="T419" i="8"/>
  <c r="J456" i="8"/>
  <c r="D454" i="8"/>
  <c r="B384" i="8"/>
  <c r="Q394" i="8"/>
  <c r="E393" i="8"/>
  <c r="P354" i="8"/>
  <c r="C407" i="8"/>
  <c r="F339" i="8"/>
  <c r="Z372" i="8"/>
  <c r="Z345" i="8" s="1"/>
  <c r="F504" i="8"/>
  <c r="G454" i="8"/>
  <c r="I372" i="8"/>
  <c r="I345" i="8" s="1"/>
  <c r="F353" i="8"/>
  <c r="V215" i="8"/>
  <c r="P152" i="8"/>
  <c r="P351" i="8"/>
  <c r="R194" i="8"/>
  <c r="Q234" i="8"/>
  <c r="N238" i="8"/>
  <c r="J194" i="8"/>
  <c r="O152" i="8"/>
  <c r="L150" i="8"/>
  <c r="F174" i="8"/>
  <c r="G159" i="8"/>
  <c r="L151" i="8"/>
  <c r="H468" i="8"/>
  <c r="P467" i="8"/>
  <c r="L419" i="8"/>
  <c r="X455" i="8"/>
  <c r="C383" i="8"/>
  <c r="I394" i="8"/>
  <c r="G390" i="8"/>
  <c r="H354" i="8"/>
  <c r="U394" i="8"/>
  <c r="Z334" i="8"/>
  <c r="R193" i="8"/>
  <c r="D382" i="8"/>
  <c r="Y469" i="8"/>
  <c r="V418" i="8"/>
  <c r="S347" i="8"/>
  <c r="S339" i="8"/>
  <c r="O351" i="8"/>
  <c r="M215" i="8"/>
  <c r="H152" i="8"/>
  <c r="L339" i="8"/>
  <c r="X347" i="8"/>
  <c r="G194" i="8"/>
  <c r="G234" i="8"/>
  <c r="C238" i="8"/>
  <c r="Y215" i="8"/>
  <c r="X193" i="8"/>
  <c r="X263" i="8" s="1"/>
  <c r="E152" i="8"/>
  <c r="K194" i="8"/>
  <c r="W170" i="8"/>
  <c r="T152" i="8"/>
  <c r="B151" i="8"/>
  <c r="D200" i="8"/>
  <c r="T192" i="8"/>
  <c r="E338" i="8"/>
  <c r="O192" i="8"/>
  <c r="Y467" i="8"/>
  <c r="H467" i="8"/>
  <c r="D419" i="8"/>
  <c r="K455" i="8"/>
  <c r="U487" i="8"/>
  <c r="U31" i="8" s="1"/>
  <c r="B383" i="8"/>
  <c r="Z393" i="8"/>
  <c r="Y353" i="8"/>
  <c r="Y393" i="8"/>
  <c r="Q334" i="8"/>
  <c r="P372" i="8"/>
  <c r="P345" i="8" s="1"/>
  <c r="R467" i="8"/>
  <c r="F347" i="8"/>
  <c r="H339" i="8"/>
  <c r="S355" i="8"/>
  <c r="D215" i="8"/>
  <c r="Y151" i="8"/>
  <c r="I334" i="8"/>
  <c r="B340" i="8"/>
  <c r="B363" i="8" s="1"/>
  <c r="V193" i="8"/>
  <c r="V263" i="8" s="1"/>
  <c r="J233" i="8"/>
  <c r="Z234" i="8"/>
  <c r="O215" i="8"/>
  <c r="T151" i="8"/>
  <c r="O193" i="8"/>
  <c r="O263" i="8" s="1"/>
  <c r="I170" i="8"/>
  <c r="I152" i="8"/>
  <c r="P150" i="8"/>
  <c r="Q467" i="8"/>
  <c r="S456" i="8"/>
  <c r="U418" i="8"/>
  <c r="S469" i="8"/>
  <c r="X454" i="8"/>
  <c r="T487" i="8"/>
  <c r="T31" i="8" s="1"/>
  <c r="R393" i="8"/>
  <c r="Q353" i="8"/>
  <c r="G393" i="8"/>
  <c r="H334" i="8"/>
  <c r="J193" i="8"/>
  <c r="J263" i="8" s="1"/>
  <c r="V456" i="8"/>
  <c r="E407" i="8"/>
  <c r="Z340" i="8"/>
  <c r="Z363" i="8" s="1"/>
  <c r="F355" i="8"/>
  <c r="T347" i="8"/>
  <c r="U204" i="8"/>
  <c r="Q151" i="8"/>
  <c r="E383" i="8"/>
  <c r="P234" i="8"/>
  <c r="E215" i="8"/>
  <c r="N193" i="8"/>
  <c r="N263" i="8" s="1"/>
  <c r="J151" i="8"/>
  <c r="T238" i="8"/>
  <c r="V162" i="8"/>
  <c r="W151" i="8"/>
  <c r="F150" i="8"/>
  <c r="H408" i="8"/>
  <c r="C213" i="8"/>
  <c r="B338" i="8"/>
  <c r="M338" i="8"/>
  <c r="W192" i="8"/>
  <c r="I467" i="8"/>
  <c r="K456" i="8"/>
  <c r="M418" i="8"/>
  <c r="H469" i="8"/>
  <c r="K454" i="8"/>
  <c r="C470" i="8"/>
  <c r="C24" i="8" s="1"/>
  <c r="C382" i="8"/>
  <c r="J393" i="8"/>
  <c r="I353" i="8"/>
  <c r="Q372" i="8"/>
  <c r="Q345" i="8" s="1"/>
  <c r="D372" i="8"/>
  <c r="D345" i="8" s="1"/>
  <c r="T454" i="8"/>
  <c r="W394" i="8"/>
  <c r="T334" i="8"/>
  <c r="O354" i="8"/>
  <c r="H347" i="8"/>
  <c r="L204" i="8"/>
  <c r="I151" i="8"/>
  <c r="X334" i="8"/>
  <c r="L193" i="8"/>
  <c r="L263" i="8" s="1"/>
  <c r="Q215" i="8"/>
  <c r="E234" i="8"/>
  <c r="X150" i="8"/>
  <c r="K234" i="8"/>
  <c r="B190" i="8"/>
  <c r="J162" i="8"/>
  <c r="M151" i="8"/>
  <c r="T456" i="8"/>
  <c r="C456" i="8"/>
  <c r="E418" i="8"/>
  <c r="T468" i="8"/>
  <c r="S419" i="8"/>
  <c r="B470" i="8"/>
  <c r="B24" i="8" s="1"/>
  <c r="W372" i="8"/>
  <c r="W345" i="8" s="1"/>
  <c r="B393" i="8"/>
  <c r="C384" i="8"/>
  <c r="S351" i="8"/>
  <c r="Y238" i="8"/>
  <c r="B193" i="8"/>
  <c r="B263" i="8" s="1"/>
  <c r="E419" i="8"/>
  <c r="F394" i="8"/>
  <c r="O340" i="8"/>
  <c r="O363" i="8" s="1"/>
  <c r="J334" i="8"/>
  <c r="X353" i="8"/>
  <c r="P340" i="8"/>
  <c r="P363" i="8" s="1"/>
  <c r="C204" i="8"/>
  <c r="Z150" i="8"/>
  <c r="U372" i="8"/>
  <c r="U345" i="8" s="1"/>
  <c r="C334" i="8"/>
  <c r="G215" i="8"/>
  <c r="P204" i="8"/>
  <c r="D193" i="8"/>
  <c r="D263" i="8" s="1"/>
  <c r="M150" i="8"/>
  <c r="E204" i="8"/>
  <c r="Y174" i="8"/>
  <c r="C151" i="8"/>
  <c r="H192" i="8"/>
  <c r="J338" i="8"/>
  <c r="U338" i="8"/>
  <c r="L456" i="8"/>
  <c r="T455" i="8"/>
  <c r="I468" i="8"/>
  <c r="J419" i="8"/>
  <c r="D469" i="8"/>
  <c r="K487" i="8"/>
  <c r="K31" i="8" s="1"/>
  <c r="K351" i="8"/>
  <c r="Q238" i="8"/>
  <c r="F372" i="8"/>
  <c r="F345" i="8" s="1"/>
  <c r="U355" i="8"/>
  <c r="G418" i="8"/>
  <c r="N393" i="8"/>
  <c r="E384" i="8"/>
  <c r="L353" i="8"/>
  <c r="Y201" i="8"/>
  <c r="Y271" i="8" s="1"/>
  <c r="R150" i="8"/>
  <c r="I382" i="8"/>
  <c r="W174" i="8"/>
  <c r="P215" i="8"/>
  <c r="F204" i="8"/>
  <c r="C150" i="8"/>
  <c r="E202" i="8"/>
  <c r="G174" i="8"/>
  <c r="T159" i="8"/>
  <c r="Q150" i="8"/>
  <c r="V234" i="8"/>
  <c r="I338" i="8"/>
  <c r="D456" i="8"/>
  <c r="L455" i="8"/>
  <c r="P487" i="8"/>
  <c r="P31" i="8" s="1"/>
  <c r="U467" i="8"/>
  <c r="Z418" i="8"/>
  <c r="E468" i="8"/>
  <c r="C469" i="8"/>
  <c r="O372" i="8"/>
  <c r="O345" i="8" s="1"/>
  <c r="C351" i="8"/>
  <c r="E382" i="8"/>
  <c r="I238" i="8"/>
  <c r="D190" i="8"/>
  <c r="L355" i="8"/>
  <c r="D408" i="8"/>
  <c r="E340" i="8"/>
  <c r="E363" i="8" s="1"/>
  <c r="L372" i="8"/>
  <c r="L345" i="8" s="1"/>
  <c r="Q351" i="8"/>
  <c r="F340" i="8"/>
  <c r="F363" i="8" s="1"/>
  <c r="J150" i="8"/>
  <c r="B355" i="8"/>
  <c r="C372" i="8"/>
  <c r="C345" i="8" s="1"/>
  <c r="M174" i="8"/>
  <c r="S204" i="8"/>
  <c r="F215" i="8"/>
  <c r="X201" i="8"/>
  <c r="X271" i="8" s="1"/>
  <c r="Z174" i="8"/>
  <c r="L194" i="8"/>
  <c r="Z170" i="8"/>
  <c r="H159" i="8"/>
  <c r="G150" i="8"/>
  <c r="L215" i="8"/>
  <c r="P192" i="8"/>
  <c r="R338" i="8"/>
  <c r="U455" i="8"/>
  <c r="D455" i="8"/>
  <c r="J467" i="8"/>
  <c r="Q418" i="8"/>
  <c r="E467" i="8"/>
  <c r="C468" i="8"/>
  <c r="Q468" i="8"/>
  <c r="R372" i="8"/>
  <c r="R345" i="8" s="1"/>
  <c r="T234" i="8"/>
  <c r="X174" i="8"/>
  <c r="V355" i="8"/>
  <c r="C355" i="8"/>
  <c r="H394" i="8"/>
  <c r="W347" i="8"/>
  <c r="P201" i="8"/>
  <c r="P271" i="8" s="1"/>
  <c r="B150" i="8"/>
  <c r="M353" i="8"/>
  <c r="C174" i="8"/>
  <c r="H204" i="8"/>
  <c r="O174" i="8"/>
  <c r="E241" i="8"/>
  <c r="P193" i="8"/>
  <c r="P263" i="8" s="1"/>
  <c r="L170" i="8"/>
  <c r="U152" i="8"/>
  <c r="O204" i="8"/>
  <c r="F192" i="8"/>
  <c r="Q338" i="8"/>
  <c r="M455" i="8"/>
  <c r="U454" i="8"/>
  <c r="C487" i="8"/>
  <c r="C31" i="8" s="1"/>
  <c r="X456" i="8"/>
  <c r="H418" i="8"/>
  <c r="P456" i="8"/>
  <c r="D467" i="8"/>
  <c r="G372" i="8"/>
  <c r="G345" i="8" s="1"/>
  <c r="W455" i="8"/>
  <c r="U347" i="8"/>
  <c r="L234" i="8"/>
  <c r="P174" i="8"/>
  <c r="M355" i="8"/>
  <c r="S354" i="8"/>
  <c r="P393" i="8"/>
  <c r="T339" i="8"/>
  <c r="Z355" i="8"/>
  <c r="K347" i="8"/>
  <c r="U339" i="8"/>
  <c r="T351" i="8"/>
  <c r="Y355" i="8"/>
  <c r="Y170" i="8"/>
  <c r="B202" i="8"/>
  <c r="Q204" i="8"/>
  <c r="N201" i="8"/>
  <c r="N271" i="8" s="1"/>
  <c r="E174" i="8"/>
  <c r="U238" i="8"/>
  <c r="K162" i="8"/>
  <c r="K152" i="8"/>
  <c r="X192" i="8"/>
  <c r="Z338" i="8"/>
  <c r="E455" i="8"/>
  <c r="M454" i="8"/>
  <c r="M456" i="8"/>
  <c r="Q455" i="8"/>
  <c r="I456" i="8"/>
  <c r="P419" i="8"/>
  <c r="M347" i="8"/>
  <c r="H372" i="8"/>
  <c r="H345" i="8" s="1"/>
  <c r="D234" i="8"/>
  <c r="H174" i="8"/>
  <c r="D355" i="8"/>
  <c r="J354" i="8"/>
  <c r="F505" i="8"/>
  <c r="I339" i="8"/>
  <c r="J355" i="8"/>
  <c r="T340" i="8"/>
  <c r="T363" i="8" s="1"/>
  <c r="K339" i="8"/>
  <c r="G201" i="8"/>
  <c r="G271" i="8" s="1"/>
  <c r="K340" i="8"/>
  <c r="K363" i="8" s="1"/>
  <c r="N354" i="8"/>
  <c r="O170" i="8"/>
  <c r="Q201" i="8"/>
  <c r="Q271" i="8" s="1"/>
  <c r="G204" i="8"/>
  <c r="F241" i="8"/>
  <c r="M234" i="8"/>
  <c r="C190" i="8"/>
  <c r="X151" i="8"/>
  <c r="G238" i="8"/>
  <c r="K201" i="8"/>
  <c r="K271" i="8" s="1"/>
  <c r="N192" i="8"/>
  <c r="Y338" i="8"/>
  <c r="V454" i="8"/>
  <c r="E454" i="8"/>
  <c r="T469" i="8"/>
  <c r="Y455" i="8"/>
  <c r="R454" i="8"/>
  <c r="I455" i="8"/>
  <c r="S418" i="8"/>
  <c r="E347" i="8"/>
  <c r="E233" i="8"/>
  <c r="S170" i="8"/>
  <c r="T354" i="8"/>
  <c r="Z353" i="8"/>
  <c r="D384" i="8"/>
  <c r="H487" i="8"/>
  <c r="H31" i="8" s="1"/>
  <c r="V334" i="8"/>
  <c r="V354" i="8"/>
  <c r="G351" i="8"/>
  <c r="E170" i="8"/>
  <c r="C201" i="8"/>
  <c r="C271" i="8" s="1"/>
  <c r="S234" i="8"/>
  <c r="C215" i="8"/>
  <c r="J174" i="8"/>
  <c r="V159" i="8"/>
  <c r="N151" i="8"/>
  <c r="W234" i="8"/>
  <c r="N454" i="8"/>
  <c r="I469" i="8"/>
  <c r="N455" i="8"/>
  <c r="D409" i="8"/>
  <c r="Y419" i="8"/>
  <c r="J454" i="8"/>
  <c r="X487" i="8"/>
  <c r="X31" i="8" s="1"/>
  <c r="Y340" i="8"/>
  <c r="Y363" i="8" s="1"/>
  <c r="X355" i="8"/>
  <c r="Z215" i="8"/>
  <c r="K170" i="8"/>
  <c r="K354" i="8"/>
  <c r="P353" i="8"/>
  <c r="D506" i="8"/>
  <c r="K334" i="8"/>
  <c r="F354" i="8"/>
  <c r="J340" i="8"/>
  <c r="J363" i="8" s="1"/>
  <c r="W334" i="8"/>
  <c r="V194" i="8"/>
  <c r="R355" i="8"/>
  <c r="E339" i="8"/>
  <c r="V347" i="8"/>
  <c r="Y162" i="8"/>
  <c r="F201" i="8"/>
  <c r="F271" i="8" s="1"/>
  <c r="Z201" i="8"/>
  <c r="Z271" i="8" s="1"/>
  <c r="I215" i="8"/>
  <c r="K204" i="8"/>
  <c r="M170" i="8"/>
  <c r="I159" i="8"/>
  <c r="D151" i="8"/>
  <c r="N215" i="8"/>
  <c r="W194" i="8"/>
  <c r="J408" i="8"/>
  <c r="C504" i="8"/>
  <c r="X418" i="8"/>
  <c r="C354" i="8"/>
  <c r="M469" i="8"/>
  <c r="T193" i="8"/>
  <c r="T263" i="8" s="1"/>
  <c r="V152" i="8"/>
  <c r="S487" i="8"/>
  <c r="S31" i="8" s="1"/>
  <c r="N418" i="8"/>
  <c r="S353" i="8"/>
  <c r="B467" i="8"/>
  <c r="I193" i="8"/>
  <c r="I263" i="8" s="1"/>
  <c r="L152" i="8"/>
  <c r="C418" i="8"/>
  <c r="R215" i="8"/>
  <c r="E456" i="8"/>
  <c r="K193" i="8"/>
  <c r="B152" i="8"/>
  <c r="I487" i="8"/>
  <c r="I31" i="8" s="1"/>
  <c r="J215" i="8"/>
  <c r="R419" i="8"/>
  <c r="O201" i="8"/>
  <c r="O271" i="8" s="1"/>
  <c r="O151" i="8"/>
  <c r="R487" i="8"/>
  <c r="R31" i="8" s="1"/>
  <c r="B215" i="8"/>
  <c r="T418" i="8"/>
  <c r="D354" i="8"/>
  <c r="E151" i="8"/>
  <c r="V192" i="8"/>
  <c r="U469" i="8"/>
  <c r="L347" i="8"/>
  <c r="E201" i="8"/>
  <c r="E271" i="8" s="1"/>
  <c r="T150" i="8"/>
  <c r="U468" i="8"/>
  <c r="Z469" i="8"/>
  <c r="Z204" i="8"/>
  <c r="I393" i="8"/>
  <c r="U340" i="8"/>
  <c r="U363" i="8" s="1"/>
  <c r="S150" i="8"/>
  <c r="J468" i="8"/>
  <c r="B469" i="8"/>
  <c r="R204" i="8"/>
  <c r="M384" i="8"/>
  <c r="Z194" i="8"/>
  <c r="H150" i="8"/>
  <c r="V467" i="8"/>
  <c r="B468" i="8"/>
  <c r="C170" i="8"/>
  <c r="F382" i="8"/>
  <c r="P339" i="8"/>
  <c r="X194" i="8"/>
  <c r="K467" i="8"/>
  <c r="C467" i="8"/>
  <c r="X162" i="8"/>
  <c r="M372" i="8"/>
  <c r="M345" i="8" s="1"/>
  <c r="P334" i="8"/>
  <c r="N194" i="8"/>
  <c r="J238" i="8"/>
  <c r="G338" i="8"/>
  <c r="Y456" i="8"/>
  <c r="P162" i="8"/>
  <c r="G334" i="8"/>
  <c r="B241" i="8"/>
  <c r="T215" i="8"/>
  <c r="N456" i="8"/>
  <c r="L469" i="8"/>
  <c r="H162" i="8"/>
  <c r="K355" i="8"/>
  <c r="D241" i="8"/>
  <c r="S238" i="8"/>
  <c r="X204" i="8"/>
  <c r="Z454" i="8"/>
  <c r="L468" i="8"/>
  <c r="Z159" i="8"/>
  <c r="O353" i="8"/>
  <c r="H238" i="8"/>
  <c r="V204" i="8"/>
  <c r="L454" i="8"/>
  <c r="M467" i="8"/>
  <c r="R159" i="8"/>
  <c r="C353" i="8"/>
  <c r="U234" i="8"/>
  <c r="U419" i="8"/>
  <c r="R456" i="8"/>
  <c r="B354" i="8"/>
  <c r="X351" i="8"/>
  <c r="K372" i="8"/>
  <c r="K345" i="8" s="1"/>
  <c r="N204" i="8"/>
  <c r="M201" i="8"/>
  <c r="M271" i="8" s="1"/>
  <c r="B192" i="8"/>
  <c r="K419" i="8"/>
  <c r="R455" i="8"/>
  <c r="R353" i="8"/>
  <c r="H351" i="8"/>
  <c r="H202" i="8"/>
  <c r="B408" i="8"/>
  <c r="H353" i="8"/>
  <c r="Y339" i="8"/>
  <c r="I201" i="8"/>
  <c r="I271" i="8" s="1"/>
  <c r="B194" i="8"/>
  <c r="O394" i="8"/>
  <c r="V351" i="8"/>
  <c r="O347" i="8"/>
  <c r="S334" i="8"/>
  <c r="F193" i="8"/>
  <c r="F263" i="8" s="1"/>
  <c r="K237" i="8"/>
  <c r="D338" i="8"/>
  <c r="X393" i="8"/>
  <c r="M351" i="8"/>
  <c r="P238" i="8"/>
  <c r="U194" i="8"/>
  <c r="Y193" i="8"/>
  <c r="Y263" i="8" s="1"/>
  <c r="H213" i="8"/>
  <c r="B505" i="8"/>
  <c r="H393" i="8"/>
  <c r="D351" i="8"/>
  <c r="W339" i="8"/>
  <c r="F238" i="8"/>
  <c r="W193" i="8"/>
  <c r="W263" i="8" s="1"/>
  <c r="L338" i="8"/>
  <c r="B504" i="8"/>
  <c r="G353" i="8"/>
  <c r="M339" i="8"/>
  <c r="R234" i="8"/>
  <c r="G202" i="8"/>
  <c r="E193" i="8"/>
  <c r="E263" i="8" s="1"/>
  <c r="O150" i="8"/>
  <c r="D150" i="8"/>
  <c r="Q487" i="8"/>
  <c r="Q31" i="8" s="1"/>
  <c r="U351" i="8"/>
  <c r="C339" i="8"/>
  <c r="H234" i="8"/>
  <c r="B201" i="8"/>
  <c r="B271" i="8" s="1"/>
  <c r="K192" i="8"/>
  <c r="T338" i="8"/>
  <c r="U151" i="8"/>
  <c r="L351" i="8"/>
  <c r="Y334" i="8"/>
  <c r="N162" i="8"/>
  <c r="Q174" i="8"/>
  <c r="D487" i="8"/>
  <c r="D31" i="8" s="1"/>
  <c r="Q340" i="8"/>
  <c r="Q363" i="8" s="1"/>
  <c r="B351" i="8"/>
  <c r="O334" i="8"/>
  <c r="D162" i="8"/>
  <c r="S194" i="8"/>
  <c r="R170" i="8"/>
  <c r="C506" i="8"/>
  <c r="M419" i="8"/>
  <c r="Y347" i="8"/>
  <c r="L334" i="8"/>
  <c r="W159" i="8"/>
  <c r="Q193" i="8"/>
  <c r="Q263" i="8" s="1"/>
  <c r="C237" i="8"/>
  <c r="D505" i="8"/>
  <c r="Y418" i="8"/>
  <c r="I340" i="8"/>
  <c r="I363" i="8" s="1"/>
  <c r="P347" i="8"/>
  <c r="B334" i="8"/>
  <c r="M159" i="8"/>
  <c r="F152" i="8"/>
  <c r="D418" i="8"/>
  <c r="Z339" i="8"/>
  <c r="O467" i="8"/>
  <c r="T355" i="8"/>
  <c r="J152" i="8"/>
  <c r="B506" i="8"/>
  <c r="N355" i="8"/>
  <c r="U456" i="8"/>
  <c r="E354" i="8"/>
  <c r="X159" i="8"/>
  <c r="C505" i="8"/>
  <c r="E355" i="8"/>
  <c r="H454" i="8"/>
  <c r="F351" i="8"/>
  <c r="P194" i="8"/>
  <c r="K159" i="8"/>
  <c r="E213" i="8"/>
  <c r="D504" i="8"/>
  <c r="X419" i="8"/>
  <c r="U354" i="8"/>
  <c r="C419" i="8"/>
  <c r="M194" i="8"/>
  <c r="F194" i="8"/>
  <c r="W152" i="8"/>
  <c r="D237" i="8"/>
  <c r="B237" i="8"/>
  <c r="B213" i="8"/>
  <c r="V487" i="8"/>
  <c r="V31" i="8" s="1"/>
  <c r="I419" i="8"/>
  <c r="L354" i="8"/>
  <c r="D194" i="8"/>
  <c r="U193" i="8"/>
  <c r="U263" i="8" s="1"/>
  <c r="M152" i="8"/>
  <c r="M172" i="4"/>
  <c r="P57" i="4"/>
  <c r="P59" i="4" s="1"/>
  <c r="P162" i="4"/>
  <c r="P34" i="4"/>
  <c r="P384" i="7"/>
  <c r="P384" i="8"/>
  <c r="BG95" i="4"/>
  <c r="BM19" i="4"/>
  <c r="L384" i="8"/>
  <c r="P178" i="4"/>
  <c r="BO68" i="4"/>
  <c r="BO28" i="4"/>
  <c r="B233" i="8"/>
  <c r="B233" i="7"/>
  <c r="Q57" i="4"/>
  <c r="Q59" i="4" s="1"/>
  <c r="Q34" i="4"/>
  <c r="Q162" i="4"/>
  <c r="S116" i="4"/>
  <c r="S79" i="4"/>
  <c r="BS99" i="4"/>
  <c r="O57" i="4"/>
  <c r="O59" i="4" s="1"/>
  <c r="O34" i="4"/>
  <c r="O162" i="4"/>
  <c r="BG16" i="4"/>
  <c r="BN16" i="4"/>
  <c r="P129" i="4"/>
  <c r="M382" i="8"/>
  <c r="M382" i="7"/>
  <c r="U79" i="4"/>
  <c r="BU99" i="4"/>
  <c r="O129" i="4"/>
  <c r="BQ104" i="4"/>
  <c r="BQ95" i="4"/>
  <c r="BQ53" i="4"/>
  <c r="CP133" i="4"/>
  <c r="Q72" i="4"/>
  <c r="BQ84" i="4"/>
  <c r="BQ89" i="4"/>
  <c r="N124" i="4"/>
  <c r="C235" i="8"/>
  <c r="C112" i="8" s="1"/>
  <c r="C235" i="7"/>
  <c r="C112" i="7" s="1"/>
  <c r="BP53" i="4"/>
  <c r="BP95" i="4"/>
  <c r="CO133" i="4"/>
  <c r="BO89" i="4"/>
  <c r="BO83" i="4"/>
  <c r="C160" i="8"/>
  <c r="BO53" i="4"/>
  <c r="BO95" i="4"/>
  <c r="U19" i="4"/>
  <c r="L130" i="4"/>
  <c r="BV78" i="4"/>
  <c r="BV89" i="4"/>
  <c r="BV79" i="4"/>
  <c r="W162" i="4"/>
  <c r="W34" i="4"/>
  <c r="H202" i="7"/>
  <c r="H205" i="7" s="1"/>
  <c r="H109" i="7" s="1"/>
  <c r="M116" i="4"/>
  <c r="BM99" i="4"/>
  <c r="BU78" i="4"/>
  <c r="BU79" i="4"/>
  <c r="M115" i="4"/>
  <c r="BT78" i="4"/>
  <c r="BT89" i="4"/>
  <c r="E160" i="8"/>
  <c r="BO78" i="4"/>
  <c r="BO32" i="4"/>
  <c r="AL123" i="2"/>
  <c r="BS79" i="4"/>
  <c r="BS89" i="4"/>
  <c r="BS78" i="4"/>
  <c r="W63" i="4"/>
  <c r="W164" i="4" s="1"/>
  <c r="W179" i="4" s="1"/>
  <c r="B348" i="7"/>
  <c r="B348" i="8"/>
  <c r="BP32" i="4"/>
  <c r="V16" i="4"/>
  <c r="BQ83" i="4"/>
  <c r="BQ32" i="4"/>
  <c r="N128" i="4"/>
  <c r="J384" i="7"/>
  <c r="J384" i="8"/>
  <c r="Q87" i="4"/>
  <c r="T85" i="4"/>
  <c r="K384" i="7"/>
  <c r="K384" i="8"/>
  <c r="BI32" i="4"/>
  <c r="K76" i="4" l="1"/>
  <c r="BF35" i="5"/>
  <c r="DS300" i="5"/>
  <c r="DS301" i="5" s="1"/>
  <c r="DS302" i="5" s="1"/>
  <c r="FB35" i="5"/>
  <c r="CK35" i="5"/>
  <c r="ES300" i="5"/>
  <c r="ES301" i="5" s="1"/>
  <c r="ES302" i="5" s="1"/>
  <c r="AL126" i="2"/>
  <c r="AL127" i="2" s="1"/>
  <c r="Y37" i="9"/>
  <c r="N39" i="9"/>
  <c r="N40" i="9" s="1"/>
  <c r="D440" i="7"/>
  <c r="Z440" i="7"/>
  <c r="C245" i="7"/>
  <c r="D247" i="8"/>
  <c r="B244" i="7"/>
  <c r="B282" i="7" s="1"/>
  <c r="K247" i="7"/>
  <c r="J245" i="7"/>
  <c r="I213" i="7"/>
  <c r="K388" i="7"/>
  <c r="K390" i="7"/>
  <c r="I244" i="8"/>
  <c r="I247" i="7"/>
  <c r="L389" i="7"/>
  <c r="G413" i="7"/>
  <c r="G433" i="7" s="1"/>
  <c r="J390" i="7"/>
  <c r="H415" i="7"/>
  <c r="H435" i="7" s="1"/>
  <c r="G213" i="8"/>
  <c r="B440" i="7"/>
  <c r="N440" i="7"/>
  <c r="L440" i="7"/>
  <c r="R440" i="7"/>
  <c r="F410" i="7"/>
  <c r="F308" i="7" s="1"/>
  <c r="F29" i="7" s="1"/>
  <c r="X440" i="7"/>
  <c r="F414" i="8"/>
  <c r="E414" i="8"/>
  <c r="P36" i="9"/>
  <c r="X36" i="9" s="1"/>
  <c r="DH300" i="5"/>
  <c r="DH301" i="5" s="1"/>
  <c r="DH302" i="5" s="1"/>
  <c r="FW43" i="5"/>
  <c r="I389" i="8"/>
  <c r="O39" i="9"/>
  <c r="D390" i="8"/>
  <c r="D391" i="8" s="1"/>
  <c r="B389" i="8"/>
  <c r="B434" i="8" s="1"/>
  <c r="D388" i="7"/>
  <c r="B414" i="7"/>
  <c r="B434" i="7" s="1"/>
  <c r="C200" i="8"/>
  <c r="C270" i="8" s="1"/>
  <c r="C272" i="8" s="1"/>
  <c r="C212" i="8"/>
  <c r="BT300" i="5"/>
  <c r="BT301" i="5" s="1"/>
  <c r="BT302" i="5" s="1"/>
  <c r="CR300" i="5"/>
  <c r="CR301" i="5" s="1"/>
  <c r="CR302" i="5" s="1"/>
  <c r="DF300" i="5"/>
  <c r="DF301" i="5" s="1"/>
  <c r="DF302" i="5" s="1"/>
  <c r="FD300" i="5"/>
  <c r="FD301" i="5" s="1"/>
  <c r="FD302" i="5" s="1"/>
  <c r="DY35" i="5"/>
  <c r="K73" i="5"/>
  <c r="K75" i="5" s="1"/>
  <c r="P73" i="5"/>
  <c r="P78" i="5" s="1"/>
  <c r="BN35" i="5"/>
  <c r="BQ300" i="5"/>
  <c r="BQ301" i="5" s="1"/>
  <c r="BQ302" i="5" s="1"/>
  <c r="BB300" i="5"/>
  <c r="BB301" i="5" s="1"/>
  <c r="BB302" i="5" s="1"/>
  <c r="CV35" i="5"/>
  <c r="EO35" i="5"/>
  <c r="BQ57" i="5"/>
  <c r="FJ35" i="5"/>
  <c r="AX300" i="5"/>
  <c r="AX301" i="5" s="1"/>
  <c r="AX302" i="5" s="1"/>
  <c r="DW300" i="5"/>
  <c r="DW301" i="5" s="1"/>
  <c r="DW302" i="5" s="1"/>
  <c r="FT43" i="5"/>
  <c r="FT300" i="5"/>
  <c r="FT301" i="5" s="1"/>
  <c r="FT302" i="5" s="1"/>
  <c r="AR57" i="5"/>
  <c r="FF35" i="5"/>
  <c r="CQ35" i="5"/>
  <c r="BK300" i="5"/>
  <c r="BK301" i="5" s="1"/>
  <c r="BK302" i="5" s="1"/>
  <c r="ED300" i="5"/>
  <c r="ED301" i="5" s="1"/>
  <c r="ED302" i="5" s="1"/>
  <c r="ET300" i="5"/>
  <c r="ET301" i="5" s="1"/>
  <c r="ET302" i="5" s="1"/>
  <c r="BG35" i="5"/>
  <c r="BZ57" i="5"/>
  <c r="BZ59" i="5" s="1"/>
  <c r="I37" i="9" s="1"/>
  <c r="I36" i="9" s="1"/>
  <c r="I39" i="9" s="1"/>
  <c r="I84" i="9" s="1"/>
  <c r="BH300" i="5"/>
  <c r="BH301" i="5" s="1"/>
  <c r="BH302" i="5" s="1"/>
  <c r="BX35" i="5"/>
  <c r="FS35" i="5"/>
  <c r="EK35" i="5"/>
  <c r="CO300" i="5"/>
  <c r="CO301" i="5" s="1"/>
  <c r="CO302" i="5" s="1"/>
  <c r="AZ300" i="5"/>
  <c r="AZ301" i="5" s="1"/>
  <c r="AZ302" i="5" s="1"/>
  <c r="EZ35" i="5"/>
  <c r="FS21" i="5"/>
  <c r="FS43" i="5"/>
  <c r="L172" i="4"/>
  <c r="AS57" i="5"/>
  <c r="AS59" i="5" s="1"/>
  <c r="DX300" i="5"/>
  <c r="DX301" i="5" s="1"/>
  <c r="DX302" i="5" s="1"/>
  <c r="BE57" i="5"/>
  <c r="BE59" i="5" s="1"/>
  <c r="FI35" i="5"/>
  <c r="DA35" i="5"/>
  <c r="CJ300" i="5"/>
  <c r="CJ301" i="5" s="1"/>
  <c r="CJ302" i="5" s="1"/>
  <c r="EF35" i="5"/>
  <c r="DP300" i="5"/>
  <c r="DP301" i="5" s="1"/>
  <c r="DP302" i="5" s="1"/>
  <c r="CF35" i="5"/>
  <c r="DL35" i="5"/>
  <c r="FQ43" i="5"/>
  <c r="K142" i="4"/>
  <c r="D270" i="7"/>
  <c r="D272" i="7" s="1"/>
  <c r="D275" i="7" s="1"/>
  <c r="F117" i="7"/>
  <c r="E117" i="7"/>
  <c r="C430" i="7"/>
  <c r="C117" i="7"/>
  <c r="D211" i="8"/>
  <c r="CZ35" i="5"/>
  <c r="BT57" i="5"/>
  <c r="BT59" i="5" s="1"/>
  <c r="C37" i="9" s="1"/>
  <c r="C36" i="9" s="1"/>
  <c r="C39" i="9" s="1"/>
  <c r="C84" i="9" s="1"/>
  <c r="BP300" i="5"/>
  <c r="BP301" i="5" s="1"/>
  <c r="BP302" i="5" s="1"/>
  <c r="FA35" i="5"/>
  <c r="CX35" i="5"/>
  <c r="BZ300" i="5"/>
  <c r="BZ301" i="5" s="1"/>
  <c r="BZ302" i="5" s="1"/>
  <c r="BI300" i="5"/>
  <c r="BI301" i="5" s="1"/>
  <c r="BI302" i="5" s="1"/>
  <c r="DB35" i="5"/>
  <c r="FT35" i="5"/>
  <c r="DI35" i="5"/>
  <c r="DR35" i="5"/>
  <c r="BM57" i="5"/>
  <c r="EC300" i="5"/>
  <c r="EC301" i="5" s="1"/>
  <c r="EC302" i="5" s="1"/>
  <c r="CM300" i="5"/>
  <c r="CM301" i="5" s="1"/>
  <c r="CM302" i="5" s="1"/>
  <c r="EU300" i="5"/>
  <c r="EU301" i="5" s="1"/>
  <c r="EU302" i="5" s="1"/>
  <c r="EK300" i="5"/>
  <c r="EK301" i="5" s="1"/>
  <c r="EK302" i="5" s="1"/>
  <c r="AV57" i="5"/>
  <c r="AV59" i="5" s="1"/>
  <c r="EU35" i="5"/>
  <c r="BD57" i="5"/>
  <c r="BD59" i="5" s="1"/>
  <c r="AX57" i="5"/>
  <c r="AX59" i="5" s="1"/>
  <c r="BN57" i="5"/>
  <c r="BN59" i="5" s="1"/>
  <c r="DJ35" i="5"/>
  <c r="BU35" i="5"/>
  <c r="CP300" i="5"/>
  <c r="CP301" i="5" s="1"/>
  <c r="CP302" i="5" s="1"/>
  <c r="EW35" i="5"/>
  <c r="BA57" i="5"/>
  <c r="BA59" i="5" s="1"/>
  <c r="F78" i="5"/>
  <c r="EB35" i="5"/>
  <c r="BY35" i="5"/>
  <c r="BL300" i="5"/>
  <c r="BL301" i="5" s="1"/>
  <c r="BL302" i="5" s="1"/>
  <c r="CE300" i="5"/>
  <c r="CE301" i="5" s="1"/>
  <c r="CE302" i="5" s="1"/>
  <c r="CW300" i="5"/>
  <c r="CW301" i="5" s="1"/>
  <c r="CW302" i="5" s="1"/>
  <c r="BJ35" i="5"/>
  <c r="BO57" i="5"/>
  <c r="BO59" i="5" s="1"/>
  <c r="AM57" i="5"/>
  <c r="AM59" i="5" s="1"/>
  <c r="FY20" i="5"/>
  <c r="P61" i="5"/>
  <c r="P60" i="5"/>
  <c r="EA35" i="5"/>
  <c r="DQ35" i="5"/>
  <c r="CB35" i="5"/>
  <c r="FE35" i="5"/>
  <c r="BC300" i="5"/>
  <c r="BC301" i="5" s="1"/>
  <c r="BC302" i="5" s="1"/>
  <c r="FX21" i="5"/>
  <c r="FS300" i="5"/>
  <c r="FS301" i="5" s="1"/>
  <c r="FS302" i="5" s="1"/>
  <c r="DC35" i="5"/>
  <c r="FC300" i="5"/>
  <c r="FC301" i="5" s="1"/>
  <c r="FC302" i="5" s="1"/>
  <c r="CA35" i="5"/>
  <c r="CG35" i="5"/>
  <c r="BY57" i="5"/>
  <c r="BY59" i="5" s="1"/>
  <c r="H37" i="9" s="1"/>
  <c r="H36" i="9" s="1"/>
  <c r="H39" i="9" s="1"/>
  <c r="H84" i="9" s="1"/>
  <c r="EI35" i="5"/>
  <c r="BR57" i="5"/>
  <c r="BR59" i="5" s="1"/>
  <c r="BG57" i="5"/>
  <c r="BG59" i="5" s="1"/>
  <c r="BP57" i="5"/>
  <c r="BP59" i="5" s="1"/>
  <c r="ER300" i="5"/>
  <c r="ER301" i="5" s="1"/>
  <c r="ER302" i="5" s="1"/>
  <c r="CT35" i="5"/>
  <c r="BL57" i="5"/>
  <c r="EG35" i="5"/>
  <c r="EN35" i="5"/>
  <c r="BD300" i="5"/>
  <c r="BD301" i="5" s="1"/>
  <c r="BD302" i="5" s="1"/>
  <c r="FL300" i="5"/>
  <c r="FL301" i="5" s="1"/>
  <c r="FL302" i="5" s="1"/>
  <c r="DT300" i="5"/>
  <c r="DT301" i="5" s="1"/>
  <c r="DT302" i="5" s="1"/>
  <c r="DV300" i="5"/>
  <c r="DV301" i="5" s="1"/>
  <c r="DV302" i="5" s="1"/>
  <c r="AP57" i="5"/>
  <c r="AP59" i="5" s="1"/>
  <c r="BW57" i="5"/>
  <c r="CU35" i="5"/>
  <c r="DU35" i="5"/>
  <c r="DG300" i="5"/>
  <c r="DG301" i="5" s="1"/>
  <c r="DG302" i="5" s="1"/>
  <c r="EQ300" i="5"/>
  <c r="EQ301" i="5" s="1"/>
  <c r="EQ302" i="5" s="1"/>
  <c r="EH300" i="5"/>
  <c r="EH301" i="5" s="1"/>
  <c r="EH302" i="5" s="1"/>
  <c r="FH35" i="5"/>
  <c r="BS57" i="5"/>
  <c r="BS59" i="5" s="1"/>
  <c r="B37" i="9" s="1"/>
  <c r="AN57" i="5"/>
  <c r="AN59" i="5" s="1"/>
  <c r="BX57" i="5"/>
  <c r="BX59" i="5" s="1"/>
  <c r="G37" i="9" s="1"/>
  <c r="G36" i="9" s="1"/>
  <c r="G39" i="9" s="1"/>
  <c r="G84" i="9" s="1"/>
  <c r="BF57" i="5"/>
  <c r="BF59" i="5" s="1"/>
  <c r="AZ57" i="5"/>
  <c r="CC35" i="5"/>
  <c r="BU57" i="5"/>
  <c r="BU59" i="5" s="1"/>
  <c r="D37" i="9" s="1"/>
  <c r="D36" i="9" s="1"/>
  <c r="D39" i="9" s="1"/>
  <c r="D84" i="9" s="1"/>
  <c r="BE300" i="5"/>
  <c r="BE301" i="5" s="1"/>
  <c r="BE302" i="5" s="1"/>
  <c r="AT57" i="5"/>
  <c r="AT59" i="5" s="1"/>
  <c r="BV35" i="5"/>
  <c r="BO35" i="5"/>
  <c r="CL35" i="5"/>
  <c r="FG35" i="5"/>
  <c r="BA300" i="5"/>
  <c r="BA301" i="5" s="1"/>
  <c r="BA302" i="5" s="1"/>
  <c r="AU57" i="5"/>
  <c r="AU59" i="5" s="1"/>
  <c r="AW57" i="5"/>
  <c r="AW59" i="5" s="1"/>
  <c r="BS300" i="5"/>
  <c r="BS301" i="5" s="1"/>
  <c r="BS302" i="5" s="1"/>
  <c r="AO57" i="5"/>
  <c r="AY57" i="5"/>
  <c r="AY59" i="5" s="1"/>
  <c r="BR300" i="5"/>
  <c r="BR301" i="5" s="1"/>
  <c r="BR302" i="5" s="1"/>
  <c r="DM300" i="5"/>
  <c r="DM301" i="5" s="1"/>
  <c r="DM302" i="5" s="1"/>
  <c r="BW300" i="5"/>
  <c r="BW301" i="5" s="1"/>
  <c r="BW302" i="5" s="1"/>
  <c r="EX300" i="5"/>
  <c r="EX301" i="5" s="1"/>
  <c r="EX302" i="5" s="1"/>
  <c r="DD300" i="5"/>
  <c r="DD301" i="5" s="1"/>
  <c r="DD302" i="5" s="1"/>
  <c r="DE300" i="5"/>
  <c r="DE301" i="5" s="1"/>
  <c r="DE302" i="5" s="1"/>
  <c r="FK300" i="5"/>
  <c r="FK301" i="5" s="1"/>
  <c r="FK302" i="5" s="1"/>
  <c r="CD300" i="5"/>
  <c r="CD301" i="5" s="1"/>
  <c r="CD302" i="5" s="1"/>
  <c r="M78" i="5"/>
  <c r="BI57" i="5"/>
  <c r="DO35" i="5"/>
  <c r="BC57" i="5"/>
  <c r="BC59" i="5" s="1"/>
  <c r="BK57" i="5"/>
  <c r="BV57" i="5"/>
  <c r="BV59" i="5" s="1"/>
  <c r="E37" i="9" s="1"/>
  <c r="E36" i="9" s="1"/>
  <c r="E39" i="9" s="1"/>
  <c r="E84" i="9" s="1"/>
  <c r="BJ57" i="5"/>
  <c r="BB57" i="5"/>
  <c r="EP300" i="5"/>
  <c r="EP301" i="5" s="1"/>
  <c r="EP302" i="5" s="1"/>
  <c r="AY300" i="5"/>
  <c r="AY301" i="5" s="1"/>
  <c r="AY302" i="5" s="1"/>
  <c r="AQ57" i="5"/>
  <c r="AQ59" i="5" s="1"/>
  <c r="AV33" i="5"/>
  <c r="AV300" i="5" s="1"/>
  <c r="AV301" i="5" s="1"/>
  <c r="AV302" i="5" s="1"/>
  <c r="AI33" i="5"/>
  <c r="AI300" i="5" s="1"/>
  <c r="AI301" i="5" s="1"/>
  <c r="AI302" i="5" s="1"/>
  <c r="AN33" i="5"/>
  <c r="AN300" i="5" s="1"/>
  <c r="AN301" i="5" s="1"/>
  <c r="AN302" i="5" s="1"/>
  <c r="AJ33" i="5"/>
  <c r="AJ35" i="5" s="1"/>
  <c r="EY35" i="5"/>
  <c r="CS35" i="5"/>
  <c r="EP35" i="5"/>
  <c r="AR33" i="5"/>
  <c r="AR35" i="5" s="1"/>
  <c r="AL33" i="5"/>
  <c r="AL35" i="5" s="1"/>
  <c r="AQ33" i="5"/>
  <c r="AQ35" i="5" s="1"/>
  <c r="AW33" i="5"/>
  <c r="AW35" i="5" s="1"/>
  <c r="AU33" i="5"/>
  <c r="AU35" i="5" s="1"/>
  <c r="FP49" i="5"/>
  <c r="W33" i="5"/>
  <c r="W300" i="5" s="1"/>
  <c r="W301" i="5" s="1"/>
  <c r="W302" i="5" s="1"/>
  <c r="CN35" i="5"/>
  <c r="AK33" i="5"/>
  <c r="AK35" i="5" s="1"/>
  <c r="AH33" i="5"/>
  <c r="AH35" i="5" s="1"/>
  <c r="AG33" i="5"/>
  <c r="AG300" i="5" s="1"/>
  <c r="AG301" i="5" s="1"/>
  <c r="AG302" i="5" s="1"/>
  <c r="AT33" i="5"/>
  <c r="AT300" i="5" s="1"/>
  <c r="AT301" i="5" s="1"/>
  <c r="AT302" i="5" s="1"/>
  <c r="DK33" i="5"/>
  <c r="DK35" i="5" s="1"/>
  <c r="AM33" i="5"/>
  <c r="AM35" i="5" s="1"/>
  <c r="AP33" i="5"/>
  <c r="AP300" i="5" s="1"/>
  <c r="AP301" i="5" s="1"/>
  <c r="AP302" i="5" s="1"/>
  <c r="AO33" i="5"/>
  <c r="AO300" i="5" s="1"/>
  <c r="AO301" i="5" s="1"/>
  <c r="AO302" i="5" s="1"/>
  <c r="AF33" i="5"/>
  <c r="AF35" i="5" s="1"/>
  <c r="AS33" i="5"/>
  <c r="AS300" i="5" s="1"/>
  <c r="AS301" i="5" s="1"/>
  <c r="AS302" i="5" s="1"/>
  <c r="AA35" i="5"/>
  <c r="F250" i="5"/>
  <c r="C75" i="5"/>
  <c r="C77" i="5" s="1"/>
  <c r="AH26" i="5"/>
  <c r="AH42" i="5"/>
  <c r="AD35" i="5"/>
  <c r="AR59" i="5"/>
  <c r="N26" i="5"/>
  <c r="N42" i="5"/>
  <c r="U35" i="5"/>
  <c r="BQ59" i="5"/>
  <c r="BM59" i="5"/>
  <c r="BI181" i="5"/>
  <c r="X295" i="5"/>
  <c r="X296" i="5" s="1"/>
  <c r="X297" i="5" s="1"/>
  <c r="X42" i="5"/>
  <c r="K77" i="5"/>
  <c r="Y35" i="5"/>
  <c r="AB57" i="5"/>
  <c r="T300" i="5"/>
  <c r="T301" i="5" s="1"/>
  <c r="T302" i="5" s="1"/>
  <c r="O75" i="5"/>
  <c r="O77" i="5" s="1"/>
  <c r="AJ181" i="5"/>
  <c r="K67" i="5"/>
  <c r="K68" i="5" s="1"/>
  <c r="N35" i="5"/>
  <c r="AF57" i="5"/>
  <c r="D247" i="5"/>
  <c r="AB300" i="5"/>
  <c r="AB301" i="5" s="1"/>
  <c r="AB302" i="5" s="1"/>
  <c r="AE57" i="5"/>
  <c r="C389" i="8"/>
  <c r="C434" i="8" s="1"/>
  <c r="K382" i="8"/>
  <c r="K382" i="7"/>
  <c r="FY300" i="5"/>
  <c r="FY301" i="5" s="1"/>
  <c r="FY302" i="5" s="1"/>
  <c r="G160" i="8"/>
  <c r="G163" i="8" s="1"/>
  <c r="G105" i="8" s="1"/>
  <c r="G409" i="7"/>
  <c r="G429" i="7" s="1"/>
  <c r="G241" i="7"/>
  <c r="K241" i="8"/>
  <c r="H407" i="7"/>
  <c r="H427" i="7" s="1"/>
  <c r="L335" i="8"/>
  <c r="L362" i="8" s="1"/>
  <c r="L364" i="8" s="1"/>
  <c r="B335" i="8"/>
  <c r="B362" i="8" s="1"/>
  <c r="B364" i="8" s="1"/>
  <c r="M383" i="7"/>
  <c r="I409" i="7"/>
  <c r="L383" i="7"/>
  <c r="H241" i="7"/>
  <c r="H160" i="8"/>
  <c r="H163" i="8" s="1"/>
  <c r="H105" i="8" s="1"/>
  <c r="G348" i="8"/>
  <c r="G346" i="8" s="1"/>
  <c r="G344" i="8" s="1"/>
  <c r="N335" i="7"/>
  <c r="N362" i="7" s="1"/>
  <c r="N364" i="7" s="1"/>
  <c r="I415" i="8"/>
  <c r="C348" i="8"/>
  <c r="C367" i="8" s="1"/>
  <c r="I241" i="7"/>
  <c r="I384" i="7"/>
  <c r="J160" i="7"/>
  <c r="J163" i="7" s="1"/>
  <c r="J105" i="7" s="1"/>
  <c r="G407" i="7"/>
  <c r="G427" i="7" s="1"/>
  <c r="M158" i="7"/>
  <c r="H348" i="8"/>
  <c r="H346" i="8" s="1"/>
  <c r="H344" i="8" s="1"/>
  <c r="K335" i="8"/>
  <c r="K362" i="8" s="1"/>
  <c r="K364" i="8" s="1"/>
  <c r="J241" i="7"/>
  <c r="H409" i="7"/>
  <c r="K408" i="7"/>
  <c r="D160" i="7"/>
  <c r="D163" i="7" s="1"/>
  <c r="D105" i="7" s="1"/>
  <c r="D117" i="7" s="1"/>
  <c r="D160" i="8"/>
  <c r="D163" i="8" s="1"/>
  <c r="D105" i="8" s="1"/>
  <c r="E200" i="8"/>
  <c r="E270" i="8" s="1"/>
  <c r="E272" i="8" s="1"/>
  <c r="N295" i="5"/>
  <c r="N296" i="5" s="1"/>
  <c r="N297" i="5" s="1"/>
  <c r="E270" i="7"/>
  <c r="E272" i="7" s="1"/>
  <c r="E275" i="7" s="1"/>
  <c r="BE127" i="2"/>
  <c r="E440" i="7"/>
  <c r="F440" i="7"/>
  <c r="AN63" i="2"/>
  <c r="E146" i="8"/>
  <c r="C388" i="8"/>
  <c r="AC35" i="5"/>
  <c r="P20" i="4"/>
  <c r="P24" i="4" s="1"/>
  <c r="AN206" i="2"/>
  <c r="BB210" i="2"/>
  <c r="P300" i="5"/>
  <c r="P301" i="5" s="1"/>
  <c r="P302" i="5" s="1"/>
  <c r="F226" i="5"/>
  <c r="FY35" i="5"/>
  <c r="E73" i="5"/>
  <c r="E75" i="5" s="1"/>
  <c r="E229" i="5"/>
  <c r="E235" i="5" s="1"/>
  <c r="E247" i="5" s="1"/>
  <c r="BD157" i="5"/>
  <c r="BD160" i="5"/>
  <c r="H78" i="5"/>
  <c r="FO33" i="5"/>
  <c r="D73" i="5"/>
  <c r="D75" i="5" s="1"/>
  <c r="D77" i="5" s="1"/>
  <c r="FX33" i="5"/>
  <c r="CD57" i="5" s="1"/>
  <c r="Z61" i="2"/>
  <c r="BB411" i="2"/>
  <c r="S300" i="5"/>
  <c r="S301" i="5" s="1"/>
  <c r="S302" i="5" s="1"/>
  <c r="BB380" i="2"/>
  <c r="BB405" i="2" s="1"/>
  <c r="BB371" i="2"/>
  <c r="BF233" i="2"/>
  <c r="AJ60" i="2"/>
  <c r="AP233" i="2"/>
  <c r="BA120" i="2"/>
  <c r="BB65" i="2"/>
  <c r="BB66" i="2" s="1"/>
  <c r="AN10" i="2"/>
  <c r="AN23" i="2" s="1"/>
  <c r="AN24" i="2" s="1"/>
  <c r="AT199" i="2"/>
  <c r="BA397" i="2"/>
  <c r="AM233" i="2"/>
  <c r="AZ206" i="2"/>
  <c r="BA10" i="2"/>
  <c r="BA23" i="2" s="1"/>
  <c r="O61" i="2"/>
  <c r="BB385" i="2"/>
  <c r="BB410" i="2" s="1"/>
  <c r="K408" i="8"/>
  <c r="AB183" i="2"/>
  <c r="AU60" i="2"/>
  <c r="AQ74" i="2"/>
  <c r="BD183" i="2"/>
  <c r="BD210" i="2" s="1"/>
  <c r="BG23" i="2"/>
  <c r="AV397" i="2"/>
  <c r="BL47" i="2"/>
  <c r="BK158" i="2"/>
  <c r="M440" i="7"/>
  <c r="AJ163" i="5"/>
  <c r="AR183" i="2"/>
  <c r="AR184" i="2" s="1"/>
  <c r="F430" i="7"/>
  <c r="BA210" i="2"/>
  <c r="AH295" i="5"/>
  <c r="AH296" i="5" s="1"/>
  <c r="AH297" i="5" s="1"/>
  <c r="AU233" i="2"/>
  <c r="AH233" i="2"/>
  <c r="AA24" i="2"/>
  <c r="BA184" i="2"/>
  <c r="F213" i="8"/>
  <c r="BB60" i="2"/>
  <c r="BB416" i="2"/>
  <c r="E236" i="5"/>
  <c r="E248" i="5" s="1"/>
  <c r="C270" i="7"/>
  <c r="C272" i="7" s="1"/>
  <c r="C275" i="7" s="1"/>
  <c r="DL59" i="2"/>
  <c r="EI61" i="2"/>
  <c r="DL61" i="2"/>
  <c r="BB151" i="2"/>
  <c r="CH28" i="2"/>
  <c r="AQ10" i="2"/>
  <c r="AQ23" i="2" s="1"/>
  <c r="BC24" i="2" s="1"/>
  <c r="T61" i="2"/>
  <c r="AB61" i="2"/>
  <c r="AL233" i="2"/>
  <c r="M160" i="7"/>
  <c r="M163" i="7" s="1"/>
  <c r="M105" i="7" s="1"/>
  <c r="BC345" i="2"/>
  <c r="BC347" i="2" s="1"/>
  <c r="BB158" i="2"/>
  <c r="S440" i="7"/>
  <c r="AX151" i="2"/>
  <c r="C440" i="7"/>
  <c r="R35" i="5"/>
  <c r="FU300" i="5"/>
  <c r="FU301" i="5" s="1"/>
  <c r="FU302" i="5" s="1"/>
  <c r="FU35" i="5"/>
  <c r="BM296" i="5"/>
  <c r="BM297" i="5" s="1"/>
  <c r="FP35" i="5"/>
  <c r="FP300" i="5"/>
  <c r="FP301" i="5" s="1"/>
  <c r="FP302" i="5" s="1"/>
  <c r="FN35" i="5"/>
  <c r="FN300" i="5"/>
  <c r="FN301" i="5" s="1"/>
  <c r="FN302" i="5" s="1"/>
  <c r="U26" i="5"/>
  <c r="U295" i="5"/>
  <c r="U296" i="5" s="1"/>
  <c r="U297" i="5" s="1"/>
  <c r="AM26" i="5"/>
  <c r="AM295" i="5"/>
  <c r="AM296" i="5" s="1"/>
  <c r="AM297" i="5" s="1"/>
  <c r="V35" i="5"/>
  <c r="V300" i="5"/>
  <c r="V301" i="5" s="1"/>
  <c r="V302" i="5" s="1"/>
  <c r="V26" i="5"/>
  <c r="V295" i="5"/>
  <c r="V296" i="5" s="1"/>
  <c r="V297" i="5" s="1"/>
  <c r="AP26" i="5"/>
  <c r="AP295" i="5"/>
  <c r="AP296" i="5" s="1"/>
  <c r="AP297" i="5" s="1"/>
  <c r="Z35" i="5"/>
  <c r="Z300" i="5"/>
  <c r="Z301" i="5" s="1"/>
  <c r="Z302" i="5" s="1"/>
  <c r="M26" i="5"/>
  <c r="M295" i="5"/>
  <c r="M296" i="5" s="1"/>
  <c r="M297" i="5" s="1"/>
  <c r="L26" i="5"/>
  <c r="L295" i="5"/>
  <c r="L296" i="5" s="1"/>
  <c r="L297" i="5" s="1"/>
  <c r="FW300" i="5"/>
  <c r="Q26" i="5"/>
  <c r="Q295" i="5"/>
  <c r="Q296" i="5" s="1"/>
  <c r="Q297" i="5" s="1"/>
  <c r="Q35" i="5"/>
  <c r="Q300" i="5"/>
  <c r="Q301" i="5" s="1"/>
  <c r="Q302" i="5" s="1"/>
  <c r="FQ35" i="5"/>
  <c r="FQ300" i="5"/>
  <c r="FQ301" i="5" s="1"/>
  <c r="FQ302" i="5" s="1"/>
  <c r="R26" i="5"/>
  <c r="R295" i="5"/>
  <c r="R296" i="5" s="1"/>
  <c r="R297" i="5" s="1"/>
  <c r="FR35" i="5"/>
  <c r="FR300" i="5"/>
  <c r="FR301" i="5" s="1"/>
  <c r="FR302" i="5" s="1"/>
  <c r="T26" i="5"/>
  <c r="T295" i="5"/>
  <c r="T296" i="5" s="1"/>
  <c r="T297" i="5" s="1"/>
  <c r="AE35" i="5"/>
  <c r="AE300" i="5"/>
  <c r="AE301" i="5" s="1"/>
  <c r="AE302" i="5" s="1"/>
  <c r="S26" i="5"/>
  <c r="S295" i="5"/>
  <c r="S296" i="5" s="1"/>
  <c r="S297" i="5" s="1"/>
  <c r="AC57" i="5"/>
  <c r="AQ26" i="5"/>
  <c r="AQ295" i="5"/>
  <c r="AQ296" i="5" s="1"/>
  <c r="AQ297" i="5" s="1"/>
  <c r="P26" i="5"/>
  <c r="P295" i="5"/>
  <c r="P296" i="5" s="1"/>
  <c r="P297" i="5" s="1"/>
  <c r="X35" i="5"/>
  <c r="FV33" i="5"/>
  <c r="W26" i="5"/>
  <c r="W295" i="5"/>
  <c r="W296" i="5" s="1"/>
  <c r="W297" i="5" s="1"/>
  <c r="BO547" i="2"/>
  <c r="BO537" i="2"/>
  <c r="BO540" i="2"/>
  <c r="BO541" i="2"/>
  <c r="BO552" i="2"/>
  <c r="D430" i="7"/>
  <c r="BO535" i="2"/>
  <c r="K440" i="7"/>
  <c r="Q440" i="7"/>
  <c r="AT347" i="2"/>
  <c r="AT9" i="2"/>
  <c r="Q61" i="2"/>
  <c r="AL210" i="2"/>
  <c r="BJ204" i="2"/>
  <c r="CH25" i="2"/>
  <c r="AL60" i="2"/>
  <c r="AX525" i="2"/>
  <c r="BG55" i="2"/>
  <c r="BG206" i="2" s="1"/>
  <c r="B232" i="5"/>
  <c r="BT69" i="4" s="1"/>
  <c r="AT233" i="2"/>
  <c r="AV60" i="2"/>
  <c r="D232" i="5"/>
  <c r="BV69" i="4" s="1"/>
  <c r="Z233" i="2"/>
  <c r="B312" i="7"/>
  <c r="AA366" i="7"/>
  <c r="DL62" i="2"/>
  <c r="BB185" i="2"/>
  <c r="D238" i="5"/>
  <c r="K78" i="5" s="1"/>
  <c r="AX187" i="2"/>
  <c r="AL23" i="5"/>
  <c r="AL25" i="5" s="1"/>
  <c r="AL42" i="5" s="1"/>
  <c r="AX121" i="2"/>
  <c r="AX134" i="2" s="1"/>
  <c r="AX185" i="2" s="1"/>
  <c r="M33" i="5"/>
  <c r="AC60" i="2"/>
  <c r="J440" i="7"/>
  <c r="AM59" i="2"/>
  <c r="AM60" i="2" s="1"/>
  <c r="S61" i="2"/>
  <c r="BF63" i="2"/>
  <c r="BF198" i="2"/>
  <c r="BF75" i="2"/>
  <c r="R146" i="8"/>
  <c r="AB24" i="2"/>
  <c r="BO538" i="2"/>
  <c r="AK183" i="2"/>
  <c r="AK210" i="2" s="1"/>
  <c r="AK206" i="2"/>
  <c r="BO543" i="2"/>
  <c r="Y440" i="7"/>
  <c r="AZ372" i="2"/>
  <c r="AZ397" i="2" s="1"/>
  <c r="BO397" i="2" s="1"/>
  <c r="AZ120" i="2"/>
  <c r="BL204" i="2"/>
  <c r="BL55" i="2"/>
  <c r="BL206" i="2" s="1"/>
  <c r="AG24" i="2"/>
  <c r="AO233" i="2"/>
  <c r="BK196" i="2"/>
  <c r="BK46" i="2"/>
  <c r="BK197" i="2" s="1"/>
  <c r="E158" i="8"/>
  <c r="BO255" i="2"/>
  <c r="N61" i="2"/>
  <c r="BO548" i="2"/>
  <c r="AD233" i="2"/>
  <c r="AS233" i="2"/>
  <c r="BO549" i="2"/>
  <c r="AU199" i="2"/>
  <c r="AR120" i="2"/>
  <c r="AR121" i="2" s="1"/>
  <c r="O23" i="5"/>
  <c r="O25" i="5" s="1"/>
  <c r="O42" i="5" s="1"/>
  <c r="AA144" i="2"/>
  <c r="AS151" i="2"/>
  <c r="BO551" i="2"/>
  <c r="V440" i="7"/>
  <c r="AW183" i="2"/>
  <c r="BI184" i="2" s="1"/>
  <c r="BA151" i="2"/>
  <c r="M20" i="4"/>
  <c r="M24" i="4" s="1"/>
  <c r="M42" i="4" s="1"/>
  <c r="AQ24" i="2"/>
  <c r="AO59" i="2"/>
  <c r="AO210" i="2" s="1"/>
  <c r="AQ233" i="2"/>
  <c r="AM183" i="2"/>
  <c r="AB187" i="2"/>
  <c r="AB144" i="2"/>
  <c r="AQ63" i="2"/>
  <c r="AQ66" i="2"/>
  <c r="G238" i="5"/>
  <c r="N78" i="5" s="1"/>
  <c r="BD134" i="2"/>
  <c r="BD151" i="2"/>
  <c r="AQ120" i="2"/>
  <c r="AQ187" i="2" s="1"/>
  <c r="EV5" i="2"/>
  <c r="BD150" i="2"/>
  <c r="BF55" i="2"/>
  <c r="BF206" i="2" s="1"/>
  <c r="AJ210" i="2"/>
  <c r="DL63" i="2"/>
  <c r="AX206" i="2"/>
  <c r="P61" i="2"/>
  <c r="H440" i="7"/>
  <c r="AR199" i="2"/>
  <c r="AW526" i="2"/>
  <c r="AW525" i="2" s="1"/>
  <c r="DL66" i="2"/>
  <c r="AV422" i="2"/>
  <c r="BA361" i="2"/>
  <c r="BA358" i="2"/>
  <c r="BA357" i="2"/>
  <c r="BA365" i="2"/>
  <c r="BO559" i="2"/>
  <c r="BO556" i="2"/>
  <c r="E430" i="7"/>
  <c r="BJ158" i="2"/>
  <c r="BO545" i="2"/>
  <c r="BO550" i="2"/>
  <c r="ER17" i="2"/>
  <c r="BB61" i="2"/>
  <c r="BF184" i="2"/>
  <c r="AF24" i="2"/>
  <c r="BO555" i="2"/>
  <c r="EH61" i="2"/>
  <c r="B43" i="7"/>
  <c r="BO560" i="2"/>
  <c r="BC60" i="2"/>
  <c r="I409" i="8"/>
  <c r="Q130" i="4"/>
  <c r="AN24" i="5"/>
  <c r="BO557" i="2"/>
  <c r="B430" i="7"/>
  <c r="BO536" i="2"/>
  <c r="AG206" i="2"/>
  <c r="BE233" i="2"/>
  <c r="AA233" i="2"/>
  <c r="DL60" i="2"/>
  <c r="I373" i="8"/>
  <c r="I352" i="8" s="1"/>
  <c r="I356" i="8" s="1"/>
  <c r="F158" i="8"/>
  <c r="F348" i="8"/>
  <c r="F346" i="8" s="1"/>
  <c r="F344" i="8" s="1"/>
  <c r="C212" i="7"/>
  <c r="BL20" i="4"/>
  <c r="BL94" i="4" s="1"/>
  <c r="AX233" i="2"/>
  <c r="BO246" i="2"/>
  <c r="BO544" i="2"/>
  <c r="AZ526" i="2"/>
  <c r="AZ525" i="2" s="1"/>
  <c r="BO539" i="2"/>
  <c r="BE151" i="2"/>
  <c r="BE134" i="2"/>
  <c r="AZ233" i="2"/>
  <c r="C232" i="5"/>
  <c r="BU69" i="4" s="1"/>
  <c r="BO254" i="2"/>
  <c r="BO249" i="2"/>
  <c r="AQ183" i="2"/>
  <c r="AQ184" i="2" s="1"/>
  <c r="AQ206" i="2"/>
  <c r="ER56" i="2"/>
  <c r="ER61" i="2" s="1"/>
  <c r="EV55" i="2" s="1"/>
  <c r="ER49" i="2"/>
  <c r="ET40" i="2"/>
  <c r="ES7" i="2" s="1"/>
  <c r="EV7" i="2" s="1"/>
  <c r="AN74" i="2"/>
  <c r="AN120" i="2"/>
  <c r="AN68" i="2"/>
  <c r="B238" i="5"/>
  <c r="F200" i="8"/>
  <c r="F270" i="8" s="1"/>
  <c r="F272" i="8" s="1"/>
  <c r="J190" i="8"/>
  <c r="F270" i="7"/>
  <c r="F272" i="7" s="1"/>
  <c r="F275" i="7" s="1"/>
  <c r="AA479" i="7"/>
  <c r="K233" i="2"/>
  <c r="BO242" i="2"/>
  <c r="BO248" i="2"/>
  <c r="BA525" i="2"/>
  <c r="AM24" i="2"/>
  <c r="AA61" i="2"/>
  <c r="AS59" i="2"/>
  <c r="AS210" i="2" s="1"/>
  <c r="AM74" i="2"/>
  <c r="AM68" i="2"/>
  <c r="AM120" i="2"/>
  <c r="BO253" i="2"/>
  <c r="BO558" i="2"/>
  <c r="BO542" i="2"/>
  <c r="AR68" i="2"/>
  <c r="BO553" i="2"/>
  <c r="BO554" i="2"/>
  <c r="BO546" i="2"/>
  <c r="BO534" i="2"/>
  <c r="BE59" i="2"/>
  <c r="BD525" i="2"/>
  <c r="BO240" i="2"/>
  <c r="AD24" i="2"/>
  <c r="AY206" i="2"/>
  <c r="CB57" i="5"/>
  <c r="AU127" i="2"/>
  <c r="AU151" i="2" s="1"/>
  <c r="AZ59" i="2"/>
  <c r="BB526" i="2"/>
  <c r="BB525" i="2" s="1"/>
  <c r="AS206" i="2"/>
  <c r="W440" i="7"/>
  <c r="C238" i="5"/>
  <c r="BO261" i="2"/>
  <c r="AI206" i="2"/>
  <c r="AI183" i="2"/>
  <c r="AI210" i="2" s="1"/>
  <c r="V171" i="2"/>
  <c r="K24" i="5"/>
  <c r="AP183" i="2"/>
  <c r="AP199" i="2"/>
  <c r="BG47" i="2"/>
  <c r="BI47" i="2"/>
  <c r="AZ187" i="2"/>
  <c r="AZ172" i="2"/>
  <c r="AZ198" i="2"/>
  <c r="AQ39" i="2"/>
  <c r="AO38" i="2"/>
  <c r="AO35" i="2"/>
  <c r="AO36" i="2" s="1"/>
  <c r="AN34" i="2"/>
  <c r="BV90" i="4"/>
  <c r="G373" i="8"/>
  <c r="G352" i="8" s="1"/>
  <c r="G356" i="8" s="1"/>
  <c r="S146" i="8"/>
  <c r="AA477" i="8"/>
  <c r="U146" i="7"/>
  <c r="E348" i="8"/>
  <c r="E346" i="8" s="1"/>
  <c r="E344" i="8" s="1"/>
  <c r="Q20" i="4"/>
  <c r="Q24" i="4" s="1"/>
  <c r="BJ20" i="4"/>
  <c r="BJ94" i="4" s="1"/>
  <c r="C435" i="7"/>
  <c r="B270" i="7"/>
  <c r="B272" i="7" s="1"/>
  <c r="B275" i="7" s="1"/>
  <c r="B212" i="8"/>
  <c r="C434" i="7"/>
  <c r="D219" i="8"/>
  <c r="AY526" i="2"/>
  <c r="AY525" i="2" s="1"/>
  <c r="BO442" i="2"/>
  <c r="BO452" i="2"/>
  <c r="BO437" i="2"/>
  <c r="BO431" i="2"/>
  <c r="BO453" i="2"/>
  <c r="BO434" i="2"/>
  <c r="BO450" i="2"/>
  <c r="BO448" i="2"/>
  <c r="BO430" i="2"/>
  <c r="BO449" i="2"/>
  <c r="BO444" i="2"/>
  <c r="BO454" i="2"/>
  <c r="BO443" i="2"/>
  <c r="BO435" i="2"/>
  <c r="BO455" i="2"/>
  <c r="BO457" i="2"/>
  <c r="BO440" i="2"/>
  <c r="BO451" i="2"/>
  <c r="BO433" i="2"/>
  <c r="BO441" i="2"/>
  <c r="BO438" i="2"/>
  <c r="BO447" i="2"/>
  <c r="BO439" i="2"/>
  <c r="BO436" i="2"/>
  <c r="BO432" i="2"/>
  <c r="BO446" i="2"/>
  <c r="BO445" i="2"/>
  <c r="C413" i="8"/>
  <c r="AA395" i="7"/>
  <c r="AA438" i="7"/>
  <c r="BC387" i="2"/>
  <c r="BC412" i="2" s="1"/>
  <c r="BC392" i="2"/>
  <c r="BC417" i="2" s="1"/>
  <c r="BC386" i="2"/>
  <c r="BC411" i="2" s="1"/>
  <c r="BC385" i="2"/>
  <c r="BC410" i="2" s="1"/>
  <c r="BC391" i="2"/>
  <c r="BC395" i="2"/>
  <c r="BC384" i="2"/>
  <c r="BC409" i="2" s="1"/>
  <c r="BC380" i="2"/>
  <c r="BC405" i="2" s="1"/>
  <c r="BC394" i="2"/>
  <c r="BC419" i="2" s="1"/>
  <c r="BC383" i="2"/>
  <c r="BC408" i="2" s="1"/>
  <c r="BC393" i="2"/>
  <c r="BC418" i="2" s="1"/>
  <c r="BC390" i="2"/>
  <c r="BC415" i="2" s="1"/>
  <c r="BC388" i="2"/>
  <c r="BC413" i="2" s="1"/>
  <c r="BC381" i="2"/>
  <c r="BC406" i="2" s="1"/>
  <c r="BC382" i="2"/>
  <c r="BC407" i="2" s="1"/>
  <c r="BC389" i="2"/>
  <c r="BC414" i="2" s="1"/>
  <c r="I384" i="8"/>
  <c r="M202" i="8"/>
  <c r="M205" i="8" s="1"/>
  <c r="M109" i="8" s="1"/>
  <c r="AA274" i="7"/>
  <c r="AW421" i="2"/>
  <c r="AN59" i="2"/>
  <c r="AN199" i="2"/>
  <c r="DG33" i="2"/>
  <c r="CI29" i="2"/>
  <c r="CH29" i="2" s="1"/>
  <c r="BK63" i="2"/>
  <c r="BK75" i="2"/>
  <c r="BK198" i="2"/>
  <c r="AB210" i="2"/>
  <c r="AN184" i="2"/>
  <c r="BH204" i="2"/>
  <c r="BH55" i="2"/>
  <c r="BH206" i="2" s="1"/>
  <c r="AU263" i="2"/>
  <c r="AU10" i="2"/>
  <c r="AU23" i="2" s="1"/>
  <c r="BG24" i="2" s="1"/>
  <c r="AU70" i="2"/>
  <c r="AU66" i="2"/>
  <c r="AU63" i="2"/>
  <c r="BI204" i="2"/>
  <c r="BI55" i="2"/>
  <c r="BF48" i="2"/>
  <c r="BF197" i="2"/>
  <c r="CH20" i="2"/>
  <c r="BA61" i="2"/>
  <c r="AS9" i="2"/>
  <c r="AS347" i="2"/>
  <c r="BA345" i="2"/>
  <c r="BA347" i="2" s="1"/>
  <c r="U167" i="2"/>
  <c r="V170" i="2"/>
  <c r="AC183" i="2"/>
  <c r="AC199" i="2"/>
  <c r="BH184" i="2"/>
  <c r="BH198" i="2"/>
  <c r="BH63" i="2"/>
  <c r="BH75" i="2"/>
  <c r="BH48" i="2"/>
  <c r="CH24" i="2"/>
  <c r="CH27" i="2"/>
  <c r="CH23" i="2"/>
  <c r="AE210" i="2"/>
  <c r="BB345" i="2"/>
  <c r="BB347" i="2" s="1"/>
  <c r="AX422" i="2"/>
  <c r="AF61" i="2"/>
  <c r="AF60" i="2"/>
  <c r="AF210" i="2"/>
  <c r="AA57" i="5"/>
  <c r="O35" i="5"/>
  <c r="W174" i="2"/>
  <c r="X177" i="2"/>
  <c r="X179" i="2" s="1"/>
  <c r="X183" i="2" s="1"/>
  <c r="AJ184" i="2" s="1"/>
  <c r="L30" i="5"/>
  <c r="L31" i="5" s="1"/>
  <c r="BB417" i="2"/>
  <c r="BO468" i="2"/>
  <c r="BO494" i="2"/>
  <c r="BO481" i="2"/>
  <c r="BO467" i="2"/>
  <c r="BO465" i="2"/>
  <c r="BO480" i="2"/>
  <c r="BO474" i="2"/>
  <c r="BO484" i="2"/>
  <c r="BO492" i="2"/>
  <c r="BO472" i="2"/>
  <c r="BO490" i="2"/>
  <c r="BO469" i="2"/>
  <c r="BO478" i="2"/>
  <c r="BO482" i="2"/>
  <c r="BO476" i="2"/>
  <c r="BO470" i="2"/>
  <c r="BO479" i="2"/>
  <c r="BO477" i="2"/>
  <c r="BO487" i="2"/>
  <c r="BO488" i="2"/>
  <c r="BO489" i="2"/>
  <c r="BO475" i="2"/>
  <c r="BO486" i="2"/>
  <c r="BO483" i="2"/>
  <c r="BO473" i="2"/>
  <c r="BO485" i="2"/>
  <c r="BL63" i="2"/>
  <c r="BL75" i="2"/>
  <c r="BL198" i="2"/>
  <c r="AZ147" i="2"/>
  <c r="AZ16" i="2"/>
  <c r="AV526" i="2"/>
  <c r="BO471" i="2"/>
  <c r="AA206" i="2"/>
  <c r="AA183" i="2"/>
  <c r="BO493" i="2"/>
  <c r="AD199" i="2"/>
  <c r="AD59" i="2"/>
  <c r="BJ63" i="2"/>
  <c r="BJ75" i="2"/>
  <c r="BJ198" i="2"/>
  <c r="BJ48" i="2"/>
  <c r="BJ59" i="2" s="1"/>
  <c r="BO491" i="2"/>
  <c r="AJ61" i="2"/>
  <c r="AJ24" i="2"/>
  <c r="AT134" i="2"/>
  <c r="AT151" i="2"/>
  <c r="BC145" i="2"/>
  <c r="BC134" i="2"/>
  <c r="AO60" i="2"/>
  <c r="CH26" i="2"/>
  <c r="AP70" i="2"/>
  <c r="AP10" i="2"/>
  <c r="AP23" i="2" s="1"/>
  <c r="AP63" i="2"/>
  <c r="AP66" i="2"/>
  <c r="AP263" i="2"/>
  <c r="ET56" i="2"/>
  <c r="AC24" i="2"/>
  <c r="AC61" i="2"/>
  <c r="BO456" i="2"/>
  <c r="AZ593" i="2"/>
  <c r="BO577" i="2" s="1"/>
  <c r="AU206" i="2"/>
  <c r="AU183" i="2"/>
  <c r="W61" i="2"/>
  <c r="AI24" i="2"/>
  <c r="AH61" i="2"/>
  <c r="AT60" i="2"/>
  <c r="AH60" i="2"/>
  <c r="BC74" i="2"/>
  <c r="BC68" i="2"/>
  <c r="BC71" i="2"/>
  <c r="AO9" i="2"/>
  <c r="AO347" i="2"/>
  <c r="ES14" i="2"/>
  <c r="EV14" i="2" s="1"/>
  <c r="EO60" i="2"/>
  <c r="EP60" i="2" s="1"/>
  <c r="EP61" i="2" s="1"/>
  <c r="ES48" i="2"/>
  <c r="ES49" i="2" s="1"/>
  <c r="EP48" i="2"/>
  <c r="EP49" i="2" s="1"/>
  <c r="AR151" i="2"/>
  <c r="AR23" i="2"/>
  <c r="BO466" i="2"/>
  <c r="AY210" i="2"/>
  <c r="BK184" i="2"/>
  <c r="AY184" i="2"/>
  <c r="AY185" i="2"/>
  <c r="I202" i="8"/>
  <c r="I205" i="8" s="1"/>
  <c r="I109" i="8" s="1"/>
  <c r="D212" i="7"/>
  <c r="I348" i="8"/>
  <c r="I367" i="8" s="1"/>
  <c r="B219" i="8"/>
  <c r="AA478" i="7"/>
  <c r="AA439" i="7"/>
  <c r="BL48" i="2"/>
  <c r="BL197" i="2"/>
  <c r="BO260" i="2"/>
  <c r="BO263" i="2" s="1"/>
  <c r="BO243" i="2"/>
  <c r="BA420" i="2"/>
  <c r="BC371" i="2"/>
  <c r="BA70" i="2"/>
  <c r="BA121" i="2"/>
  <c r="BA144" i="2"/>
  <c r="BA187" i="2"/>
  <c r="BH120" i="2"/>
  <c r="AO23" i="5"/>
  <c r="AO25" i="5" s="1"/>
  <c r="AO42" i="5" s="1"/>
  <c r="EO49" i="2"/>
  <c r="BF158" i="2"/>
  <c r="BF185" i="2"/>
  <c r="BC526" i="2"/>
  <c r="BC525" i="2" s="1"/>
  <c r="ES8" i="2"/>
  <c r="EV8" i="2" s="1"/>
  <c r="CH21" i="2"/>
  <c r="BJ183" i="2"/>
  <c r="I348" i="7"/>
  <c r="I367" i="7" s="1"/>
  <c r="I368" i="7" s="1"/>
  <c r="BE525" i="2"/>
  <c r="AX10" i="2"/>
  <c r="AX66" i="2"/>
  <c r="AX70" i="2"/>
  <c r="AX144" i="2"/>
  <c r="AX63" i="2"/>
  <c r="AX263" i="2"/>
  <c r="D212" i="8"/>
  <c r="B211" i="7"/>
  <c r="P74" i="5"/>
  <c r="AA420" i="7"/>
  <c r="AA477" i="7"/>
  <c r="AW265" i="2"/>
  <c r="BO241" i="2"/>
  <c r="BO245" i="2"/>
  <c r="BO247" i="2"/>
  <c r="AW344" i="2"/>
  <c r="BO259" i="2"/>
  <c r="BO256" i="2"/>
  <c r="BO257" i="2"/>
  <c r="BO250" i="2"/>
  <c r="BO251" i="2"/>
  <c r="BG158" i="2"/>
  <c r="BG185" i="2"/>
  <c r="BO252" i="2"/>
  <c r="BO258" i="2"/>
  <c r="AE60" i="2"/>
  <c r="AQ60" i="2"/>
  <c r="AE61" i="2"/>
  <c r="AY60" i="2"/>
  <c r="Y61" i="2"/>
  <c r="AK60" i="2"/>
  <c r="AX372" i="2"/>
  <c r="ET38" i="2"/>
  <c r="ES57" i="2"/>
  <c r="N335" i="8"/>
  <c r="N362" i="8" s="1"/>
  <c r="N364" i="8" s="1"/>
  <c r="AA262" i="7"/>
  <c r="AA264" i="7" s="1"/>
  <c r="B200" i="8"/>
  <c r="B270" i="8" s="1"/>
  <c r="B272" i="8" s="1"/>
  <c r="D435" i="7"/>
  <c r="W233" i="2"/>
  <c r="AW372" i="2"/>
  <c r="AG61" i="2"/>
  <c r="AG60" i="2"/>
  <c r="AG210" i="2"/>
  <c r="AS60" i="2"/>
  <c r="CH22" i="2"/>
  <c r="AV317" i="2"/>
  <c r="AV345" i="2"/>
  <c r="AY16" i="2"/>
  <c r="AY150" i="2"/>
  <c r="Z210" i="2"/>
  <c r="AL184" i="2"/>
  <c r="BA386" i="2"/>
  <c r="BA382" i="2"/>
  <c r="BA65" i="2"/>
  <c r="BA66" i="2" s="1"/>
  <c r="BA389" i="2"/>
  <c r="BA388" i="2"/>
  <c r="BA390" i="2"/>
  <c r="BA381" i="2"/>
  <c r="BA406" i="2" s="1"/>
  <c r="BA387" i="2"/>
  <c r="BA412" i="2" s="1"/>
  <c r="BA384" i="2"/>
  <c r="BA394" i="2"/>
  <c r="BA380" i="2"/>
  <c r="BA385" i="2"/>
  <c r="BA410" i="2" s="1"/>
  <c r="BA383" i="2"/>
  <c r="V61" i="2"/>
  <c r="AH210" i="2"/>
  <c r="AT184" i="2"/>
  <c r="AL263" i="2"/>
  <c r="AL63" i="2"/>
  <c r="AL70" i="2"/>
  <c r="AL10" i="2"/>
  <c r="AL23" i="2" s="1"/>
  <c r="AL66" i="2"/>
  <c r="BD233" i="2"/>
  <c r="DL64" i="2"/>
  <c r="DL67" i="2" s="1"/>
  <c r="DK65" i="2" s="1"/>
  <c r="AR210" i="2"/>
  <c r="AR60" i="2"/>
  <c r="EV60" i="2"/>
  <c r="EV61" i="2"/>
  <c r="EV56" i="2"/>
  <c r="W170" i="2"/>
  <c r="W172" i="2" s="1"/>
  <c r="AK263" i="2"/>
  <c r="AK63" i="2"/>
  <c r="AK66" i="2"/>
  <c r="AK10" i="2"/>
  <c r="AK23" i="2" s="1"/>
  <c r="AK70" i="2"/>
  <c r="I440" i="7"/>
  <c r="D158" i="7"/>
  <c r="D312" i="7"/>
  <c r="AA439" i="8"/>
  <c r="BM20" i="4"/>
  <c r="BM94" i="4" s="1"/>
  <c r="V20" i="4"/>
  <c r="V24" i="4" s="1"/>
  <c r="F212" i="8"/>
  <c r="F282" i="8" s="1"/>
  <c r="G241" i="8"/>
  <c r="L382" i="7"/>
  <c r="AA479" i="8"/>
  <c r="G146" i="8"/>
  <c r="AA395" i="8"/>
  <c r="AA438" i="8"/>
  <c r="AA262" i="8"/>
  <c r="AA264" i="8" s="1"/>
  <c r="AA274" i="8"/>
  <c r="K20" i="4"/>
  <c r="K24" i="4" s="1"/>
  <c r="K42" i="4" s="1"/>
  <c r="AA478" i="8"/>
  <c r="AA420" i="8"/>
  <c r="R20" i="4"/>
  <c r="R24" i="4" s="1"/>
  <c r="AA366" i="8"/>
  <c r="N177" i="4"/>
  <c r="N180" i="4" s="1"/>
  <c r="BI20" i="4"/>
  <c r="BI94" i="4" s="1"/>
  <c r="D129" i="9"/>
  <c r="BR64" i="4"/>
  <c r="J20" i="4"/>
  <c r="J24" i="4" s="1"/>
  <c r="J42" i="4" s="1"/>
  <c r="L382" i="8"/>
  <c r="H348" i="7"/>
  <c r="H346" i="7" s="1"/>
  <c r="H344" i="7" s="1"/>
  <c r="BW90" i="4"/>
  <c r="C146" i="8"/>
  <c r="G374" i="8"/>
  <c r="L373" i="7"/>
  <c r="L352" i="7" s="1"/>
  <c r="L356" i="7" s="1"/>
  <c r="O146" i="8"/>
  <c r="M146" i="8"/>
  <c r="J146" i="8"/>
  <c r="L373" i="8"/>
  <c r="L352" i="8" s="1"/>
  <c r="L356" i="8" s="1"/>
  <c r="Q64" i="4"/>
  <c r="BF20" i="4"/>
  <c r="BF24" i="4" s="1"/>
  <c r="BF42" i="4" s="1"/>
  <c r="D373" i="8"/>
  <c r="D352" i="8" s="1"/>
  <c r="D356" i="8" s="1"/>
  <c r="C219" i="8"/>
  <c r="B388" i="8"/>
  <c r="E388" i="8"/>
  <c r="C211" i="8"/>
  <c r="BL101" i="4"/>
  <c r="E388" i="7"/>
  <c r="E433" i="7" s="1"/>
  <c r="C415" i="8"/>
  <c r="E219" i="8"/>
  <c r="B391" i="7"/>
  <c r="E413" i="8"/>
  <c r="B413" i="8"/>
  <c r="I391" i="7"/>
  <c r="B433" i="7"/>
  <c r="C416" i="7"/>
  <c r="G389" i="8"/>
  <c r="I390" i="8"/>
  <c r="F211" i="7"/>
  <c r="E435" i="7"/>
  <c r="G391" i="7"/>
  <c r="H391" i="7"/>
  <c r="F413" i="8"/>
  <c r="B390" i="8"/>
  <c r="G388" i="8"/>
  <c r="E415" i="8"/>
  <c r="E390" i="8"/>
  <c r="D415" i="8"/>
  <c r="F388" i="8"/>
  <c r="F415" i="8"/>
  <c r="B415" i="8"/>
  <c r="E212" i="8"/>
  <c r="D413" i="8"/>
  <c r="F435" i="7"/>
  <c r="E416" i="7"/>
  <c r="N20" i="4"/>
  <c r="N24" i="4" s="1"/>
  <c r="L374" i="7"/>
  <c r="L190" i="8"/>
  <c r="I374" i="8"/>
  <c r="T20" i="4"/>
  <c r="T24" i="4" s="1"/>
  <c r="M180" i="4"/>
  <c r="BT90" i="4"/>
  <c r="U20" i="4"/>
  <c r="J382" i="8"/>
  <c r="L383" i="8"/>
  <c r="H389" i="8"/>
  <c r="I160" i="8"/>
  <c r="I163" i="8" s="1"/>
  <c r="I105" i="8" s="1"/>
  <c r="J241" i="8"/>
  <c r="E389" i="7"/>
  <c r="E434" i="7" s="1"/>
  <c r="BX20" i="4"/>
  <c r="O20" i="4"/>
  <c r="O24" i="4" s="1"/>
  <c r="D389" i="7"/>
  <c r="D434" i="7" s="1"/>
  <c r="D43" i="7"/>
  <c r="F213" i="7"/>
  <c r="CD84" i="5"/>
  <c r="D146" i="8"/>
  <c r="E389" i="8"/>
  <c r="L374" i="8"/>
  <c r="F390" i="8"/>
  <c r="H409" i="8"/>
  <c r="D42" i="4"/>
  <c r="I202" i="7"/>
  <c r="I205" i="7" s="1"/>
  <c r="I109" i="7" s="1"/>
  <c r="D413" i="7"/>
  <c r="D416" i="7" s="1"/>
  <c r="H390" i="8"/>
  <c r="G190" i="8"/>
  <c r="BP35" i="4"/>
  <c r="P146" i="8"/>
  <c r="D373" i="7"/>
  <c r="D352" i="7" s="1"/>
  <c r="D356" i="7" s="1"/>
  <c r="E348" i="7"/>
  <c r="E367" i="7" s="1"/>
  <c r="E368" i="7" s="1"/>
  <c r="C374" i="8"/>
  <c r="M383" i="8"/>
  <c r="M385" i="8" s="1"/>
  <c r="M306" i="8" s="1"/>
  <c r="D374" i="8"/>
  <c r="G409" i="8"/>
  <c r="G429" i="8" s="1"/>
  <c r="I388" i="8"/>
  <c r="H241" i="8"/>
  <c r="N146" i="8"/>
  <c r="I407" i="8"/>
  <c r="F434" i="7"/>
  <c r="C373" i="8"/>
  <c r="C352" i="8" s="1"/>
  <c r="C356" i="8" s="1"/>
  <c r="P35" i="4"/>
  <c r="J158" i="7"/>
  <c r="L118" i="4"/>
  <c r="L20" i="4"/>
  <c r="L24" i="4" s="1"/>
  <c r="L42" i="4" s="1"/>
  <c r="E22" i="7"/>
  <c r="E43" i="7" s="1"/>
  <c r="E312" i="7"/>
  <c r="M160" i="8"/>
  <c r="M163" i="8" s="1"/>
  <c r="M105" i="8" s="1"/>
  <c r="H407" i="8"/>
  <c r="H427" i="8" s="1"/>
  <c r="F389" i="8"/>
  <c r="E211" i="7"/>
  <c r="F22" i="7"/>
  <c r="C43" i="7"/>
  <c r="N129" i="4"/>
  <c r="J160" i="8"/>
  <c r="J163" i="8" s="1"/>
  <c r="J105" i="8" s="1"/>
  <c r="BW20" i="4"/>
  <c r="C312" i="7"/>
  <c r="G235" i="7"/>
  <c r="G112" i="7" s="1"/>
  <c r="J382" i="7"/>
  <c r="C42" i="4"/>
  <c r="C245" i="8"/>
  <c r="G237" i="8"/>
  <c r="G270" i="8" s="1"/>
  <c r="G272" i="8" s="1"/>
  <c r="F244" i="7"/>
  <c r="F282" i="7" s="1"/>
  <c r="D245" i="7"/>
  <c r="H219" i="8"/>
  <c r="G233" i="8"/>
  <c r="G235" i="8"/>
  <c r="G112" i="8" s="1"/>
  <c r="G239" i="8"/>
  <c r="G113" i="8" s="1"/>
  <c r="H237" i="8"/>
  <c r="D245" i="8"/>
  <c r="D247" i="7"/>
  <c r="D285" i="7" s="1"/>
  <c r="K235" i="8"/>
  <c r="K112" i="8" s="1"/>
  <c r="B243" i="7"/>
  <c r="B245" i="7"/>
  <c r="B244" i="8"/>
  <c r="B245" i="8"/>
  <c r="N165" i="4"/>
  <c r="F146" i="8"/>
  <c r="H190" i="8"/>
  <c r="G374" i="7"/>
  <c r="BQ20" i="4"/>
  <c r="Q73" i="4" s="1"/>
  <c r="BY20" i="4"/>
  <c r="K146" i="8"/>
  <c r="BO101" i="4"/>
  <c r="J388" i="7"/>
  <c r="J389" i="7"/>
  <c r="N64" i="4"/>
  <c r="BO20" i="4"/>
  <c r="BO94" i="4" s="1"/>
  <c r="BD42" i="4"/>
  <c r="BN90" i="4"/>
  <c r="I20" i="4"/>
  <c r="I24" i="4" s="1"/>
  <c r="I42" i="4" s="1"/>
  <c r="BU90" i="4"/>
  <c r="BN98" i="4"/>
  <c r="F20" i="4"/>
  <c r="F24" i="4" s="1"/>
  <c r="F42" i="4" s="1"/>
  <c r="C143" i="9"/>
  <c r="C129" i="9"/>
  <c r="BT98" i="4"/>
  <c r="BV98" i="4"/>
  <c r="BU98" i="4"/>
  <c r="L335" i="7"/>
  <c r="L362" i="7" s="1"/>
  <c r="L364" i="7" s="1"/>
  <c r="BZ98" i="4"/>
  <c r="C374" i="7"/>
  <c r="L146" i="8"/>
  <c r="BU20" i="4"/>
  <c r="G407" i="8"/>
  <c r="D374" i="7"/>
  <c r="K233" i="7"/>
  <c r="I373" i="7"/>
  <c r="I352" i="7" s="1"/>
  <c r="I356" i="7" s="1"/>
  <c r="BP101" i="4"/>
  <c r="K335" i="7"/>
  <c r="K362" i="7" s="1"/>
  <c r="K364" i="7" s="1"/>
  <c r="E20" i="4"/>
  <c r="E24" i="4" s="1"/>
  <c r="E42" i="4" s="1"/>
  <c r="BE20" i="4"/>
  <c r="BE24" i="4" s="1"/>
  <c r="BE42" i="4" s="1"/>
  <c r="I407" i="7"/>
  <c r="I427" i="7" s="1"/>
  <c r="Q146" i="8"/>
  <c r="M478" i="8"/>
  <c r="J235" i="7"/>
  <c r="J112" i="7" s="1"/>
  <c r="J235" i="8"/>
  <c r="J112" i="8" s="1"/>
  <c r="I237" i="8"/>
  <c r="K274" i="8"/>
  <c r="Z477" i="8"/>
  <c r="V366" i="8"/>
  <c r="I245" i="8"/>
  <c r="K233" i="8"/>
  <c r="K247" i="8"/>
  <c r="I235" i="8"/>
  <c r="I112" i="8" s="1"/>
  <c r="I233" i="8"/>
  <c r="H233" i="8"/>
  <c r="H235" i="7"/>
  <c r="H112" i="7" s="1"/>
  <c r="H235" i="8"/>
  <c r="H112" i="8" s="1"/>
  <c r="K383" i="8"/>
  <c r="O64" i="4"/>
  <c r="BV20" i="4"/>
  <c r="BS20" i="4"/>
  <c r="N144" i="8" s="1"/>
  <c r="I200" i="7"/>
  <c r="BQ101" i="4"/>
  <c r="W20" i="4"/>
  <c r="W24" i="4" s="1"/>
  <c r="G373" i="7"/>
  <c r="G352" i="7" s="1"/>
  <c r="G356" i="7" s="1"/>
  <c r="P64" i="4"/>
  <c r="J243" i="8"/>
  <c r="F243" i="8"/>
  <c r="K175" i="4"/>
  <c r="K180" i="4" s="1"/>
  <c r="S20" i="4"/>
  <c r="S24" i="4" s="1"/>
  <c r="I219" i="7"/>
  <c r="I211" i="8"/>
  <c r="BR20" i="4"/>
  <c r="BR94" i="4" s="1"/>
  <c r="I213" i="8"/>
  <c r="Q35" i="4"/>
  <c r="M202" i="7"/>
  <c r="M205" i="7" s="1"/>
  <c r="M109" i="7" s="1"/>
  <c r="G20" i="4"/>
  <c r="G24" i="4" s="1"/>
  <c r="G42" i="4" s="1"/>
  <c r="N126" i="4"/>
  <c r="BS101" i="4"/>
  <c r="I374" i="7"/>
  <c r="I160" i="7"/>
  <c r="I163" i="7" s="1"/>
  <c r="I105" i="7" s="1"/>
  <c r="K457" i="8"/>
  <c r="K17" i="8" s="1"/>
  <c r="BC42" i="4"/>
  <c r="BC92" i="4" s="1"/>
  <c r="E457" i="8"/>
  <c r="E480" i="8" s="1"/>
  <c r="T146" i="7"/>
  <c r="F416" i="7"/>
  <c r="CE84" i="5"/>
  <c r="F439" i="8"/>
  <c r="CF84" i="5"/>
  <c r="L64" i="4"/>
  <c r="J247" i="8"/>
  <c r="I241" i="8"/>
  <c r="C158" i="8"/>
  <c r="M165" i="4"/>
  <c r="I244" i="7"/>
  <c r="F410" i="8"/>
  <c r="F308" i="8" s="1"/>
  <c r="F29" i="8" s="1"/>
  <c r="I243" i="7"/>
  <c r="BK98" i="4"/>
  <c r="M64" i="4"/>
  <c r="F374" i="7"/>
  <c r="F348" i="7"/>
  <c r="F367" i="7" s="1"/>
  <c r="F368" i="7" s="1"/>
  <c r="BK90" i="4"/>
  <c r="BR101" i="4"/>
  <c r="BK20" i="4"/>
  <c r="I245" i="7"/>
  <c r="P175" i="4"/>
  <c r="G233" i="7"/>
  <c r="BP20" i="4"/>
  <c r="K383" i="7"/>
  <c r="N366" i="8"/>
  <c r="H477" i="8"/>
  <c r="F477" i="8"/>
  <c r="Z439" i="8"/>
  <c r="I233" i="7"/>
  <c r="N420" i="8"/>
  <c r="I235" i="7"/>
  <c r="I112" i="7" s="1"/>
  <c r="I237" i="7"/>
  <c r="B335" i="7"/>
  <c r="B362" i="7" s="1"/>
  <c r="B364" i="7" s="1"/>
  <c r="N262" i="8"/>
  <c r="N264" i="8" s="1"/>
  <c r="Z20" i="4"/>
  <c r="L366" i="8"/>
  <c r="X274" i="8"/>
  <c r="BS90" i="4"/>
  <c r="H212" i="8"/>
  <c r="J245" i="8"/>
  <c r="F457" i="8"/>
  <c r="F17" i="8" s="1"/>
  <c r="J374" i="7"/>
  <c r="H20" i="4"/>
  <c r="H24" i="4" s="1"/>
  <c r="H42" i="4" s="1"/>
  <c r="BM101" i="4"/>
  <c r="K478" i="8"/>
  <c r="B205" i="8"/>
  <c r="B109" i="8" s="1"/>
  <c r="L457" i="8"/>
  <c r="L17" i="8" s="1"/>
  <c r="J237" i="8"/>
  <c r="H212" i="7"/>
  <c r="J237" i="7"/>
  <c r="D457" i="8"/>
  <c r="D480" i="8" s="1"/>
  <c r="K374" i="7"/>
  <c r="J239" i="8"/>
  <c r="J113" i="8" s="1"/>
  <c r="N439" i="8"/>
  <c r="P128" i="4"/>
  <c r="H211" i="8"/>
  <c r="BT20" i="4"/>
  <c r="BT24" i="4" s="1"/>
  <c r="O128" i="4"/>
  <c r="I239" i="8"/>
  <c r="I113" i="8" s="1"/>
  <c r="H233" i="7"/>
  <c r="O175" i="4"/>
  <c r="BH20" i="4"/>
  <c r="V274" i="8"/>
  <c r="BX98" i="4"/>
  <c r="G348" i="7"/>
  <c r="E478" i="8"/>
  <c r="W420" i="8"/>
  <c r="N457" i="8"/>
  <c r="N17" i="8" s="1"/>
  <c r="W439" i="8"/>
  <c r="G160" i="7"/>
  <c r="G163" i="7" s="1"/>
  <c r="G105" i="7" s="1"/>
  <c r="G117" i="7" s="1"/>
  <c r="K241" i="7"/>
  <c r="BS98" i="4"/>
  <c r="BR90" i="4"/>
  <c r="BR98" i="4"/>
  <c r="BM64" i="4"/>
  <c r="M113" i="4"/>
  <c r="B374" i="7"/>
  <c r="M374" i="7"/>
  <c r="BY98" i="4"/>
  <c r="H160" i="7"/>
  <c r="H163" i="7" s="1"/>
  <c r="H105" i="7" s="1"/>
  <c r="H117" i="7" s="1"/>
  <c r="L76" i="4"/>
  <c r="L126" i="4"/>
  <c r="L131" i="4" s="1"/>
  <c r="BL64" i="4"/>
  <c r="Q439" i="8"/>
  <c r="N479" i="8"/>
  <c r="H439" i="8"/>
  <c r="E205" i="8"/>
  <c r="E109" i="8" s="1"/>
  <c r="E121" i="8" s="1"/>
  <c r="G477" i="8"/>
  <c r="J262" i="8"/>
  <c r="J264" i="8" s="1"/>
  <c r="N478" i="8"/>
  <c r="R274" i="8"/>
  <c r="H420" i="8"/>
  <c r="B429" i="8"/>
  <c r="Q479" i="8"/>
  <c r="N274" i="8"/>
  <c r="D507" i="8"/>
  <c r="I478" i="8"/>
  <c r="E163" i="8"/>
  <c r="E105" i="8" s="1"/>
  <c r="N117" i="4"/>
  <c r="BN64" i="4"/>
  <c r="BN101" i="4"/>
  <c r="C348" i="7"/>
  <c r="V420" i="8"/>
  <c r="G200" i="7"/>
  <c r="BT101" i="4"/>
  <c r="E274" i="8"/>
  <c r="G213" i="7"/>
  <c r="X478" i="8"/>
  <c r="C163" i="8"/>
  <c r="C105" i="8" s="1"/>
  <c r="R478" i="8"/>
  <c r="Y479" i="8"/>
  <c r="Y262" i="8"/>
  <c r="Y264" i="8" s="1"/>
  <c r="W477" i="8"/>
  <c r="O420" i="8"/>
  <c r="K245" i="8"/>
  <c r="K245" i="7"/>
  <c r="P366" i="8"/>
  <c r="M274" i="8"/>
  <c r="B366" i="8"/>
  <c r="Z274" i="8"/>
  <c r="J477" i="8"/>
  <c r="W478" i="8"/>
  <c r="T478" i="8"/>
  <c r="V479" i="8"/>
  <c r="X477" i="8"/>
  <c r="I262" i="8"/>
  <c r="I264" i="8" s="1"/>
  <c r="D420" i="8"/>
  <c r="G366" i="8"/>
  <c r="S420" i="8"/>
  <c r="U477" i="8"/>
  <c r="L274" i="8"/>
  <c r="B420" i="8"/>
  <c r="Y420" i="8"/>
  <c r="S366" i="8"/>
  <c r="B439" i="8"/>
  <c r="Y366" i="8"/>
  <c r="E479" i="8"/>
  <c r="O274" i="8"/>
  <c r="E429" i="8"/>
  <c r="J479" i="8"/>
  <c r="E239" i="7"/>
  <c r="E113" i="7" s="1"/>
  <c r="E125" i="7" s="1"/>
  <c r="R479" i="8"/>
  <c r="X479" i="8"/>
  <c r="C274" i="8"/>
  <c r="F429" i="8"/>
  <c r="F163" i="8"/>
  <c r="F105" i="8" s="1"/>
  <c r="R477" i="8"/>
  <c r="D434" i="8"/>
  <c r="O439" i="8"/>
  <c r="L477" i="8"/>
  <c r="G274" i="8"/>
  <c r="G420" i="8"/>
  <c r="C410" i="8"/>
  <c r="C308" i="8" s="1"/>
  <c r="C29" i="8" s="1"/>
  <c r="F428" i="8"/>
  <c r="D239" i="7"/>
  <c r="D113" i="7" s="1"/>
  <c r="C262" i="8"/>
  <c r="C264" i="8" s="1"/>
  <c r="O477" i="8"/>
  <c r="Q478" i="8"/>
  <c r="H262" i="8"/>
  <c r="H264" i="8" s="1"/>
  <c r="C479" i="8"/>
  <c r="F366" i="8"/>
  <c r="T479" i="8"/>
  <c r="M420" i="8"/>
  <c r="B428" i="8"/>
  <c r="P477" i="8"/>
  <c r="E439" i="8"/>
  <c r="K479" i="8"/>
  <c r="B507" i="8"/>
  <c r="Q274" i="8"/>
  <c r="M439" i="8"/>
  <c r="I274" i="8"/>
  <c r="W262" i="8"/>
  <c r="W264" i="8" s="1"/>
  <c r="T274" i="8"/>
  <c r="S439" i="8"/>
  <c r="W366" i="8"/>
  <c r="S274" i="8"/>
  <c r="I439" i="8"/>
  <c r="D477" i="8"/>
  <c r="R420" i="8"/>
  <c r="B274" i="8"/>
  <c r="H274" i="8"/>
  <c r="W274" i="8"/>
  <c r="Y439" i="8"/>
  <c r="P274" i="8"/>
  <c r="T262" i="8"/>
  <c r="T264" i="8" s="1"/>
  <c r="P439" i="8"/>
  <c r="D270" i="8"/>
  <c r="D272" i="8" s="1"/>
  <c r="W479" i="8"/>
  <c r="S478" i="8"/>
  <c r="L439" i="8"/>
  <c r="T439" i="8"/>
  <c r="I420" i="8"/>
  <c r="S477" i="8"/>
  <c r="D429" i="8"/>
  <c r="C478" i="8"/>
  <c r="J420" i="8"/>
  <c r="O479" i="8"/>
  <c r="H200" i="8"/>
  <c r="H200" i="7"/>
  <c r="H270" i="7" s="1"/>
  <c r="H272" i="7" s="1"/>
  <c r="H275" i="7" s="1"/>
  <c r="B435" i="7"/>
  <c r="F427" i="8"/>
  <c r="F385" i="8"/>
  <c r="F306" i="8" s="1"/>
  <c r="C420" i="8"/>
  <c r="R438" i="8"/>
  <c r="R395" i="8"/>
  <c r="Z438" i="8"/>
  <c r="Z395" i="8"/>
  <c r="R263" i="8"/>
  <c r="Z366" i="8"/>
  <c r="Z262" i="8"/>
  <c r="Z264" i="8" s="1"/>
  <c r="U439" i="8"/>
  <c r="E438" i="8"/>
  <c r="E395" i="8"/>
  <c r="I477" i="8"/>
  <c r="D410" i="8"/>
  <c r="D308" i="8" s="1"/>
  <c r="D29" i="8" s="1"/>
  <c r="U420" i="8"/>
  <c r="G263" i="8"/>
  <c r="E245" i="8"/>
  <c r="E245" i="7"/>
  <c r="K409" i="7"/>
  <c r="K429" i="7" s="1"/>
  <c r="K409" i="8"/>
  <c r="K429" i="8" s="1"/>
  <c r="Q165" i="4"/>
  <c r="V262" i="8"/>
  <c r="V264" i="8" s="1"/>
  <c r="S479" i="8"/>
  <c r="W438" i="8"/>
  <c r="W395" i="8"/>
  <c r="F274" i="8"/>
  <c r="C428" i="8"/>
  <c r="Q438" i="8"/>
  <c r="Q395" i="8"/>
  <c r="P177" i="4"/>
  <c r="P165" i="4"/>
  <c r="O262" i="8"/>
  <c r="O264" i="8" s="1"/>
  <c r="M438" i="8"/>
  <c r="M395" i="8"/>
  <c r="B478" i="8"/>
  <c r="J274" i="8"/>
  <c r="BO90" i="4"/>
  <c r="BO98" i="4"/>
  <c r="K366" i="8"/>
  <c r="F438" i="8"/>
  <c r="F395" i="8"/>
  <c r="V438" i="8"/>
  <c r="V395" i="8"/>
  <c r="B385" i="8"/>
  <c r="B306" i="8" s="1"/>
  <c r="B427" i="8"/>
  <c r="F235" i="8"/>
  <c r="F112" i="8" s="1"/>
  <c r="F235" i="7"/>
  <c r="F112" i="7" s="1"/>
  <c r="I383" i="7"/>
  <c r="I383" i="8"/>
  <c r="I428" i="8" s="1"/>
  <c r="Q113" i="4"/>
  <c r="BQ64" i="4"/>
  <c r="Q477" i="8"/>
  <c r="E262" i="8"/>
  <c r="E264" i="8" s="1"/>
  <c r="H478" i="8"/>
  <c r="U438" i="8"/>
  <c r="U395" i="8"/>
  <c r="L202" i="7"/>
  <c r="L205" i="7" s="1"/>
  <c r="L109" i="7" s="1"/>
  <c r="L202" i="8"/>
  <c r="L205" i="8" s="1"/>
  <c r="L109" i="8" s="1"/>
  <c r="K262" i="8"/>
  <c r="B410" i="8"/>
  <c r="B308" i="8" s="1"/>
  <c r="B29" i="8" s="1"/>
  <c r="H479" i="8"/>
  <c r="M128" i="4"/>
  <c r="I146" i="8"/>
  <c r="I146" i="7"/>
  <c r="C391" i="7"/>
  <c r="C433" i="7"/>
  <c r="T420" i="8"/>
  <c r="P438" i="8"/>
  <c r="P395" i="8"/>
  <c r="C366" i="8"/>
  <c r="C477" i="8"/>
  <c r="D439" i="8"/>
  <c r="C438" i="8"/>
  <c r="C395" i="8"/>
  <c r="R262" i="8"/>
  <c r="L175" i="4"/>
  <c r="L180" i="4" s="1"/>
  <c r="L165" i="4"/>
  <c r="G457" i="7"/>
  <c r="G457" i="8"/>
  <c r="L470" i="7"/>
  <c r="L470" i="8"/>
  <c r="L24" i="8" s="1"/>
  <c r="L45" i="8" s="1"/>
  <c r="G262" i="8"/>
  <c r="BQ90" i="4"/>
  <c r="BQ35" i="4"/>
  <c r="BQ98" i="4"/>
  <c r="L160" i="8"/>
  <c r="L163" i="8" s="1"/>
  <c r="L105" i="8" s="1"/>
  <c r="L160" i="7"/>
  <c r="L163" i="7" s="1"/>
  <c r="L105" i="7" s="1"/>
  <c r="BN20" i="4"/>
  <c r="BO35" i="4"/>
  <c r="H395" i="8"/>
  <c r="H438" i="8"/>
  <c r="K389" i="7"/>
  <c r="K389" i="8"/>
  <c r="K390" i="8"/>
  <c r="BG20" i="4"/>
  <c r="X366" i="8"/>
  <c r="B479" i="8"/>
  <c r="K420" i="8"/>
  <c r="R366" i="8"/>
  <c r="O478" i="8"/>
  <c r="N438" i="8"/>
  <c r="N395" i="8"/>
  <c r="Z478" i="8"/>
  <c r="K202" i="7"/>
  <c r="K205" i="7" s="1"/>
  <c r="K109" i="7" s="1"/>
  <c r="K202" i="8"/>
  <c r="K205" i="8" s="1"/>
  <c r="K109" i="8" s="1"/>
  <c r="H205" i="8"/>
  <c r="H109" i="8" s="1"/>
  <c r="E114" i="8"/>
  <c r="E28" i="8" s="1"/>
  <c r="P478" i="8"/>
  <c r="J478" i="8"/>
  <c r="L420" i="8"/>
  <c r="V478" i="8"/>
  <c r="S438" i="8"/>
  <c r="S395" i="8"/>
  <c r="E366" i="8"/>
  <c r="D428" i="8"/>
  <c r="E507" i="8"/>
  <c r="G470" i="8"/>
  <c r="G24" i="8" s="1"/>
  <c r="G45" i="8" s="1"/>
  <c r="G470" i="7"/>
  <c r="G24" i="7" s="1"/>
  <c r="G45" i="7" s="1"/>
  <c r="K160" i="7"/>
  <c r="K163" i="7" s="1"/>
  <c r="K105" i="7" s="1"/>
  <c r="K160" i="8"/>
  <c r="K163" i="8" s="1"/>
  <c r="K105" i="8" s="1"/>
  <c r="J366" i="8"/>
  <c r="L262" i="8"/>
  <c r="L264" i="8" s="1"/>
  <c r="K395" i="8"/>
  <c r="K438" i="8"/>
  <c r="L438" i="8"/>
  <c r="L395" i="8"/>
  <c r="O438" i="8"/>
  <c r="O395" i="8"/>
  <c r="B239" i="8"/>
  <c r="B113" i="8" s="1"/>
  <c r="B114" i="8" s="1"/>
  <c r="B28" i="8" s="1"/>
  <c r="B239" i="7"/>
  <c r="B113" i="7" s="1"/>
  <c r="B121" i="7" s="1"/>
  <c r="I479" i="8"/>
  <c r="E427" i="8"/>
  <c r="E385" i="8"/>
  <c r="E306" i="8" s="1"/>
  <c r="E428" i="8"/>
  <c r="I366" i="8"/>
  <c r="Y477" i="8"/>
  <c r="D438" i="8"/>
  <c r="D395" i="8"/>
  <c r="F420" i="8"/>
  <c r="P113" i="4"/>
  <c r="BP64" i="4"/>
  <c r="O177" i="4"/>
  <c r="O165" i="4"/>
  <c r="X420" i="8"/>
  <c r="Y478" i="8"/>
  <c r="T366" i="8"/>
  <c r="Q262" i="8"/>
  <c r="Q264" i="8" s="1"/>
  <c r="Z479" i="8"/>
  <c r="G439" i="8"/>
  <c r="J409" i="7"/>
  <c r="J409" i="8"/>
  <c r="F433" i="7"/>
  <c r="F391" i="7"/>
  <c r="U479" i="8"/>
  <c r="B262" i="8"/>
  <c r="B264" i="8" s="1"/>
  <c r="C507" i="8"/>
  <c r="P479" i="8"/>
  <c r="Q420" i="8"/>
  <c r="U274" i="8"/>
  <c r="D274" i="8"/>
  <c r="D114" i="8"/>
  <c r="D28" i="8" s="1"/>
  <c r="S262" i="8"/>
  <c r="S264" i="8" s="1"/>
  <c r="BZ20" i="4"/>
  <c r="E477" i="8"/>
  <c r="M479" i="8"/>
  <c r="T477" i="8"/>
  <c r="G479" i="8"/>
  <c r="U262" i="8"/>
  <c r="U264" i="8" s="1"/>
  <c r="T395" i="8"/>
  <c r="T438" i="8"/>
  <c r="M366" i="8"/>
  <c r="F478" i="8"/>
  <c r="V477" i="8"/>
  <c r="M477" i="8"/>
  <c r="D478" i="8"/>
  <c r="M263" i="8"/>
  <c r="P420" i="8"/>
  <c r="G478" i="8"/>
  <c r="P348" i="7"/>
  <c r="P348" i="8"/>
  <c r="X395" i="8"/>
  <c r="X438" i="8"/>
  <c r="N477" i="8"/>
  <c r="U478" i="8"/>
  <c r="F45" i="8"/>
  <c r="P374" i="8"/>
  <c r="P374" i="7"/>
  <c r="N374" i="7"/>
  <c r="N374" i="8"/>
  <c r="H146" i="7"/>
  <c r="H146" i="8"/>
  <c r="I438" i="8"/>
  <c r="I395" i="8"/>
  <c r="Z420" i="8"/>
  <c r="C429" i="8"/>
  <c r="E410" i="8"/>
  <c r="E308" i="8" s="1"/>
  <c r="E29" i="8" s="1"/>
  <c r="J439" i="8"/>
  <c r="B346" i="7"/>
  <c r="B344" i="7" s="1"/>
  <c r="B367" i="7"/>
  <c r="B368" i="7" s="1"/>
  <c r="M385" i="7"/>
  <c r="M306" i="7" s="1"/>
  <c r="X262" i="8"/>
  <c r="X264" i="8" s="1"/>
  <c r="B438" i="8"/>
  <c r="B395" i="8"/>
  <c r="E45" i="8"/>
  <c r="C439" i="8"/>
  <c r="U366" i="8"/>
  <c r="X439" i="8"/>
  <c r="J335" i="7"/>
  <c r="J335" i="8"/>
  <c r="H374" i="8"/>
  <c r="H374" i="7"/>
  <c r="B160" i="8"/>
  <c r="B163" i="8" s="1"/>
  <c r="B105" i="8" s="1"/>
  <c r="B160" i="7"/>
  <c r="B163" i="7" s="1"/>
  <c r="B105" i="7" s="1"/>
  <c r="P262" i="8"/>
  <c r="P264" i="8" s="1"/>
  <c r="L479" i="8"/>
  <c r="F205" i="8"/>
  <c r="F109" i="8" s="1"/>
  <c r="D262" i="8"/>
  <c r="D264" i="8" s="1"/>
  <c r="BI98" i="4"/>
  <c r="BI90" i="4"/>
  <c r="BP98" i="4"/>
  <c r="BP90" i="4"/>
  <c r="M389" i="8"/>
  <c r="M389" i="7"/>
  <c r="F262" i="8"/>
  <c r="F264" i="8" s="1"/>
  <c r="L478" i="8"/>
  <c r="B45" i="8"/>
  <c r="J438" i="8"/>
  <c r="J395" i="8"/>
  <c r="H366" i="8"/>
  <c r="Q366" i="8"/>
  <c r="D45" i="8"/>
  <c r="B346" i="8"/>
  <c r="B344" i="8" s="1"/>
  <c r="B367" i="8"/>
  <c r="M129" i="4"/>
  <c r="J202" i="7"/>
  <c r="J205" i="7" s="1"/>
  <c r="J109" i="7" s="1"/>
  <c r="J202" i="8"/>
  <c r="J205" i="8" s="1"/>
  <c r="J109" i="8" s="1"/>
  <c r="M390" i="8"/>
  <c r="M390" i="7"/>
  <c r="E374" i="7"/>
  <c r="E374" i="8"/>
  <c r="R130" i="4"/>
  <c r="R118" i="4"/>
  <c r="K263" i="8"/>
  <c r="D479" i="8"/>
  <c r="C427" i="8"/>
  <c r="C385" i="8"/>
  <c r="C306" i="8" s="1"/>
  <c r="G438" i="8"/>
  <c r="G395" i="8"/>
  <c r="Y438" i="8"/>
  <c r="Y395" i="8"/>
  <c r="F507" i="8"/>
  <c r="B477" i="8"/>
  <c r="C205" i="8"/>
  <c r="C109" i="8" s="1"/>
  <c r="B146" i="8"/>
  <c r="B146" i="7"/>
  <c r="G205" i="8"/>
  <c r="G109" i="8" s="1"/>
  <c r="C45" i="8"/>
  <c r="R439" i="8"/>
  <c r="V439" i="8"/>
  <c r="M388" i="8"/>
  <c r="M388" i="7"/>
  <c r="O113" i="4"/>
  <c r="BO64" i="4"/>
  <c r="C239" i="8"/>
  <c r="C113" i="8" s="1"/>
  <c r="C114" i="8" s="1"/>
  <c r="C28" i="8" s="1"/>
  <c r="C239" i="7"/>
  <c r="C113" i="7" s="1"/>
  <c r="C114" i="7" s="1"/>
  <c r="C28" i="7" s="1"/>
  <c r="C30" i="7" s="1"/>
  <c r="C32" i="7" s="1"/>
  <c r="O366" i="8"/>
  <c r="E420" i="8"/>
  <c r="K477" i="8"/>
  <c r="D427" i="8"/>
  <c r="D385" i="8"/>
  <c r="D306" i="8" s="1"/>
  <c r="F479" i="8"/>
  <c r="D205" i="8"/>
  <c r="D109" i="8" s="1"/>
  <c r="D121" i="8" s="1"/>
  <c r="Y274" i="8"/>
  <c r="M262" i="8"/>
  <c r="K439" i="8"/>
  <c r="D366" i="8"/>
  <c r="C346" i="8" l="1"/>
  <c r="C344" i="8" s="1"/>
  <c r="F434" i="8"/>
  <c r="H367" i="8"/>
  <c r="H368" i="8" s="1"/>
  <c r="K65" i="4"/>
  <c r="Y36" i="9"/>
  <c r="P39" i="9"/>
  <c r="X39" i="9" s="1"/>
  <c r="N84" i="9"/>
  <c r="N86" i="9" s="1"/>
  <c r="N87" i="9" s="1"/>
  <c r="F43" i="7"/>
  <c r="F312" i="7"/>
  <c r="D285" i="8"/>
  <c r="M213" i="8"/>
  <c r="H245" i="8"/>
  <c r="G245" i="7"/>
  <c r="G367" i="8"/>
  <c r="G368" i="8" s="1"/>
  <c r="K388" i="8"/>
  <c r="K391" i="8" s="1"/>
  <c r="FY21" i="5"/>
  <c r="O84" i="9"/>
  <c r="O40" i="9"/>
  <c r="B416" i="7"/>
  <c r="D435" i="8"/>
  <c r="P75" i="5"/>
  <c r="P77" i="5" s="1"/>
  <c r="AK300" i="5"/>
  <c r="AK301" i="5" s="1"/>
  <c r="AK302" i="5" s="1"/>
  <c r="AO35" i="5"/>
  <c r="I415" i="7"/>
  <c r="I435" i="7" s="1"/>
  <c r="AT35" i="5"/>
  <c r="AJ300" i="5"/>
  <c r="AJ301" i="5" s="1"/>
  <c r="AJ302" i="5" s="1"/>
  <c r="C391" i="8"/>
  <c r="AH57" i="5"/>
  <c r="AH59" i="5" s="1"/>
  <c r="AW300" i="5"/>
  <c r="AW301" i="5" s="1"/>
  <c r="AW302" i="5" s="1"/>
  <c r="AN35" i="5"/>
  <c r="AQ300" i="5"/>
  <c r="AQ301" i="5" s="1"/>
  <c r="AQ302" i="5" s="1"/>
  <c r="P62" i="5"/>
  <c r="P63" i="5" s="1"/>
  <c r="AM300" i="5"/>
  <c r="AM301" i="5" s="1"/>
  <c r="AM302" i="5" s="1"/>
  <c r="W35" i="5"/>
  <c r="AU300" i="5"/>
  <c r="AU301" i="5" s="1"/>
  <c r="AU302" i="5" s="1"/>
  <c r="AD57" i="5"/>
  <c r="AD59" i="5" s="1"/>
  <c r="G143" i="8"/>
  <c r="G155" i="8" s="1"/>
  <c r="G166" i="8" s="1"/>
  <c r="AP35" i="5"/>
  <c r="AI35" i="5"/>
  <c r="AR300" i="5"/>
  <c r="AR301" i="5" s="1"/>
  <c r="AR302" i="5" s="1"/>
  <c r="BB59" i="5"/>
  <c r="AO59" i="5"/>
  <c r="AV35" i="5"/>
  <c r="AZ59" i="5"/>
  <c r="BW59" i="5"/>
  <c r="F37" i="9" s="1"/>
  <c r="F36" i="9" s="1"/>
  <c r="F39" i="9" s="1"/>
  <c r="F84" i="9" s="1"/>
  <c r="F86" i="9" s="1"/>
  <c r="F87" i="9" s="1"/>
  <c r="BI59" i="5"/>
  <c r="BK59" i="5"/>
  <c r="BL59" i="5"/>
  <c r="AG35" i="5"/>
  <c r="AS35" i="5"/>
  <c r="AI57" i="5"/>
  <c r="BJ59" i="5"/>
  <c r="AH300" i="5"/>
  <c r="AH301" i="5" s="1"/>
  <c r="AH302" i="5" s="1"/>
  <c r="AJ57" i="5"/>
  <c r="AK57" i="5"/>
  <c r="AF300" i="5"/>
  <c r="AF301" i="5" s="1"/>
  <c r="AF302" i="5" s="1"/>
  <c r="BH57" i="5"/>
  <c r="L33" i="5"/>
  <c r="L35" i="5" s="1"/>
  <c r="DK300" i="5"/>
  <c r="DK301" i="5" s="1"/>
  <c r="DK302" i="5" s="1"/>
  <c r="AL57" i="5"/>
  <c r="AL59" i="5" s="1"/>
  <c r="AG57" i="5"/>
  <c r="AG59" i="5" s="1"/>
  <c r="AL300" i="5"/>
  <c r="AL301" i="5" s="1"/>
  <c r="AL302" i="5" s="1"/>
  <c r="E367" i="8"/>
  <c r="E368" i="8" s="1"/>
  <c r="H410" i="7"/>
  <c r="H308" i="7" s="1"/>
  <c r="H29" i="7" s="1"/>
  <c r="G410" i="7"/>
  <c r="G308" i="7" s="1"/>
  <c r="G29" i="7" s="1"/>
  <c r="G40" i="9"/>
  <c r="D40" i="9"/>
  <c r="H40" i="9"/>
  <c r="C40" i="9"/>
  <c r="E40" i="9"/>
  <c r="AE59" i="5"/>
  <c r="CD59" i="5"/>
  <c r="M37" i="9" s="1"/>
  <c r="W37" i="9" s="1"/>
  <c r="AF59" i="5"/>
  <c r="AC59" i="5"/>
  <c r="AA59" i="5"/>
  <c r="CB59" i="5"/>
  <c r="K37" i="9" s="1"/>
  <c r="AB59" i="5"/>
  <c r="I40" i="9"/>
  <c r="F144" i="4"/>
  <c r="E145" i="4"/>
  <c r="D145" i="4"/>
  <c r="F367" i="8"/>
  <c r="F368" i="8" s="1"/>
  <c r="J390" i="8"/>
  <c r="FO35" i="5"/>
  <c r="D78" i="5"/>
  <c r="E78" i="5"/>
  <c r="FO300" i="5"/>
  <c r="FO301" i="5" s="1"/>
  <c r="FO302" i="5" s="1"/>
  <c r="CA57" i="5"/>
  <c r="K428" i="7"/>
  <c r="L389" i="8"/>
  <c r="L385" i="7"/>
  <c r="L306" i="7" s="1"/>
  <c r="L22" i="7" s="1"/>
  <c r="I429" i="7"/>
  <c r="M158" i="8"/>
  <c r="K470" i="8"/>
  <c r="K24" i="8" s="1"/>
  <c r="K45" i="8" s="1"/>
  <c r="J470" i="8"/>
  <c r="J24" i="8" s="1"/>
  <c r="J45" i="8" s="1"/>
  <c r="T348" i="7"/>
  <c r="T367" i="7" s="1"/>
  <c r="T368" i="7" s="1"/>
  <c r="O470" i="8"/>
  <c r="O24" i="8" s="1"/>
  <c r="O45" i="8" s="1"/>
  <c r="H470" i="8"/>
  <c r="H24" i="8" s="1"/>
  <c r="H45" i="8" s="1"/>
  <c r="I346" i="7"/>
  <c r="I344" i="7" s="1"/>
  <c r="BL24" i="4"/>
  <c r="L75" i="4" s="1"/>
  <c r="G189" i="8"/>
  <c r="BJ24" i="4"/>
  <c r="P42" i="4"/>
  <c r="H367" i="7"/>
  <c r="H368" i="7" s="1"/>
  <c r="BM24" i="4"/>
  <c r="K428" i="8"/>
  <c r="C433" i="8"/>
  <c r="BA60" i="2"/>
  <c r="AR144" i="2"/>
  <c r="AR187" i="2"/>
  <c r="AW185" i="2"/>
  <c r="FX300" i="5"/>
  <c r="FX301" i="5" s="1"/>
  <c r="FX302" i="5" s="1"/>
  <c r="AF23" i="5"/>
  <c r="AF25" i="5" s="1"/>
  <c r="BK48" i="2"/>
  <c r="M117" i="7"/>
  <c r="E232" i="5"/>
  <c r="F229" i="5"/>
  <c r="F232" i="5" s="1"/>
  <c r="BD163" i="5"/>
  <c r="FX35" i="5"/>
  <c r="D250" i="5"/>
  <c r="V172" i="2"/>
  <c r="BI120" i="2"/>
  <c r="BI70" i="2" s="1"/>
  <c r="BI71" i="2" s="1"/>
  <c r="BD184" i="2"/>
  <c r="BB396" i="2"/>
  <c r="BB421" i="2" s="1"/>
  <c r="AQ61" i="2"/>
  <c r="FW301" i="5"/>
  <c r="FW302" i="5" s="1"/>
  <c r="Q42" i="4"/>
  <c r="E144" i="8"/>
  <c r="BI187" i="2"/>
  <c r="H86" i="9"/>
  <c r="H87" i="9" s="1"/>
  <c r="D86" i="9"/>
  <c r="D87" i="9" s="1"/>
  <c r="C86" i="9"/>
  <c r="C87" i="9" s="1"/>
  <c r="I86" i="9"/>
  <c r="I87" i="9" s="1"/>
  <c r="E86" i="9"/>
  <c r="E87" i="9" s="1"/>
  <c r="G86" i="9"/>
  <c r="G87" i="9" s="1"/>
  <c r="EV58" i="2"/>
  <c r="E238" i="5"/>
  <c r="E250" i="5" s="1"/>
  <c r="O26" i="5"/>
  <c r="O295" i="5"/>
  <c r="O296" i="5" s="1"/>
  <c r="O297" i="5" s="1"/>
  <c r="M35" i="5"/>
  <c r="M300" i="5"/>
  <c r="M301" i="5" s="1"/>
  <c r="M302" i="5" s="1"/>
  <c r="AL26" i="5"/>
  <c r="AL295" i="5"/>
  <c r="AL296" i="5" s="1"/>
  <c r="AL297" i="5" s="1"/>
  <c r="FV35" i="5"/>
  <c r="FV300" i="5"/>
  <c r="FV301" i="5" s="1"/>
  <c r="FV302" i="5" s="1"/>
  <c r="E66" i="5"/>
  <c r="E77" i="5" s="1"/>
  <c r="AI56" i="5"/>
  <c r="AO26" i="5"/>
  <c r="AO295" i="5"/>
  <c r="AO296" i="5" s="1"/>
  <c r="AO297" i="5" s="1"/>
  <c r="CC57" i="5"/>
  <c r="AM61" i="2"/>
  <c r="BO580" i="2"/>
  <c r="AT66" i="2"/>
  <c r="AT74" i="2"/>
  <c r="AT263" i="2"/>
  <c r="AT71" i="2"/>
  <c r="AT63" i="2"/>
  <c r="AT10" i="2"/>
  <c r="AT144" i="2"/>
  <c r="EB149" i="2"/>
  <c r="BA371" i="2"/>
  <c r="AN23" i="5"/>
  <c r="AN25" i="5" s="1"/>
  <c r="AN42" i="5" s="1"/>
  <c r="AM210" i="2"/>
  <c r="I410" i="8"/>
  <c r="I308" i="8" s="1"/>
  <c r="I29" i="8" s="1"/>
  <c r="BO576" i="2"/>
  <c r="AQ144" i="2"/>
  <c r="AE23" i="5"/>
  <c r="AE25" i="5" s="1"/>
  <c r="AE42" i="5" s="1"/>
  <c r="E346" i="7"/>
  <c r="E344" i="7" s="1"/>
  <c r="BD185" i="2"/>
  <c r="BD158" i="2"/>
  <c r="AK184" i="2"/>
  <c r="AZ60" i="2"/>
  <c r="AZ388" i="2"/>
  <c r="BO388" i="2" s="1"/>
  <c r="AZ395" i="2"/>
  <c r="AZ385" i="2"/>
  <c r="BO385" i="2" s="1"/>
  <c r="AZ390" i="2"/>
  <c r="BO390" i="2" s="1"/>
  <c r="AZ380" i="2"/>
  <c r="BO380" i="2" s="1"/>
  <c r="AZ386" i="2"/>
  <c r="BO386" i="2" s="1"/>
  <c r="AZ382" i="2"/>
  <c r="BO382" i="2" s="1"/>
  <c r="AZ383" i="2"/>
  <c r="BO383" i="2" s="1"/>
  <c r="AZ65" i="2"/>
  <c r="AZ66" i="2" s="1"/>
  <c r="AZ389" i="2"/>
  <c r="AZ384" i="2"/>
  <c r="BO384" i="2" s="1"/>
  <c r="AZ394" i="2"/>
  <c r="BO394" i="2" s="1"/>
  <c r="AZ381" i="2"/>
  <c r="AZ387" i="2"/>
  <c r="BO387" i="2" s="1"/>
  <c r="G250" i="5"/>
  <c r="AZ70" i="2"/>
  <c r="AZ121" i="2"/>
  <c r="AZ144" i="2"/>
  <c r="AZ369" i="2"/>
  <c r="AZ365" i="2"/>
  <c r="AZ361" i="2"/>
  <c r="BO361" i="2" s="1"/>
  <c r="AZ357" i="2"/>
  <c r="BO357" i="2" s="1"/>
  <c r="AZ359" i="2"/>
  <c r="AZ362" i="2"/>
  <c r="AZ364" i="2"/>
  <c r="BO364" i="2" s="1"/>
  <c r="AZ355" i="2"/>
  <c r="BO355" i="2" s="1"/>
  <c r="AZ363" i="2"/>
  <c r="BO363" i="2" s="1"/>
  <c r="AZ358" i="2"/>
  <c r="BO358" i="2" s="1"/>
  <c r="AZ360" i="2"/>
  <c r="AZ356" i="2"/>
  <c r="BO356" i="2" s="1"/>
  <c r="AZ370" i="2"/>
  <c r="BO370" i="2" s="1"/>
  <c r="AW210" i="2"/>
  <c r="AW184" i="2"/>
  <c r="I429" i="8"/>
  <c r="AQ121" i="2"/>
  <c r="AW23" i="5"/>
  <c r="AW25" i="5" s="1"/>
  <c r="AW42" i="5" s="1"/>
  <c r="BP251" i="2"/>
  <c r="BO591" i="2"/>
  <c r="BI75" i="2"/>
  <c r="BI198" i="2"/>
  <c r="BI63" i="2"/>
  <c r="BI48" i="2"/>
  <c r="BI199" i="2" s="1"/>
  <c r="EV57" i="2"/>
  <c r="EV59" i="2"/>
  <c r="BJ199" i="2"/>
  <c r="AA440" i="7"/>
  <c r="AN35" i="2"/>
  <c r="AN36" i="2" s="1"/>
  <c r="AN38" i="2"/>
  <c r="AM34" i="2"/>
  <c r="BG221" i="2"/>
  <c r="BG222" i="2" s="1"/>
  <c r="BG233" i="2" s="1"/>
  <c r="BG198" i="2"/>
  <c r="BG48" i="2"/>
  <c r="BG63" i="2"/>
  <c r="BG75" i="2"/>
  <c r="BP244" i="2"/>
  <c r="B250" i="5"/>
  <c r="I78" i="5"/>
  <c r="AQ210" i="2"/>
  <c r="BC184" i="2"/>
  <c r="AP210" i="2"/>
  <c r="AP184" i="2"/>
  <c r="BB184" i="2"/>
  <c r="J78" i="5"/>
  <c r="C250" i="5"/>
  <c r="AM187" i="2"/>
  <c r="AA23" i="5"/>
  <c r="AA25" i="5" s="1"/>
  <c r="AA42" i="5" s="1"/>
  <c r="AM144" i="2"/>
  <c r="AN144" i="2"/>
  <c r="AN187" i="2"/>
  <c r="AB23" i="5"/>
  <c r="AB25" i="5" s="1"/>
  <c r="AB42" i="5" s="1"/>
  <c r="BO570" i="2"/>
  <c r="DK60" i="2"/>
  <c r="AZ199" i="2"/>
  <c r="AZ183" i="2"/>
  <c r="AZ210" i="2" s="1"/>
  <c r="Z56" i="5"/>
  <c r="K23" i="5"/>
  <c r="K25" i="5" s="1"/>
  <c r="K42" i="5" s="1"/>
  <c r="EO61" i="2"/>
  <c r="BO505" i="2"/>
  <c r="U171" i="2"/>
  <c r="V187" i="2"/>
  <c r="J24" i="5"/>
  <c r="J23" i="5" s="1"/>
  <c r="J25" i="5" s="1"/>
  <c r="J42" i="5" s="1"/>
  <c r="BE61" i="2"/>
  <c r="BE60" i="2"/>
  <c r="BE210" i="2"/>
  <c r="BE158" i="2"/>
  <c r="BE185" i="2"/>
  <c r="D158" i="8"/>
  <c r="B211" i="8"/>
  <c r="C416" i="8"/>
  <c r="B282" i="8"/>
  <c r="C436" i="7"/>
  <c r="L388" i="7"/>
  <c r="I346" i="8"/>
  <c r="I344" i="8" s="1"/>
  <c r="EQ44" i="2"/>
  <c r="EJ44" i="2" s="1"/>
  <c r="EQ46" i="2"/>
  <c r="EJ46" i="2" s="1"/>
  <c r="EQ41" i="2"/>
  <c r="EJ41" i="2" s="1"/>
  <c r="EQ36" i="2"/>
  <c r="EJ36" i="2" s="1"/>
  <c r="EJ59" i="2" s="1"/>
  <c r="EQ37" i="2"/>
  <c r="EJ37" i="2" s="1"/>
  <c r="EJ58" i="2" s="1"/>
  <c r="EQ34" i="2"/>
  <c r="EJ34" i="2" s="1"/>
  <c r="EJ55" i="2" s="1"/>
  <c r="EQ49" i="2"/>
  <c r="EQ42" i="2"/>
  <c r="EJ42" i="2" s="1"/>
  <c r="EQ43" i="2"/>
  <c r="EJ43" i="2" s="1"/>
  <c r="EQ35" i="2"/>
  <c r="EJ35" i="2" s="1"/>
  <c r="EQ47" i="2"/>
  <c r="EJ47" i="2" s="1"/>
  <c r="EQ45" i="2"/>
  <c r="EJ45" i="2" s="1"/>
  <c r="EQ39" i="2"/>
  <c r="EJ39" i="2" s="1"/>
  <c r="EQ40" i="2"/>
  <c r="EJ40" i="2" s="1"/>
  <c r="EQ38" i="2"/>
  <c r="EJ38" i="2" s="1"/>
  <c r="G383" i="7"/>
  <c r="G428" i="7" s="1"/>
  <c r="G430" i="7" s="1"/>
  <c r="ES10" i="2"/>
  <c r="EV10" i="2" s="1"/>
  <c r="BA419" i="2"/>
  <c r="DK64" i="2"/>
  <c r="BO360" i="2"/>
  <c r="BO508" i="2"/>
  <c r="BP245" i="2"/>
  <c r="BP240" i="2"/>
  <c r="DK63" i="2"/>
  <c r="BH121" i="2"/>
  <c r="BH70" i="2"/>
  <c r="AV23" i="5"/>
  <c r="AV25" i="5" s="1"/>
  <c r="AV42" i="5" s="1"/>
  <c r="BH144" i="2"/>
  <c r="BH187" i="2"/>
  <c r="BO265" i="2"/>
  <c r="BP243" i="2"/>
  <c r="BO513" i="2"/>
  <c r="AP24" i="2"/>
  <c r="AP61" i="2"/>
  <c r="BB24" i="2"/>
  <c r="AT185" i="2"/>
  <c r="BO590" i="2"/>
  <c r="BO593" i="2"/>
  <c r="BH59" i="2"/>
  <c r="BH199" i="2"/>
  <c r="BI206" i="2"/>
  <c r="BO393" i="2"/>
  <c r="BQ393" i="2"/>
  <c r="DK66" i="2"/>
  <c r="BA408" i="2"/>
  <c r="BA415" i="2"/>
  <c r="BP241" i="2"/>
  <c r="AP68" i="2"/>
  <c r="AP120" i="2"/>
  <c r="AP74" i="2"/>
  <c r="BP246" i="2"/>
  <c r="BO568" i="2"/>
  <c r="BO587" i="2"/>
  <c r="BP255" i="2"/>
  <c r="U170" i="2"/>
  <c r="T167" i="2"/>
  <c r="AK120" i="2"/>
  <c r="AK68" i="2"/>
  <c r="AK74" i="2"/>
  <c r="BA413" i="2"/>
  <c r="ET57" i="2"/>
  <c r="BP250" i="2"/>
  <c r="EQ59" i="2"/>
  <c r="EQ56" i="2"/>
  <c r="EQ58" i="2"/>
  <c r="EQ61" i="2"/>
  <c r="AR24" i="2"/>
  <c r="BD24" i="2"/>
  <c r="AU184" i="2"/>
  <c r="AU210" i="2"/>
  <c r="BG184" i="2"/>
  <c r="BO585" i="2"/>
  <c r="BP242" i="2"/>
  <c r="DK59" i="2"/>
  <c r="BO586" i="2"/>
  <c r="BO584" i="2"/>
  <c r="BP254" i="2"/>
  <c r="BO572" i="2"/>
  <c r="BO389" i="2"/>
  <c r="AY23" i="2"/>
  <c r="AY151" i="2"/>
  <c r="BA145" i="2"/>
  <c r="BA134" i="2"/>
  <c r="EQ55" i="2"/>
  <c r="AO263" i="2"/>
  <c r="AO63" i="2"/>
  <c r="AO70" i="2"/>
  <c r="AO10" i="2"/>
  <c r="AO23" i="2" s="1"/>
  <c r="AO66" i="2"/>
  <c r="BA405" i="2"/>
  <c r="EQ57" i="2"/>
  <c r="AD61" i="2"/>
  <c r="AD60" i="2"/>
  <c r="AD210" i="2"/>
  <c r="AP60" i="2"/>
  <c r="BO519" i="2"/>
  <c r="BO526" i="2"/>
  <c r="BO514" i="2"/>
  <c r="BO523" i="2"/>
  <c r="AV525" i="2"/>
  <c r="BO525" i="2" s="1"/>
  <c r="BO518" i="2"/>
  <c r="BO507" i="2"/>
  <c r="BO509" i="2"/>
  <c r="BO520" i="2"/>
  <c r="BO512" i="2"/>
  <c r="BO504" i="2"/>
  <c r="BO521" i="2"/>
  <c r="BO515" i="2"/>
  <c r="BO522" i="2"/>
  <c r="BO511" i="2"/>
  <c r="K30" i="5"/>
  <c r="K31" i="5" s="1"/>
  <c r="V174" i="2"/>
  <c r="W177" i="2"/>
  <c r="W179" i="2" s="1"/>
  <c r="W183" i="2" s="1"/>
  <c r="AI184" i="2" s="1"/>
  <c r="BO578" i="2"/>
  <c r="BO575" i="2"/>
  <c r="BO574" i="2"/>
  <c r="BO517" i="2"/>
  <c r="BC396" i="2"/>
  <c r="BC421" i="2" s="1"/>
  <c r="BO502" i="2"/>
  <c r="G383" i="8"/>
  <c r="G428" i="8" s="1"/>
  <c r="AL61" i="2"/>
  <c r="AL24" i="2"/>
  <c r="BP256" i="2"/>
  <c r="EQ48" i="2"/>
  <c r="EJ48" i="2" s="1"/>
  <c r="BO506" i="2"/>
  <c r="BO368" i="2"/>
  <c r="AZ23" i="2"/>
  <c r="AZ151" i="2"/>
  <c r="BO579" i="2"/>
  <c r="BO588" i="2"/>
  <c r="CK24" i="2"/>
  <c r="AC210" i="2"/>
  <c r="AO184" i="2"/>
  <c r="AN60" i="2"/>
  <c r="AN61" i="2"/>
  <c r="AN210" i="2"/>
  <c r="M219" i="8"/>
  <c r="AR61" i="2"/>
  <c r="AL120" i="2"/>
  <c r="AL74" i="2"/>
  <c r="AL68" i="2"/>
  <c r="BA409" i="2"/>
  <c r="BA407" i="2"/>
  <c r="AV347" i="2"/>
  <c r="AV9" i="2"/>
  <c r="BO366" i="2"/>
  <c r="BO367" i="2"/>
  <c r="BO372" i="2"/>
  <c r="BP258" i="2"/>
  <c r="BP259" i="2"/>
  <c r="BO503" i="2"/>
  <c r="AX71" i="2"/>
  <c r="AX68" i="2"/>
  <c r="AX74" i="2"/>
  <c r="BL199" i="2"/>
  <c r="BL59" i="2"/>
  <c r="ET48" i="2"/>
  <c r="ET49" i="2" s="1"/>
  <c r="EU38" i="2" s="1"/>
  <c r="ES60" i="2"/>
  <c r="ES61" i="2" s="1"/>
  <c r="DK62" i="2"/>
  <c r="BC158" i="2"/>
  <c r="BC185" i="2"/>
  <c r="BP253" i="2"/>
  <c r="BO571" i="2"/>
  <c r="BO583" i="2"/>
  <c r="EA149" i="2"/>
  <c r="AS63" i="2"/>
  <c r="AS70" i="2"/>
  <c r="AS10" i="2"/>
  <c r="AS23" i="2" s="1"/>
  <c r="AS263" i="2"/>
  <c r="AS66" i="2"/>
  <c r="AU68" i="2"/>
  <c r="AU74" i="2"/>
  <c r="AU71" i="2"/>
  <c r="AU120" i="2"/>
  <c r="BC420" i="2"/>
  <c r="BO395" i="2"/>
  <c r="BO592" i="2"/>
  <c r="BJ184" i="2"/>
  <c r="BJ185" i="2"/>
  <c r="BJ210" i="2"/>
  <c r="B281" i="7"/>
  <c r="B283" i="7" s="1"/>
  <c r="BA411" i="2"/>
  <c r="AV318" i="2"/>
  <c r="BO569" i="2"/>
  <c r="BP252" i="2"/>
  <c r="AW317" i="2"/>
  <c r="AW318" i="2" s="1"/>
  <c r="AW320" i="2" s="1"/>
  <c r="AW345" i="2"/>
  <c r="BO340" i="2" s="1"/>
  <c r="EQ60" i="2"/>
  <c r="AR134" i="2"/>
  <c r="AR145" i="2"/>
  <c r="AM184" i="2"/>
  <c r="AA210" i="2"/>
  <c r="BQ392" i="2"/>
  <c r="BO589" i="2"/>
  <c r="BO573" i="2"/>
  <c r="BF199" i="2"/>
  <c r="BF59" i="2"/>
  <c r="AU24" i="2"/>
  <c r="AU61" i="2"/>
  <c r="BK59" i="2"/>
  <c r="BK199" i="2"/>
  <c r="AW422" i="2"/>
  <c r="BC416" i="2"/>
  <c r="BO391" i="2"/>
  <c r="DK61" i="2"/>
  <c r="AK24" i="2"/>
  <c r="AK61" i="2"/>
  <c r="BP257" i="2"/>
  <c r="BA74" i="2"/>
  <c r="BA68" i="2"/>
  <c r="BA71" i="2"/>
  <c r="BP249" i="2"/>
  <c r="M213" i="7"/>
  <c r="BA396" i="2"/>
  <c r="BA421" i="2" s="1"/>
  <c r="BP247" i="2"/>
  <c r="AX23" i="2"/>
  <c r="AX145" i="2"/>
  <c r="BP248" i="2"/>
  <c r="BJ60" i="2"/>
  <c r="BJ61" i="2"/>
  <c r="BO392" i="2"/>
  <c r="BO582" i="2"/>
  <c r="BO581" i="2"/>
  <c r="BO516" i="2"/>
  <c r="BA414" i="2"/>
  <c r="BO524" i="2"/>
  <c r="BB422" i="2"/>
  <c r="BO510" i="2"/>
  <c r="AA440" i="8"/>
  <c r="L388" i="8"/>
  <c r="L390" i="8"/>
  <c r="L390" i="7"/>
  <c r="BI24" i="4"/>
  <c r="L385" i="8"/>
  <c r="L306" i="8" s="1"/>
  <c r="L22" i="8" s="1"/>
  <c r="B391" i="8"/>
  <c r="B433" i="8"/>
  <c r="E433" i="8"/>
  <c r="I117" i="7"/>
  <c r="C435" i="8"/>
  <c r="B416" i="8"/>
  <c r="E416" i="8"/>
  <c r="D416" i="8"/>
  <c r="B436" i="7"/>
  <c r="F435" i="8"/>
  <c r="BW24" i="4"/>
  <c r="G391" i="8"/>
  <c r="F211" i="8"/>
  <c r="F281" i="8" s="1"/>
  <c r="F283" i="8" s="1"/>
  <c r="I435" i="8"/>
  <c r="E436" i="7"/>
  <c r="I391" i="8"/>
  <c r="B457" i="7"/>
  <c r="B480" i="7" s="1"/>
  <c r="E391" i="8"/>
  <c r="D433" i="8"/>
  <c r="E391" i="7"/>
  <c r="E434" i="8"/>
  <c r="H270" i="8"/>
  <c r="H272" i="8" s="1"/>
  <c r="H275" i="8" s="1"/>
  <c r="E435" i="8"/>
  <c r="H410" i="8"/>
  <c r="H308" i="8" s="1"/>
  <c r="H29" i="8" s="1"/>
  <c r="F416" i="8"/>
  <c r="B435" i="8"/>
  <c r="H415" i="8"/>
  <c r="H435" i="8" s="1"/>
  <c r="F391" i="8"/>
  <c r="F436" i="7"/>
  <c r="F433" i="8"/>
  <c r="E211" i="8"/>
  <c r="D391" i="7"/>
  <c r="H391" i="8"/>
  <c r="I427" i="8"/>
  <c r="R348" i="7"/>
  <c r="R346" i="7" s="1"/>
  <c r="R344" i="7" s="1"/>
  <c r="B457" i="8"/>
  <c r="BQ94" i="4"/>
  <c r="F219" i="7"/>
  <c r="F285" i="7" s="1"/>
  <c r="F219" i="8"/>
  <c r="F285" i="8" s="1"/>
  <c r="BX24" i="4"/>
  <c r="Q71" i="4"/>
  <c r="D243" i="7"/>
  <c r="D281" i="7" s="1"/>
  <c r="BU24" i="4"/>
  <c r="J158" i="8"/>
  <c r="D433" i="7"/>
  <c r="D436" i="7" s="1"/>
  <c r="D244" i="8"/>
  <c r="D282" i="8" s="1"/>
  <c r="D243" i="8"/>
  <c r="D281" i="8" s="1"/>
  <c r="BQ24" i="4"/>
  <c r="BQ42" i="4" s="1"/>
  <c r="G410" i="8"/>
  <c r="G308" i="8" s="1"/>
  <c r="G29" i="8" s="1"/>
  <c r="L188" i="8"/>
  <c r="D244" i="7"/>
  <c r="D282" i="7" s="1"/>
  <c r="H414" i="8"/>
  <c r="H434" i="8" s="1"/>
  <c r="C247" i="7"/>
  <c r="C285" i="7" s="1"/>
  <c r="C244" i="8"/>
  <c r="C282" i="8" s="1"/>
  <c r="C244" i="7"/>
  <c r="C282" i="7" s="1"/>
  <c r="B243" i="8"/>
  <c r="G239" i="7"/>
  <c r="G113" i="7" s="1"/>
  <c r="G114" i="7" s="1"/>
  <c r="G28" i="7" s="1"/>
  <c r="J144" i="8"/>
  <c r="C457" i="7"/>
  <c r="C480" i="7" s="1"/>
  <c r="R348" i="8"/>
  <c r="C457" i="8"/>
  <c r="C480" i="8" s="1"/>
  <c r="G427" i="8"/>
  <c r="J391" i="7"/>
  <c r="C247" i="8"/>
  <c r="C285" i="8" s="1"/>
  <c r="C243" i="7"/>
  <c r="C281" i="7" s="1"/>
  <c r="J388" i="8"/>
  <c r="H413" i="8"/>
  <c r="H433" i="8" s="1"/>
  <c r="G114" i="8"/>
  <c r="G28" i="8" s="1"/>
  <c r="B247" i="7"/>
  <c r="B285" i="7" s="1"/>
  <c r="H414" i="7"/>
  <c r="H434" i="7" s="1"/>
  <c r="B247" i="8"/>
  <c r="B285" i="8" s="1"/>
  <c r="J389" i="8"/>
  <c r="H413" i="7"/>
  <c r="H433" i="7" s="1"/>
  <c r="E17" i="8"/>
  <c r="E52" i="8" s="1"/>
  <c r="J244" i="8"/>
  <c r="H239" i="7"/>
  <c r="H113" i="7" s="1"/>
  <c r="H114" i="7" s="1"/>
  <c r="H28" i="7" s="1"/>
  <c r="H239" i="8"/>
  <c r="H113" i="8" s="1"/>
  <c r="H125" i="8" s="1"/>
  <c r="BD92" i="4"/>
  <c r="AL119" i="2"/>
  <c r="N189" i="8"/>
  <c r="BS94" i="4"/>
  <c r="BR24" i="4"/>
  <c r="R75" i="4" s="1"/>
  <c r="R73" i="4"/>
  <c r="R71" i="4"/>
  <c r="BO24" i="4"/>
  <c r="BO42" i="4" s="1"/>
  <c r="H470" i="7"/>
  <c r="H24" i="7" s="1"/>
  <c r="S71" i="4"/>
  <c r="BV24" i="4"/>
  <c r="Q348" i="7"/>
  <c r="Q367" i="7" s="1"/>
  <c r="Q368" i="7" s="1"/>
  <c r="M65" i="4"/>
  <c r="K457" i="7"/>
  <c r="K17" i="7" s="1"/>
  <c r="D144" i="4"/>
  <c r="G414" i="8"/>
  <c r="G434" i="8" s="1"/>
  <c r="U348" i="7"/>
  <c r="U346" i="7" s="1"/>
  <c r="U344" i="7" s="1"/>
  <c r="U348" i="8"/>
  <c r="U346" i="8" s="1"/>
  <c r="U344" i="8" s="1"/>
  <c r="F145" i="4"/>
  <c r="BF92" i="4"/>
  <c r="G413" i="8"/>
  <c r="G433" i="8" s="1"/>
  <c r="BS24" i="4"/>
  <c r="O348" i="7"/>
  <c r="H247" i="8"/>
  <c r="H285" i="8" s="1"/>
  <c r="H245" i="7"/>
  <c r="F457" i="7"/>
  <c r="F17" i="7" s="1"/>
  <c r="O348" i="8"/>
  <c r="I410" i="7"/>
  <c r="I308" i="7" s="1"/>
  <c r="I29" i="7" s="1"/>
  <c r="BE92" i="4"/>
  <c r="K470" i="7"/>
  <c r="K24" i="7" s="1"/>
  <c r="G415" i="8"/>
  <c r="G435" i="8" s="1"/>
  <c r="G414" i="7"/>
  <c r="G434" i="7" s="1"/>
  <c r="L333" i="7"/>
  <c r="L333" i="8"/>
  <c r="F440" i="8"/>
  <c r="B49" i="9"/>
  <c r="B154" i="9"/>
  <c r="G415" i="7"/>
  <c r="G435" i="7" s="1"/>
  <c r="B140" i="9"/>
  <c r="I114" i="8"/>
  <c r="I28" i="8" s="1"/>
  <c r="K385" i="8"/>
  <c r="K306" i="8" s="1"/>
  <c r="K22" i="8" s="1"/>
  <c r="J114" i="8"/>
  <c r="J28" i="8" s="1"/>
  <c r="I211" i="7"/>
  <c r="I281" i="7" s="1"/>
  <c r="I212" i="8"/>
  <c r="I282" i="8" s="1"/>
  <c r="J244" i="7"/>
  <c r="I212" i="7"/>
  <c r="I282" i="7" s="1"/>
  <c r="G247" i="7"/>
  <c r="K333" i="7"/>
  <c r="K333" i="8"/>
  <c r="I413" i="7"/>
  <c r="I433" i="7" s="1"/>
  <c r="I413" i="8"/>
  <c r="I414" i="7"/>
  <c r="I434" i="7" s="1"/>
  <c r="I414" i="8"/>
  <c r="I434" i="8" s="1"/>
  <c r="I285" i="7"/>
  <c r="I219" i="8"/>
  <c r="Q440" i="8"/>
  <c r="E144" i="4"/>
  <c r="L65" i="4"/>
  <c r="F243" i="7"/>
  <c r="F281" i="7" s="1"/>
  <c r="F283" i="7" s="1"/>
  <c r="J243" i="7"/>
  <c r="I270" i="7"/>
  <c r="I272" i="7" s="1"/>
  <c r="I275" i="7" s="1"/>
  <c r="I200" i="8"/>
  <c r="I270" i="8" s="1"/>
  <c r="I272" i="8" s="1"/>
  <c r="I275" i="8" s="1"/>
  <c r="K385" i="7"/>
  <c r="K306" i="7" s="1"/>
  <c r="K22" i="7" s="1"/>
  <c r="Q348" i="8"/>
  <c r="O470" i="7"/>
  <c r="O24" i="7" s="1"/>
  <c r="O45" i="7" s="1"/>
  <c r="M189" i="8"/>
  <c r="F480" i="8"/>
  <c r="I158" i="7"/>
  <c r="I158" i="8"/>
  <c r="M200" i="7"/>
  <c r="M200" i="8"/>
  <c r="N333" i="8"/>
  <c r="N333" i="7"/>
  <c r="L457" i="7"/>
  <c r="L17" i="7" s="1"/>
  <c r="E457" i="7"/>
  <c r="E480" i="7" s="1"/>
  <c r="J247" i="7"/>
  <c r="F346" i="7"/>
  <c r="F344" i="7" s="1"/>
  <c r="N440" i="8"/>
  <c r="N470" i="7"/>
  <c r="N24" i="7" s="1"/>
  <c r="N45" i="7" s="1"/>
  <c r="N470" i="8"/>
  <c r="N24" i="8" s="1"/>
  <c r="N45" i="8" s="1"/>
  <c r="I243" i="8"/>
  <c r="I281" i="8" s="1"/>
  <c r="J470" i="7"/>
  <c r="J24" i="7" s="1"/>
  <c r="J45" i="7" s="1"/>
  <c r="J429" i="7"/>
  <c r="I247" i="8"/>
  <c r="N144" i="7"/>
  <c r="N142" i="7"/>
  <c r="N154" i="7" s="1"/>
  <c r="T348" i="8"/>
  <c r="T346" i="8" s="1"/>
  <c r="T344" i="8" s="1"/>
  <c r="G245" i="8"/>
  <c r="F189" i="7"/>
  <c r="F189" i="8"/>
  <c r="BK24" i="4"/>
  <c r="BK94" i="4"/>
  <c r="BP24" i="4"/>
  <c r="BP42" i="4" s="1"/>
  <c r="BP94" i="4"/>
  <c r="W440" i="8"/>
  <c r="K244" i="7"/>
  <c r="K244" i="8"/>
  <c r="F373" i="8"/>
  <c r="F352" i="8" s="1"/>
  <c r="F356" i="8" s="1"/>
  <c r="F373" i="7"/>
  <c r="F352" i="7" s="1"/>
  <c r="F356" i="7" s="1"/>
  <c r="J457" i="8"/>
  <c r="J457" i="7"/>
  <c r="Z440" i="8"/>
  <c r="D457" i="7"/>
  <c r="D480" i="7" s="1"/>
  <c r="D17" i="8"/>
  <c r="D38" i="8" s="1"/>
  <c r="H440" i="8"/>
  <c r="E125" i="8"/>
  <c r="B275" i="8"/>
  <c r="J121" i="8"/>
  <c r="I121" i="8"/>
  <c r="E275" i="8"/>
  <c r="C368" i="8"/>
  <c r="C275" i="8"/>
  <c r="J239" i="7"/>
  <c r="J113" i="7" s="1"/>
  <c r="J114" i="7" s="1"/>
  <c r="J28" i="7" s="1"/>
  <c r="I239" i="7"/>
  <c r="I113" i="7" s="1"/>
  <c r="I114" i="7" s="1"/>
  <c r="I28" i="7" s="1"/>
  <c r="G346" i="7"/>
  <c r="G344" i="7" s="1"/>
  <c r="G367" i="7"/>
  <c r="G368" i="7" s="1"/>
  <c r="H457" i="7"/>
  <c r="H17" i="7" s="1"/>
  <c r="H457" i="8"/>
  <c r="S348" i="7"/>
  <c r="S348" i="8"/>
  <c r="C189" i="7"/>
  <c r="C189" i="8"/>
  <c r="J373" i="7"/>
  <c r="J352" i="7" s="1"/>
  <c r="J356" i="7" s="1"/>
  <c r="J373" i="8"/>
  <c r="J352" i="8" s="1"/>
  <c r="J356" i="8" s="1"/>
  <c r="J383" i="7"/>
  <c r="J383" i="8"/>
  <c r="T440" i="8"/>
  <c r="N457" i="7"/>
  <c r="BH94" i="4"/>
  <c r="BH24" i="4"/>
  <c r="B333" i="8"/>
  <c r="B333" i="7"/>
  <c r="K373" i="7"/>
  <c r="K352" i="7" s="1"/>
  <c r="K356" i="7" s="1"/>
  <c r="K373" i="8"/>
  <c r="K352" i="8" s="1"/>
  <c r="K356" i="8" s="1"/>
  <c r="M457" i="7"/>
  <c r="M17" i="7" s="1"/>
  <c r="B368" i="8"/>
  <c r="M457" i="8"/>
  <c r="M17" i="8" s="1"/>
  <c r="B373" i="8"/>
  <c r="B352" i="8" s="1"/>
  <c r="B356" i="8" s="1"/>
  <c r="B359" i="8" s="1"/>
  <c r="B304" i="8" s="1"/>
  <c r="B310" i="8" s="1"/>
  <c r="B373" i="7"/>
  <c r="B352" i="7" s="1"/>
  <c r="B356" i="7" s="1"/>
  <c r="B359" i="7" s="1"/>
  <c r="B304" i="7" s="1"/>
  <c r="B310" i="7" s="1"/>
  <c r="M76" i="4"/>
  <c r="M126" i="4"/>
  <c r="M131" i="4" s="1"/>
  <c r="N348" i="7"/>
  <c r="N348" i="8"/>
  <c r="H158" i="7"/>
  <c r="H158" i="8"/>
  <c r="M118" i="4"/>
  <c r="K239" i="7"/>
  <c r="K113" i="7" s="1"/>
  <c r="K114" i="7" s="1"/>
  <c r="K28" i="7" s="1"/>
  <c r="K239" i="8"/>
  <c r="K113" i="8" s="1"/>
  <c r="K114" i="8" s="1"/>
  <c r="K28" i="8" s="1"/>
  <c r="E117" i="8"/>
  <c r="M348" i="7"/>
  <c r="M348" i="8"/>
  <c r="R264" i="8"/>
  <c r="M373" i="7"/>
  <c r="M352" i="7" s="1"/>
  <c r="M356" i="7" s="1"/>
  <c r="M373" i="8"/>
  <c r="M352" i="8" s="1"/>
  <c r="M356" i="8" s="1"/>
  <c r="G158" i="7"/>
  <c r="G158" i="8"/>
  <c r="M117" i="8"/>
  <c r="G275" i="8"/>
  <c r="G121" i="8"/>
  <c r="G440" i="8"/>
  <c r="E121" i="7"/>
  <c r="G219" i="7"/>
  <c r="G219" i="8"/>
  <c r="G212" i="7"/>
  <c r="G212" i="8"/>
  <c r="C346" i="7"/>
  <c r="C344" i="7" s="1"/>
  <c r="C367" i="7"/>
  <c r="C368" i="7" s="1"/>
  <c r="O457" i="7"/>
  <c r="O457" i="8"/>
  <c r="G270" i="7"/>
  <c r="G272" i="7" s="1"/>
  <c r="G275" i="7" s="1"/>
  <c r="B30" i="8"/>
  <c r="B32" i="8" s="1"/>
  <c r="I457" i="7"/>
  <c r="I457" i="8"/>
  <c r="N130" i="4"/>
  <c r="N131" i="4" s="1"/>
  <c r="N118" i="4"/>
  <c r="O440" i="8"/>
  <c r="L440" i="8"/>
  <c r="C430" i="8"/>
  <c r="F275" i="8"/>
  <c r="E114" i="7"/>
  <c r="E28" i="7" s="1"/>
  <c r="E30" i="7" s="1"/>
  <c r="E32" i="7" s="1"/>
  <c r="B430" i="8"/>
  <c r="D275" i="8"/>
  <c r="P440" i="8"/>
  <c r="I368" i="8"/>
  <c r="S440" i="8"/>
  <c r="C30" i="8"/>
  <c r="C32" i="8" s="1"/>
  <c r="D125" i="7"/>
  <c r="D121" i="7"/>
  <c r="D114" i="7"/>
  <c r="D28" i="7" s="1"/>
  <c r="D30" i="7" s="1"/>
  <c r="D32" i="7" s="1"/>
  <c r="L480" i="8"/>
  <c r="F430" i="8"/>
  <c r="M264" i="8"/>
  <c r="J429" i="8"/>
  <c r="Y440" i="8"/>
  <c r="B440" i="8"/>
  <c r="M440" i="8"/>
  <c r="E440" i="8"/>
  <c r="K243" i="7"/>
  <c r="K243" i="8"/>
  <c r="D430" i="8"/>
  <c r="D30" i="8"/>
  <c r="D32" i="8" s="1"/>
  <c r="I440" i="8"/>
  <c r="X440" i="8"/>
  <c r="U440" i="8"/>
  <c r="C121" i="8"/>
  <c r="B114" i="7"/>
  <c r="B28" i="7" s="1"/>
  <c r="B30" i="7" s="1"/>
  <c r="B32" i="7" s="1"/>
  <c r="C440" i="8"/>
  <c r="B189" i="7"/>
  <c r="B189" i="8"/>
  <c r="H117" i="8"/>
  <c r="G17" i="8"/>
  <c r="G480" i="8"/>
  <c r="L200" i="8"/>
  <c r="L200" i="7"/>
  <c r="F52" i="8"/>
  <c r="F38" i="8"/>
  <c r="E373" i="7"/>
  <c r="E352" i="7" s="1"/>
  <c r="E356" i="7" s="1"/>
  <c r="E373" i="8"/>
  <c r="E352" i="8" s="1"/>
  <c r="E356" i="8" s="1"/>
  <c r="G480" i="7"/>
  <c r="G17" i="7"/>
  <c r="L213" i="7"/>
  <c r="L213" i="8"/>
  <c r="K213" i="8"/>
  <c r="K213" i="7"/>
  <c r="E247" i="8"/>
  <c r="E285" i="8" s="1"/>
  <c r="E247" i="7"/>
  <c r="E285" i="7" s="1"/>
  <c r="I189" i="7"/>
  <c r="I189" i="8"/>
  <c r="E243" i="7"/>
  <c r="E281" i="7" s="1"/>
  <c r="E243" i="8"/>
  <c r="K200" i="8"/>
  <c r="K270" i="8" s="1"/>
  <c r="K272" i="8" s="1"/>
  <c r="K275" i="8" s="1"/>
  <c r="K200" i="7"/>
  <c r="BN94" i="4"/>
  <c r="BN24" i="4"/>
  <c r="Q118" i="4"/>
  <c r="Q76" i="4"/>
  <c r="E244" i="8"/>
  <c r="E282" i="8" s="1"/>
  <c r="E244" i="7"/>
  <c r="E282" i="7" s="1"/>
  <c r="L52" i="8"/>
  <c r="L38" i="8"/>
  <c r="L117" i="7"/>
  <c r="L117" i="8"/>
  <c r="L158" i="8"/>
  <c r="L158" i="7"/>
  <c r="J362" i="7"/>
  <c r="J364" i="7" s="1"/>
  <c r="P118" i="4"/>
  <c r="P76" i="4"/>
  <c r="P126" i="4"/>
  <c r="F117" i="8"/>
  <c r="C117" i="8"/>
  <c r="R440" i="8"/>
  <c r="I385" i="8"/>
  <c r="I306" i="8" s="1"/>
  <c r="I428" i="7"/>
  <c r="I385" i="7"/>
  <c r="I306" i="7" s="1"/>
  <c r="C125" i="8"/>
  <c r="G117" i="8"/>
  <c r="J117" i="8"/>
  <c r="J125" i="8"/>
  <c r="P367" i="7"/>
  <c r="P368" i="7" s="1"/>
  <c r="P346" i="7"/>
  <c r="P344" i="7" s="1"/>
  <c r="K117" i="8"/>
  <c r="G125" i="8"/>
  <c r="F312" i="8"/>
  <c r="F22" i="8"/>
  <c r="F43" i="8" s="1"/>
  <c r="P373" i="8"/>
  <c r="P352" i="8" s="1"/>
  <c r="P356" i="8" s="1"/>
  <c r="P373" i="7"/>
  <c r="P352" i="7" s="1"/>
  <c r="P356" i="7" s="1"/>
  <c r="B121" i="8"/>
  <c r="K391" i="7"/>
  <c r="C312" i="8"/>
  <c r="C22" i="8"/>
  <c r="C43" i="8" s="1"/>
  <c r="K158" i="8"/>
  <c r="K158" i="7"/>
  <c r="N373" i="8"/>
  <c r="N352" i="8" s="1"/>
  <c r="N356" i="8" s="1"/>
  <c r="N373" i="7"/>
  <c r="N352" i="7" s="1"/>
  <c r="N356" i="7" s="1"/>
  <c r="K117" i="7"/>
  <c r="M391" i="8"/>
  <c r="D348" i="8"/>
  <c r="D348" i="7"/>
  <c r="B158" i="8"/>
  <c r="B158" i="7"/>
  <c r="E30" i="8"/>
  <c r="E32" i="8" s="1"/>
  <c r="L348" i="8"/>
  <c r="L348" i="7"/>
  <c r="B125" i="7"/>
  <c r="B117" i="7"/>
  <c r="N384" i="7"/>
  <c r="N384" i="8"/>
  <c r="D440" i="8"/>
  <c r="J362" i="8"/>
  <c r="J364" i="8" s="1"/>
  <c r="J333" i="8"/>
  <c r="J333" i="7"/>
  <c r="P367" i="8"/>
  <c r="P368" i="8" s="1"/>
  <c r="P346" i="8"/>
  <c r="P344" i="8" s="1"/>
  <c r="M22" i="7"/>
  <c r="K264" i="8"/>
  <c r="M391" i="7"/>
  <c r="B117" i="8"/>
  <c r="B125" i="8"/>
  <c r="L142" i="4"/>
  <c r="M22" i="8"/>
  <c r="G264" i="8"/>
  <c r="J348" i="8"/>
  <c r="J348" i="7"/>
  <c r="J117" i="7"/>
  <c r="H384" i="7"/>
  <c r="H429" i="7" s="1"/>
  <c r="H384" i="8"/>
  <c r="H429" i="8" s="1"/>
  <c r="E312" i="8"/>
  <c r="E22" i="8"/>
  <c r="E43" i="8" s="1"/>
  <c r="K440" i="8"/>
  <c r="F239" i="8"/>
  <c r="F113" i="8" s="1"/>
  <c r="F121" i="8" s="1"/>
  <c r="F239" i="7"/>
  <c r="F113" i="7" s="1"/>
  <c r="D312" i="8"/>
  <c r="D22" i="8"/>
  <c r="D43" i="8" s="1"/>
  <c r="K348" i="7"/>
  <c r="K348" i="8"/>
  <c r="H373" i="7"/>
  <c r="H352" i="7" s="1"/>
  <c r="H356" i="7" s="1"/>
  <c r="H373" i="8"/>
  <c r="H352" i="8" s="1"/>
  <c r="H356" i="8" s="1"/>
  <c r="E430" i="8"/>
  <c r="J440" i="8"/>
  <c r="D125" i="8"/>
  <c r="D117" i="8"/>
  <c r="O126" i="4"/>
  <c r="O76" i="4"/>
  <c r="O118" i="4"/>
  <c r="J200" i="7"/>
  <c r="J270" i="7" s="1"/>
  <c r="J272" i="7" s="1"/>
  <c r="J275" i="7" s="1"/>
  <c r="J200" i="8"/>
  <c r="J270" i="8" s="1"/>
  <c r="J272" i="8" s="1"/>
  <c r="J275" i="8" s="1"/>
  <c r="C121" i="7"/>
  <c r="C125" i="7"/>
  <c r="B312" i="8"/>
  <c r="B22" i="8"/>
  <c r="B43" i="8" s="1"/>
  <c r="J213" i="7"/>
  <c r="J213" i="8"/>
  <c r="M470" i="7"/>
  <c r="M24" i="7" s="1"/>
  <c r="M45" i="7" s="1"/>
  <c r="M470" i="8"/>
  <c r="M24" i="8" s="1"/>
  <c r="M45" i="8" s="1"/>
  <c r="I125" i="8"/>
  <c r="BG94" i="4"/>
  <c r="BG24" i="4"/>
  <c r="BG42" i="4" s="1"/>
  <c r="L24" i="7"/>
  <c r="I117" i="8"/>
  <c r="H383" i="7"/>
  <c r="H383" i="8"/>
  <c r="V440" i="8"/>
  <c r="P40" i="9" l="1"/>
  <c r="K38" i="8"/>
  <c r="P65" i="4"/>
  <c r="Q65" i="4"/>
  <c r="Y39" i="9"/>
  <c r="P84" i="9"/>
  <c r="P86" i="9" s="1"/>
  <c r="P87" i="9" s="1"/>
  <c r="D436" i="8"/>
  <c r="O86" i="9"/>
  <c r="O87" i="9" s="1"/>
  <c r="K36" i="9"/>
  <c r="H143" i="7"/>
  <c r="H155" i="7" s="1"/>
  <c r="H166" i="7" s="1"/>
  <c r="H143" i="8"/>
  <c r="H155" i="8" s="1"/>
  <c r="H166" i="8" s="1"/>
  <c r="K52" i="8"/>
  <c r="M36" i="9"/>
  <c r="W36" i="9" s="1"/>
  <c r="I430" i="7"/>
  <c r="H144" i="8"/>
  <c r="G144" i="8"/>
  <c r="T346" i="7"/>
  <c r="T344" i="7" s="1"/>
  <c r="L300" i="5"/>
  <c r="L301" i="5" s="1"/>
  <c r="L302" i="5" s="1"/>
  <c r="G144" i="7"/>
  <c r="G143" i="7"/>
  <c r="G155" i="7" s="1"/>
  <c r="G166" i="7" s="1"/>
  <c r="G385" i="7"/>
  <c r="G306" i="7" s="1"/>
  <c r="G312" i="7" s="1"/>
  <c r="H142" i="7"/>
  <c r="H154" i="7" s="1"/>
  <c r="H144" i="7"/>
  <c r="H30" i="7"/>
  <c r="H32" i="7" s="1"/>
  <c r="E189" i="7"/>
  <c r="E259" i="7" s="1"/>
  <c r="E267" i="7" s="1"/>
  <c r="E278" i="7" s="1"/>
  <c r="F40" i="9"/>
  <c r="G30" i="7"/>
  <c r="G32" i="7" s="1"/>
  <c r="BH59" i="5"/>
  <c r="AK59" i="5"/>
  <c r="AJ59" i="5"/>
  <c r="K33" i="5"/>
  <c r="K300" i="5" s="1"/>
  <c r="K301" i="5" s="1"/>
  <c r="K302" i="5" s="1"/>
  <c r="CC59" i="5"/>
  <c r="L37" i="9" s="1"/>
  <c r="AF295" i="5"/>
  <c r="AF296" i="5" s="1"/>
  <c r="AF297" i="5" s="1"/>
  <c r="AF42" i="5"/>
  <c r="CA59" i="5"/>
  <c r="J37" i="9" s="1"/>
  <c r="AI59" i="5"/>
  <c r="BQ65" i="4"/>
  <c r="AF26" i="5"/>
  <c r="G189" i="7"/>
  <c r="G259" i="7" s="1"/>
  <c r="G267" i="7" s="1"/>
  <c r="G278" i="7" s="1"/>
  <c r="M75" i="4"/>
  <c r="E189" i="8"/>
  <c r="E259" i="8" s="1"/>
  <c r="E267" i="8" s="1"/>
  <c r="E278" i="8" s="1"/>
  <c r="K480" i="8"/>
  <c r="E188" i="8"/>
  <c r="H189" i="8"/>
  <c r="H197" i="8" s="1"/>
  <c r="H208" i="8" s="1"/>
  <c r="H189" i="7"/>
  <c r="H197" i="7" s="1"/>
  <c r="H208" i="7" s="1"/>
  <c r="C436" i="8"/>
  <c r="E143" i="7"/>
  <c r="E155" i="7" s="1"/>
  <c r="E166" i="7" s="1"/>
  <c r="E147" i="8"/>
  <c r="E144" i="7"/>
  <c r="BI121" i="2"/>
  <c r="BI144" i="2"/>
  <c r="I30" i="8"/>
  <c r="I32" i="8" s="1"/>
  <c r="AZ415" i="2"/>
  <c r="L78" i="5"/>
  <c r="BO365" i="2"/>
  <c r="U172" i="2"/>
  <c r="AZ412" i="2"/>
  <c r="BQ387" i="2" s="1"/>
  <c r="AZ409" i="2"/>
  <c r="BQ384" i="2" s="1"/>
  <c r="AN26" i="5"/>
  <c r="AN295" i="5"/>
  <c r="AN296" i="5" s="1"/>
  <c r="AN297" i="5" s="1"/>
  <c r="J26" i="5"/>
  <c r="J295" i="5"/>
  <c r="J296" i="5" s="1"/>
  <c r="J297" i="5" s="1"/>
  <c r="K26" i="5"/>
  <c r="K295" i="5"/>
  <c r="K296" i="5" s="1"/>
  <c r="K297" i="5" s="1"/>
  <c r="AV26" i="5"/>
  <c r="AV295" i="5"/>
  <c r="AV296" i="5" s="1"/>
  <c r="AV297" i="5" s="1"/>
  <c r="AB26" i="5"/>
  <c r="AB295" i="5"/>
  <c r="AB296" i="5" s="1"/>
  <c r="AB297" i="5" s="1"/>
  <c r="AW26" i="5"/>
  <c r="AW295" i="5"/>
  <c r="AW296" i="5" s="1"/>
  <c r="AW297" i="5" s="1"/>
  <c r="AA26" i="5"/>
  <c r="AA295" i="5"/>
  <c r="AA296" i="5" s="1"/>
  <c r="AA297" i="5" s="1"/>
  <c r="AE26" i="5"/>
  <c r="AE295" i="5"/>
  <c r="AE296" i="5" s="1"/>
  <c r="AE297" i="5" s="1"/>
  <c r="AT23" i="2"/>
  <c r="AT145" i="2"/>
  <c r="AZ406" i="2"/>
  <c r="BQ381" i="2" s="1"/>
  <c r="EB148" i="2"/>
  <c r="EB138" i="2"/>
  <c r="EB141" i="2"/>
  <c r="EB143" i="2"/>
  <c r="EB142" i="2"/>
  <c r="EB137" i="2"/>
  <c r="EB140" i="2"/>
  <c r="EB139" i="2"/>
  <c r="EB144" i="2"/>
  <c r="AZ419" i="2"/>
  <c r="BQ394" i="2" s="1"/>
  <c r="I430" i="8"/>
  <c r="BO359" i="2"/>
  <c r="AZ145" i="2"/>
  <c r="AZ134" i="2"/>
  <c r="AZ185" i="2" s="1"/>
  <c r="AZ68" i="2"/>
  <c r="AZ71" i="2"/>
  <c r="AZ74" i="2"/>
  <c r="BO362" i="2"/>
  <c r="AZ407" i="2"/>
  <c r="BQ382" i="2" s="1"/>
  <c r="AZ411" i="2"/>
  <c r="BO381" i="2"/>
  <c r="AZ396" i="2"/>
  <c r="BO396" i="2" s="1"/>
  <c r="AQ145" i="2"/>
  <c r="AQ134" i="2"/>
  <c r="BO369" i="2"/>
  <c r="AZ420" i="2"/>
  <c r="BQ395" i="2" s="1"/>
  <c r="BO345" i="2"/>
  <c r="BO335" i="2"/>
  <c r="BO343" i="2"/>
  <c r="AZ410" i="2"/>
  <c r="BO341" i="2"/>
  <c r="AZ408" i="2"/>
  <c r="BQ383" i="2" s="1"/>
  <c r="BI74" i="2"/>
  <c r="AZ413" i="2"/>
  <c r="BQ388" i="2" s="1"/>
  <c r="BI68" i="2"/>
  <c r="AZ405" i="2"/>
  <c r="BQ380" i="2" s="1"/>
  <c r="AZ371" i="2"/>
  <c r="AZ414" i="2"/>
  <c r="BQ389" i="2" s="1"/>
  <c r="BG199" i="2"/>
  <c r="BG59" i="2"/>
  <c r="BL184" i="2"/>
  <c r="AZ184" i="2"/>
  <c r="AM35" i="2"/>
  <c r="AM36" i="2" s="1"/>
  <c r="AL34" i="2"/>
  <c r="AM38" i="2"/>
  <c r="BQ317" i="2"/>
  <c r="BI59" i="2"/>
  <c r="BI210" i="2" s="1"/>
  <c r="T171" i="2"/>
  <c r="I24" i="5"/>
  <c r="U187" i="2"/>
  <c r="BO317" i="2"/>
  <c r="M212" i="7"/>
  <c r="M212" i="8"/>
  <c r="M219" i="7"/>
  <c r="B281" i="8"/>
  <c r="B283" i="8" s="1"/>
  <c r="L391" i="7"/>
  <c r="BA158" i="2"/>
  <c r="BA185" i="2"/>
  <c r="BO330" i="2"/>
  <c r="BJ24" i="2"/>
  <c r="AX24" i="2"/>
  <c r="AX61" i="2"/>
  <c r="AX158" i="2"/>
  <c r="BO306" i="2"/>
  <c r="BO312" i="2"/>
  <c r="BO318" i="2"/>
  <c r="BO305" i="2"/>
  <c r="BO300" i="2"/>
  <c r="BO320" i="2" s="1"/>
  <c r="BO311" i="2"/>
  <c r="BO316" i="2"/>
  <c r="BO310" i="2"/>
  <c r="BO303" i="2"/>
  <c r="BO302" i="2"/>
  <c r="BO301" i="2"/>
  <c r="BO307" i="2"/>
  <c r="AV320" i="2"/>
  <c r="BO314" i="2"/>
  <c r="BO313" i="2"/>
  <c r="BO304" i="2"/>
  <c r="BO309" i="2"/>
  <c r="BQ318" i="2"/>
  <c r="BO308" i="2"/>
  <c r="BO315" i="2"/>
  <c r="BO344" i="2"/>
  <c r="ES16" i="2"/>
  <c r="EU48" i="2"/>
  <c r="AV63" i="2"/>
  <c r="AV263" i="2"/>
  <c r="AV66" i="2"/>
  <c r="AV10" i="2"/>
  <c r="AV23" i="2" s="1"/>
  <c r="AV70" i="2"/>
  <c r="AY24" i="2"/>
  <c r="AY158" i="2"/>
  <c r="AY61" i="2"/>
  <c r="BK24" i="2"/>
  <c r="S167" i="2"/>
  <c r="T170" i="2"/>
  <c r="EJ57" i="2"/>
  <c r="AL187" i="2"/>
  <c r="Z23" i="5"/>
  <c r="AL144" i="2"/>
  <c r="AZ24" i="2"/>
  <c r="BL24" i="2"/>
  <c r="AZ61" i="2"/>
  <c r="ES50" i="2"/>
  <c r="BH61" i="2"/>
  <c r="BH60" i="2"/>
  <c r="BH210" i="2"/>
  <c r="BK61" i="2"/>
  <c r="BK210" i="2"/>
  <c r="BK60" i="2"/>
  <c r="AW347" i="2"/>
  <c r="AW9" i="2"/>
  <c r="BO332" i="2"/>
  <c r="BO337" i="2"/>
  <c r="BO339" i="2"/>
  <c r="BO334" i="2"/>
  <c r="BO328" i="2"/>
  <c r="BO342" i="2"/>
  <c r="BO327" i="2"/>
  <c r="BO347" i="2" s="1"/>
  <c r="BO333" i="2"/>
  <c r="BO329" i="2"/>
  <c r="AS74" i="2"/>
  <c r="AS68" i="2"/>
  <c r="AS120" i="2"/>
  <c r="BL60" i="2"/>
  <c r="BL210" i="2"/>
  <c r="BL61" i="2"/>
  <c r="BA422" i="2"/>
  <c r="BH145" i="2"/>
  <c r="BH134" i="2"/>
  <c r="EJ60" i="2"/>
  <c r="BH74" i="2"/>
  <c r="BH68" i="2"/>
  <c r="BH71" i="2"/>
  <c r="L391" i="8"/>
  <c r="G430" i="8"/>
  <c r="BQ386" i="2"/>
  <c r="AU144" i="2"/>
  <c r="AU121" i="2"/>
  <c r="AU187" i="2"/>
  <c r="AI23" i="5"/>
  <c r="AI25" i="5" s="1"/>
  <c r="AI42" i="5" s="1"/>
  <c r="V177" i="2"/>
  <c r="V179" i="2" s="1"/>
  <c r="V183" i="2" s="1"/>
  <c r="AH184" i="2" s="1"/>
  <c r="U174" i="2"/>
  <c r="J30" i="5"/>
  <c r="J31" i="5" s="1"/>
  <c r="EJ56" i="2"/>
  <c r="EW61" i="2"/>
  <c r="EW59" i="2"/>
  <c r="EW58" i="2"/>
  <c r="EW55" i="2"/>
  <c r="EW56" i="2"/>
  <c r="EU42" i="2"/>
  <c r="ET50" i="2"/>
  <c r="EU46" i="2"/>
  <c r="EU34" i="2"/>
  <c r="EU37" i="2"/>
  <c r="EU49" i="2"/>
  <c r="EU36" i="2"/>
  <c r="EU41" i="2"/>
  <c r="ER50" i="2"/>
  <c r="EU47" i="2"/>
  <c r="EU44" i="2"/>
  <c r="EU35" i="2"/>
  <c r="EU40" i="2"/>
  <c r="EU45" i="2"/>
  <c r="EU43" i="2"/>
  <c r="EU39" i="2"/>
  <c r="BQ391" i="2"/>
  <c r="AR185" i="2"/>
  <c r="AR158" i="2"/>
  <c r="EA141" i="2"/>
  <c r="EA146" i="2"/>
  <c r="EA139" i="2"/>
  <c r="EA140" i="2"/>
  <c r="EA142" i="2"/>
  <c r="EA148" i="2"/>
  <c r="EA137" i="2"/>
  <c r="EA144" i="2"/>
  <c r="EA145" i="2"/>
  <c r="EA138" i="2"/>
  <c r="EA143" i="2"/>
  <c r="BC422" i="2"/>
  <c r="AO24" i="2"/>
  <c r="AO61" i="2"/>
  <c r="BA24" i="2"/>
  <c r="EW57" i="2"/>
  <c r="BQ390" i="2"/>
  <c r="G385" i="8"/>
  <c r="G306" i="8" s="1"/>
  <c r="G22" i="8" s="1"/>
  <c r="G43" i="8" s="1"/>
  <c r="AS24" i="2"/>
  <c r="BE24" i="2"/>
  <c r="AS61" i="2"/>
  <c r="BF60" i="2"/>
  <c r="BF61" i="2"/>
  <c r="BF210" i="2"/>
  <c r="BO331" i="2"/>
  <c r="EW60" i="2"/>
  <c r="ET60" i="2"/>
  <c r="E65" i="5"/>
  <c r="E67" i="5" s="1"/>
  <c r="E68" i="5" s="1"/>
  <c r="AO74" i="2"/>
  <c r="AO68" i="2"/>
  <c r="AO120" i="2"/>
  <c r="AK144" i="2"/>
  <c r="Y23" i="5"/>
  <c r="AK187" i="2"/>
  <c r="AP144" i="2"/>
  <c r="AP187" i="2"/>
  <c r="AD23" i="5"/>
  <c r="AD25" i="5" s="1"/>
  <c r="AD42" i="5" s="1"/>
  <c r="BO338" i="2"/>
  <c r="BP261" i="2"/>
  <c r="BP263" i="2" s="1"/>
  <c r="BO336" i="2"/>
  <c r="D143" i="8"/>
  <c r="D155" i="8" s="1"/>
  <c r="D166" i="8" s="1"/>
  <c r="D143" i="7"/>
  <c r="D155" i="7" s="1"/>
  <c r="D166" i="7" s="1"/>
  <c r="D144" i="7"/>
  <c r="D144" i="8"/>
  <c r="D189" i="7"/>
  <c r="D259" i="7" s="1"/>
  <c r="D267" i="7" s="1"/>
  <c r="D278" i="7" s="1"/>
  <c r="D188" i="8"/>
  <c r="D142" i="7"/>
  <c r="D154" i="7" s="1"/>
  <c r="D165" i="7" s="1"/>
  <c r="D142" i="8"/>
  <c r="D154" i="8" s="1"/>
  <c r="D165" i="8" s="1"/>
  <c r="D189" i="8"/>
  <c r="D259" i="8" s="1"/>
  <c r="D267" i="8" s="1"/>
  <c r="D278" i="8" s="1"/>
  <c r="D147" i="8"/>
  <c r="B436" i="8"/>
  <c r="F480" i="7"/>
  <c r="L188" i="7"/>
  <c r="L196" i="7" s="1"/>
  <c r="L148" i="8"/>
  <c r="L144" i="7"/>
  <c r="L144" i="8"/>
  <c r="L143" i="7"/>
  <c r="L155" i="7" s="1"/>
  <c r="L166" i="7" s="1"/>
  <c r="E436" i="8"/>
  <c r="L143" i="8"/>
  <c r="L155" i="8" s="1"/>
  <c r="L166" i="8" s="1"/>
  <c r="L189" i="8"/>
  <c r="L197" i="8" s="1"/>
  <c r="L208" i="8" s="1"/>
  <c r="N189" i="7"/>
  <c r="N197" i="7" s="1"/>
  <c r="N208" i="7" s="1"/>
  <c r="L189" i="7"/>
  <c r="F436" i="8"/>
  <c r="R367" i="7"/>
  <c r="R368" i="7" s="1"/>
  <c r="B17" i="7"/>
  <c r="B52" i="7" s="1"/>
  <c r="E281" i="8"/>
  <c r="E283" i="8" s="1"/>
  <c r="D283" i="7"/>
  <c r="N142" i="4"/>
  <c r="D283" i="8"/>
  <c r="G125" i="7"/>
  <c r="G121" i="7"/>
  <c r="Q75" i="4"/>
  <c r="H121" i="7"/>
  <c r="J188" i="7"/>
  <c r="J189" i="7"/>
  <c r="J197" i="7" s="1"/>
  <c r="J208" i="7" s="1"/>
  <c r="B17" i="8"/>
  <c r="B480" i="8"/>
  <c r="O75" i="4"/>
  <c r="C17" i="7"/>
  <c r="C52" i="7" s="1"/>
  <c r="G30" i="8"/>
  <c r="G32" i="8" s="1"/>
  <c r="H436" i="8"/>
  <c r="C17" i="8"/>
  <c r="C38" i="8" s="1"/>
  <c r="J391" i="8"/>
  <c r="U367" i="8"/>
  <c r="U368" i="8" s="1"/>
  <c r="C283" i="7"/>
  <c r="H416" i="8"/>
  <c r="R346" i="8"/>
  <c r="R344" i="8" s="1"/>
  <c r="R367" i="8"/>
  <c r="R368" i="8" s="1"/>
  <c r="H247" i="7"/>
  <c r="H285" i="7" s="1"/>
  <c r="J144" i="7"/>
  <c r="J189" i="8"/>
  <c r="J259" i="8" s="1"/>
  <c r="J267" i="8" s="1"/>
  <c r="J278" i="8" s="1"/>
  <c r="H125" i="7"/>
  <c r="H114" i="8"/>
  <c r="H28" i="8" s="1"/>
  <c r="H30" i="8" s="1"/>
  <c r="H32" i="8" s="1"/>
  <c r="C243" i="8"/>
  <c r="C281" i="8" s="1"/>
  <c r="C283" i="8" s="1"/>
  <c r="H121" i="8"/>
  <c r="H436" i="7"/>
  <c r="H416" i="7"/>
  <c r="E38" i="8"/>
  <c r="BO65" i="4"/>
  <c r="Q346" i="7"/>
  <c r="Q344" i="7" s="1"/>
  <c r="U367" i="7"/>
  <c r="U368" i="7" s="1"/>
  <c r="K480" i="7"/>
  <c r="H244" i="7"/>
  <c r="H282" i="7" s="1"/>
  <c r="H244" i="8"/>
  <c r="H282" i="8" s="1"/>
  <c r="N142" i="8"/>
  <c r="N154" i="8" s="1"/>
  <c r="G436" i="8"/>
  <c r="J125" i="7"/>
  <c r="J121" i="7"/>
  <c r="G436" i="7"/>
  <c r="O367" i="8"/>
  <c r="O368" i="8" s="1"/>
  <c r="O346" i="8"/>
  <c r="O344" i="8" s="1"/>
  <c r="O346" i="7"/>
  <c r="O344" i="7" s="1"/>
  <c r="O367" i="7"/>
  <c r="O368" i="7" s="1"/>
  <c r="I30" i="7"/>
  <c r="I32" i="7" s="1"/>
  <c r="B153" i="9"/>
  <c r="B48" i="9"/>
  <c r="B139" i="9"/>
  <c r="G416" i="7"/>
  <c r="I283" i="8"/>
  <c r="G416" i="8"/>
  <c r="I436" i="7"/>
  <c r="G247" i="8"/>
  <c r="G285" i="8" s="1"/>
  <c r="I283" i="7"/>
  <c r="I416" i="7"/>
  <c r="I285" i="8"/>
  <c r="I416" i="8"/>
  <c r="I433" i="8"/>
  <c r="I436" i="8" s="1"/>
  <c r="M189" i="7"/>
  <c r="M197" i="7" s="1"/>
  <c r="M208" i="7" s="1"/>
  <c r="T367" i="8"/>
  <c r="T368" i="8" s="1"/>
  <c r="M143" i="7"/>
  <c r="M155" i="7" s="1"/>
  <c r="M166" i="7" s="1"/>
  <c r="M143" i="8"/>
  <c r="M155" i="8" s="1"/>
  <c r="M166" i="8" s="1"/>
  <c r="Q367" i="8"/>
  <c r="Q368" i="8" s="1"/>
  <c r="Q346" i="8"/>
  <c r="Q344" i="8" s="1"/>
  <c r="N480" i="7"/>
  <c r="J359" i="7"/>
  <c r="J304" i="7" s="1"/>
  <c r="J15" i="7" s="1"/>
  <c r="N38" i="8"/>
  <c r="N359" i="7"/>
  <c r="N304" i="7" s="1"/>
  <c r="N15" i="7" s="1"/>
  <c r="E17" i="7"/>
  <c r="E38" i="7" s="1"/>
  <c r="M259" i="8"/>
  <c r="M267" i="8" s="1"/>
  <c r="M278" i="8" s="1"/>
  <c r="M197" i="8"/>
  <c r="M208" i="8" s="1"/>
  <c r="L480" i="7"/>
  <c r="N148" i="7"/>
  <c r="N480" i="8"/>
  <c r="M144" i="8"/>
  <c r="M144" i="7"/>
  <c r="N148" i="8"/>
  <c r="N52" i="8"/>
  <c r="D17" i="7"/>
  <c r="D52" i="7" s="1"/>
  <c r="P75" i="4"/>
  <c r="N143" i="7"/>
  <c r="N155" i="7" s="1"/>
  <c r="N166" i="7" s="1"/>
  <c r="N143" i="8"/>
  <c r="N155" i="8" s="1"/>
  <c r="N166" i="8" s="1"/>
  <c r="K121" i="7"/>
  <c r="G243" i="8"/>
  <c r="G244" i="7"/>
  <c r="G282" i="7" s="1"/>
  <c r="G244" i="8"/>
  <c r="G282" i="8" s="1"/>
  <c r="M142" i="4"/>
  <c r="K144" i="8"/>
  <c r="K144" i="7"/>
  <c r="N259" i="8"/>
  <c r="N267" i="8" s="1"/>
  <c r="N278" i="8" s="1"/>
  <c r="N197" i="8"/>
  <c r="N208" i="8" s="1"/>
  <c r="F144" i="8"/>
  <c r="F144" i="7"/>
  <c r="J480" i="7"/>
  <c r="J17" i="7"/>
  <c r="K75" i="4"/>
  <c r="J480" i="8"/>
  <c r="J17" i="8"/>
  <c r="F197" i="8"/>
  <c r="F208" i="8" s="1"/>
  <c r="F259" i="8"/>
  <c r="F267" i="8" s="1"/>
  <c r="F278" i="8" s="1"/>
  <c r="F197" i="7"/>
  <c r="F208" i="7" s="1"/>
  <c r="F259" i="7"/>
  <c r="F267" i="7" s="1"/>
  <c r="F278" i="7" s="1"/>
  <c r="F188" i="7"/>
  <c r="F188" i="8"/>
  <c r="H480" i="7"/>
  <c r="BP65" i="4"/>
  <c r="D52" i="8"/>
  <c r="K189" i="8"/>
  <c r="K189" i="7"/>
  <c r="I121" i="7"/>
  <c r="I125" i="7"/>
  <c r="N359" i="8"/>
  <c r="N304" i="8" s="1"/>
  <c r="N15" i="8" s="1"/>
  <c r="K125" i="7"/>
  <c r="K125" i="8"/>
  <c r="K121" i="8"/>
  <c r="C188" i="8"/>
  <c r="C188" i="7"/>
  <c r="S346" i="7"/>
  <c r="S344" i="7" s="1"/>
  <c r="S367" i="7"/>
  <c r="S368" i="7" s="1"/>
  <c r="N17" i="7"/>
  <c r="N38" i="7" s="1"/>
  <c r="J428" i="8"/>
  <c r="J385" i="8"/>
  <c r="J306" i="8" s="1"/>
  <c r="C259" i="7"/>
  <c r="C267" i="7" s="1"/>
  <c r="C278" i="7" s="1"/>
  <c r="C197" i="7"/>
  <c r="C208" i="7" s="1"/>
  <c r="J385" i="7"/>
  <c r="J306" i="7" s="1"/>
  <c r="J428" i="7"/>
  <c r="B15" i="7"/>
  <c r="B36" i="7" s="1"/>
  <c r="B15" i="8"/>
  <c r="B36" i="8" s="1"/>
  <c r="B314" i="7"/>
  <c r="B314" i="8"/>
  <c r="H17" i="8"/>
  <c r="H480" i="8"/>
  <c r="S346" i="8"/>
  <c r="S344" i="8" s="1"/>
  <c r="S367" i="8"/>
  <c r="S368" i="8" s="1"/>
  <c r="C144" i="7"/>
  <c r="C144" i="8"/>
  <c r="C259" i="8"/>
  <c r="C267" i="8" s="1"/>
  <c r="C278" i="8" s="1"/>
  <c r="C197" i="8"/>
  <c r="C208" i="8" s="1"/>
  <c r="F38" i="7"/>
  <c r="F52" i="7"/>
  <c r="G259" i="8"/>
  <c r="G267" i="8" s="1"/>
  <c r="G278" i="8" s="1"/>
  <c r="G197" i="8"/>
  <c r="G208" i="8" s="1"/>
  <c r="N147" i="7"/>
  <c r="N147" i="8"/>
  <c r="N346" i="8"/>
  <c r="N344" i="8" s="1"/>
  <c r="N367" i="8"/>
  <c r="N368" i="8" s="1"/>
  <c r="N367" i="7"/>
  <c r="N368" i="7" s="1"/>
  <c r="N346" i="7"/>
  <c r="N344" i="7" s="1"/>
  <c r="M211" i="8"/>
  <c r="M211" i="7"/>
  <c r="M367" i="8"/>
  <c r="M368" i="8" s="1"/>
  <c r="M346" i="8"/>
  <c r="M344" i="8" s="1"/>
  <c r="M346" i="7"/>
  <c r="M344" i="7" s="1"/>
  <c r="M367" i="7"/>
  <c r="M368" i="7" s="1"/>
  <c r="G285" i="7"/>
  <c r="H45" i="7"/>
  <c r="H38" i="7"/>
  <c r="H52" i="7"/>
  <c r="O17" i="8"/>
  <c r="O480" i="8"/>
  <c r="O17" i="7"/>
  <c r="O480" i="7"/>
  <c r="K45" i="7"/>
  <c r="K52" i="7"/>
  <c r="K38" i="7"/>
  <c r="I470" i="7"/>
  <c r="I24" i="7" s="1"/>
  <c r="I45" i="7" s="1"/>
  <c r="I470" i="8"/>
  <c r="I24" i="8" s="1"/>
  <c r="I45" i="8" s="1"/>
  <c r="I17" i="8"/>
  <c r="G211" i="7"/>
  <c r="G211" i="8"/>
  <c r="I17" i="7"/>
  <c r="E283" i="7"/>
  <c r="M480" i="7"/>
  <c r="M480" i="8"/>
  <c r="H243" i="7"/>
  <c r="H281" i="7" s="1"/>
  <c r="H243" i="8"/>
  <c r="H281" i="8" s="1"/>
  <c r="L346" i="7"/>
  <c r="L344" i="7" s="1"/>
  <c r="L367" i="7"/>
  <c r="L368" i="7" s="1"/>
  <c r="L359" i="7"/>
  <c r="L304" i="7" s="1"/>
  <c r="K270" i="7"/>
  <c r="J211" i="8"/>
  <c r="J281" i="8" s="1"/>
  <c r="J211" i="7"/>
  <c r="J281" i="7" s="1"/>
  <c r="L219" i="7"/>
  <c r="L219" i="8"/>
  <c r="L211" i="8"/>
  <c r="L211" i="7"/>
  <c r="L212" i="8"/>
  <c r="L212" i="7"/>
  <c r="D346" i="7"/>
  <c r="D344" i="7" s="1"/>
  <c r="D367" i="7"/>
  <c r="D368" i="7" s="1"/>
  <c r="M52" i="8"/>
  <c r="M38" i="8"/>
  <c r="D367" i="8"/>
  <c r="D368" i="8" s="1"/>
  <c r="D346" i="8"/>
  <c r="D344" i="8" s="1"/>
  <c r="L45" i="7"/>
  <c r="L52" i="7"/>
  <c r="L38" i="7"/>
  <c r="J367" i="8"/>
  <c r="J368" i="8" s="1"/>
  <c r="J346" i="8"/>
  <c r="J344" i="8" s="1"/>
  <c r="G52" i="7"/>
  <c r="G38" i="7"/>
  <c r="L196" i="8"/>
  <c r="I22" i="7"/>
  <c r="I43" i="7" s="1"/>
  <c r="I312" i="7"/>
  <c r="J212" i="8"/>
  <c r="J282" i="8" s="1"/>
  <c r="J212" i="7"/>
  <c r="J282" i="7" s="1"/>
  <c r="F121" i="7"/>
  <c r="F125" i="7"/>
  <c r="G139" i="4"/>
  <c r="BG92" i="4"/>
  <c r="G141" i="4"/>
  <c r="B144" i="8"/>
  <c r="B144" i="7"/>
  <c r="H148" i="8"/>
  <c r="H148" i="7"/>
  <c r="B143" i="7"/>
  <c r="B155" i="7" s="1"/>
  <c r="B166" i="7" s="1"/>
  <c r="B143" i="8"/>
  <c r="B155" i="8" s="1"/>
  <c r="B166" i="8" s="1"/>
  <c r="J359" i="8"/>
  <c r="J304" i="8" s="1"/>
  <c r="I22" i="8"/>
  <c r="I43" i="8" s="1"/>
  <c r="I312" i="8"/>
  <c r="H428" i="8"/>
  <c r="H430" i="8" s="1"/>
  <c r="H385" i="8"/>
  <c r="H306" i="8" s="1"/>
  <c r="H428" i="7"/>
  <c r="H430" i="7" s="1"/>
  <c r="H385" i="7"/>
  <c r="H306" i="7" s="1"/>
  <c r="G52" i="8"/>
  <c r="G38" i="8"/>
  <c r="F114" i="8"/>
  <c r="F28" i="8" s="1"/>
  <c r="F30" i="8" s="1"/>
  <c r="F32" i="8" s="1"/>
  <c r="K346" i="8"/>
  <c r="K344" i="8" s="1"/>
  <c r="K367" i="8"/>
  <c r="K368" i="8" s="1"/>
  <c r="K359" i="8"/>
  <c r="K304" i="8" s="1"/>
  <c r="K219" i="7"/>
  <c r="K285" i="7" s="1"/>
  <c r="K219" i="8"/>
  <c r="K285" i="8" s="1"/>
  <c r="F114" i="7"/>
  <c r="F28" i="7" s="1"/>
  <c r="K211" i="8"/>
  <c r="K281" i="8" s="1"/>
  <c r="K211" i="7"/>
  <c r="K281" i="7" s="1"/>
  <c r="K359" i="7"/>
  <c r="K304" i="7" s="1"/>
  <c r="K346" i="7"/>
  <c r="K344" i="7" s="1"/>
  <c r="K367" i="7"/>
  <c r="K368" i="7" s="1"/>
  <c r="I188" i="7"/>
  <c r="I188" i="8"/>
  <c r="K212" i="8"/>
  <c r="K282" i="8" s="1"/>
  <c r="K212" i="7"/>
  <c r="K282" i="7" s="1"/>
  <c r="F125" i="8"/>
  <c r="J219" i="7"/>
  <c r="J285" i="7" s="1"/>
  <c r="J219" i="8"/>
  <c r="J285" i="8" s="1"/>
  <c r="I197" i="8"/>
  <c r="I208" i="8" s="1"/>
  <c r="I259" i="8"/>
  <c r="I267" i="8" s="1"/>
  <c r="I278" i="8" s="1"/>
  <c r="B259" i="8"/>
  <c r="B267" i="8" s="1"/>
  <c r="B278" i="8" s="1"/>
  <c r="B197" i="8"/>
  <c r="B208" i="8" s="1"/>
  <c r="M38" i="7"/>
  <c r="M52" i="7"/>
  <c r="I259" i="7"/>
  <c r="I267" i="7" s="1"/>
  <c r="I278" i="7" s="1"/>
  <c r="I197" i="7"/>
  <c r="I208" i="7" s="1"/>
  <c r="B259" i="7"/>
  <c r="B267" i="7" s="1"/>
  <c r="B278" i="7" s="1"/>
  <c r="B197" i="7"/>
  <c r="B208" i="7" s="1"/>
  <c r="J346" i="7"/>
  <c r="J344" i="7" s="1"/>
  <c r="J367" i="7"/>
  <c r="J368" i="7" s="1"/>
  <c r="I144" i="8"/>
  <c r="I144" i="7"/>
  <c r="B188" i="8"/>
  <c r="B188" i="7"/>
  <c r="L367" i="8"/>
  <c r="L368" i="8" s="1"/>
  <c r="L346" i="8"/>
  <c r="L344" i="8" s="1"/>
  <c r="L359" i="8"/>
  <c r="L304" i="8" s="1"/>
  <c r="N75" i="4"/>
  <c r="Z37" i="9" l="1"/>
  <c r="AA37" i="9" s="1"/>
  <c r="G22" i="7"/>
  <c r="G148" i="8"/>
  <c r="H142" i="8"/>
  <c r="H154" i="8" s="1"/>
  <c r="H165" i="8" s="1"/>
  <c r="H167" i="8" s="1"/>
  <c r="L36" i="9"/>
  <c r="K39" i="9"/>
  <c r="M39" i="9"/>
  <c r="W39" i="9" s="1"/>
  <c r="J36" i="9"/>
  <c r="K35" i="5"/>
  <c r="G148" i="7"/>
  <c r="G142" i="7"/>
  <c r="G154" i="7" s="1"/>
  <c r="G156" i="7" s="1"/>
  <c r="G104" i="7" s="1"/>
  <c r="G142" i="8"/>
  <c r="G154" i="8" s="1"/>
  <c r="G165" i="8" s="1"/>
  <c r="G167" i="8" s="1"/>
  <c r="E197" i="7"/>
  <c r="E208" i="7" s="1"/>
  <c r="G188" i="8"/>
  <c r="G196" i="8" s="1"/>
  <c r="H188" i="7"/>
  <c r="H196" i="7" s="1"/>
  <c r="G188" i="7"/>
  <c r="G196" i="7" s="1"/>
  <c r="Z57" i="5"/>
  <c r="Z59" i="5" s="1"/>
  <c r="J33" i="5"/>
  <c r="J300" i="5" s="1"/>
  <c r="J301" i="5" s="1"/>
  <c r="J302" i="5" s="1"/>
  <c r="E147" i="7"/>
  <c r="H259" i="7"/>
  <c r="H267" i="7" s="1"/>
  <c r="H278" i="7" s="1"/>
  <c r="G197" i="7"/>
  <c r="G208" i="7" s="1"/>
  <c r="E188" i="7"/>
  <c r="E258" i="7" s="1"/>
  <c r="E197" i="8"/>
  <c r="E208" i="8" s="1"/>
  <c r="E148" i="7"/>
  <c r="H259" i="8"/>
  <c r="H267" i="8" s="1"/>
  <c r="H278" i="8" s="1"/>
  <c r="E148" i="8"/>
  <c r="H188" i="8"/>
  <c r="H258" i="8" s="1"/>
  <c r="E143" i="8"/>
  <c r="E155" i="8" s="1"/>
  <c r="E166" i="8" s="1"/>
  <c r="BI61" i="2"/>
  <c r="BI134" i="2"/>
  <c r="BI145" i="2"/>
  <c r="AZ158" i="2"/>
  <c r="AD26" i="5"/>
  <c r="AD295" i="5"/>
  <c r="AD296" i="5" s="1"/>
  <c r="AD297" i="5" s="1"/>
  <c r="AI26" i="5"/>
  <c r="AI295" i="5"/>
  <c r="AI296" i="5" s="1"/>
  <c r="AI297" i="5" s="1"/>
  <c r="J148" i="8"/>
  <c r="BI60" i="2"/>
  <c r="J148" i="7"/>
  <c r="T172" i="2"/>
  <c r="AT61" i="2"/>
  <c r="BF24" i="2"/>
  <c r="AT24" i="2"/>
  <c r="AT158" i="2"/>
  <c r="AZ421" i="2"/>
  <c r="AZ422" i="2" s="1"/>
  <c r="BO371" i="2"/>
  <c r="BQ385" i="2"/>
  <c r="AQ185" i="2"/>
  <c r="AQ158" i="2"/>
  <c r="EJ61" i="2"/>
  <c r="D197" i="8"/>
  <c r="D208" i="8" s="1"/>
  <c r="AN39" i="2"/>
  <c r="AL35" i="2"/>
  <c r="AL36" i="2" s="1"/>
  <c r="AK34" i="2"/>
  <c r="AL38" i="2"/>
  <c r="I23" i="5"/>
  <c r="I25" i="5" s="1"/>
  <c r="I42" i="5" s="1"/>
  <c r="T187" i="2"/>
  <c r="S171" i="2"/>
  <c r="H24" i="5"/>
  <c r="BG60" i="2"/>
  <c r="BG210" i="2"/>
  <c r="BG61" i="2"/>
  <c r="L259" i="8"/>
  <c r="L267" i="8" s="1"/>
  <c r="L278" i="8" s="1"/>
  <c r="D156" i="8"/>
  <c r="D104" i="8" s="1"/>
  <c r="D106" i="8" s="1"/>
  <c r="D14" i="8" s="1"/>
  <c r="N188" i="8"/>
  <c r="N196" i="8" s="1"/>
  <c r="B38" i="7"/>
  <c r="G312" i="8"/>
  <c r="D167" i="7"/>
  <c r="D156" i="7"/>
  <c r="D104" i="7" s="1"/>
  <c r="D106" i="7" s="1"/>
  <c r="D14" i="7" s="1"/>
  <c r="N188" i="7"/>
  <c r="N196" i="7" s="1"/>
  <c r="D188" i="7"/>
  <c r="D258" i="7" s="1"/>
  <c r="D197" i="7"/>
  <c r="D208" i="7" s="1"/>
  <c r="D167" i="8"/>
  <c r="D172" i="8"/>
  <c r="Y25" i="5"/>
  <c r="Y42" i="5" s="1"/>
  <c r="C65" i="5"/>
  <c r="C67" i="5" s="1"/>
  <c r="C68" i="5" s="1"/>
  <c r="S170" i="2"/>
  <c r="R167" i="2"/>
  <c r="BH158" i="2"/>
  <c r="BH185" i="2"/>
  <c r="AU145" i="2"/>
  <c r="AU134" i="2"/>
  <c r="AO144" i="2"/>
  <c r="AC23" i="5"/>
  <c r="AC25" i="5" s="1"/>
  <c r="AC42" i="5" s="1"/>
  <c r="AO187" i="2"/>
  <c r="EV16" i="2"/>
  <c r="ES17" i="2"/>
  <c r="D148" i="8"/>
  <c r="D148" i="7"/>
  <c r="AS121" i="2"/>
  <c r="AG23" i="5"/>
  <c r="AG25" i="5" s="1"/>
  <c r="AG42" i="5" s="1"/>
  <c r="AS144" i="2"/>
  <c r="AS187" i="2"/>
  <c r="AL121" i="2"/>
  <c r="AL134" i="2" s="1"/>
  <c r="U177" i="2"/>
  <c r="U179" i="2" s="1"/>
  <c r="U183" i="2" s="1"/>
  <c r="AG184" i="2" s="1"/>
  <c r="I30" i="5"/>
  <c r="I31" i="5" s="1"/>
  <c r="T174" i="2"/>
  <c r="AW66" i="2"/>
  <c r="AW144" i="2"/>
  <c r="AW10" i="2"/>
  <c r="AW63" i="2"/>
  <c r="AW70" i="2"/>
  <c r="AW263" i="2"/>
  <c r="Z25" i="5"/>
  <c r="Z42" i="5" s="1"/>
  <c r="AV74" i="2"/>
  <c r="AV120" i="2"/>
  <c r="AV71" i="2"/>
  <c r="AV68" i="2"/>
  <c r="ET61" i="2"/>
  <c r="BP265" i="2"/>
  <c r="BH24" i="2"/>
  <c r="AV24" i="2"/>
  <c r="AV61" i="2"/>
  <c r="D147" i="7"/>
  <c r="L148" i="7"/>
  <c r="L147" i="8"/>
  <c r="L142" i="7"/>
  <c r="L154" i="7" s="1"/>
  <c r="L165" i="7" s="1"/>
  <c r="L167" i="7" s="1"/>
  <c r="L142" i="8"/>
  <c r="L154" i="8" s="1"/>
  <c r="L156" i="8" s="1"/>
  <c r="L104" i="8" s="1"/>
  <c r="L106" i="8" s="1"/>
  <c r="L14" i="8" s="1"/>
  <c r="L172" i="8"/>
  <c r="N259" i="7"/>
  <c r="N267" i="7" s="1"/>
  <c r="N278" i="7" s="1"/>
  <c r="L259" i="7"/>
  <c r="L267" i="7" s="1"/>
  <c r="L278" i="7" s="1"/>
  <c r="L197" i="7"/>
  <c r="L208" i="7" s="1"/>
  <c r="J259" i="7"/>
  <c r="J267" i="7" s="1"/>
  <c r="J278" i="7" s="1"/>
  <c r="J188" i="8"/>
  <c r="J196" i="8" s="1"/>
  <c r="C52" i="8"/>
  <c r="C38" i="7"/>
  <c r="B52" i="8"/>
  <c r="B38" i="8"/>
  <c r="J197" i="8"/>
  <c r="J208" i="8" s="1"/>
  <c r="J143" i="7"/>
  <c r="J155" i="7" s="1"/>
  <c r="J166" i="7" s="1"/>
  <c r="J143" i="8"/>
  <c r="J155" i="8" s="1"/>
  <c r="J166" i="8" s="1"/>
  <c r="H283" i="8"/>
  <c r="H283" i="7"/>
  <c r="N156" i="7"/>
  <c r="N104" i="7" s="1"/>
  <c r="M188" i="7"/>
  <c r="M196" i="7" s="1"/>
  <c r="M188" i="8"/>
  <c r="M196" i="8" s="1"/>
  <c r="M207" i="8" s="1"/>
  <c r="M209" i="8" s="1"/>
  <c r="J147" i="8"/>
  <c r="J147" i="7"/>
  <c r="M259" i="7"/>
  <c r="M267" i="7" s="1"/>
  <c r="M278" i="7" s="1"/>
  <c r="E52" i="7"/>
  <c r="M142" i="8"/>
  <c r="M154" i="8" s="1"/>
  <c r="M142" i="7"/>
  <c r="M154" i="7" s="1"/>
  <c r="M148" i="7"/>
  <c r="M148" i="8"/>
  <c r="J196" i="7"/>
  <c r="J258" i="7"/>
  <c r="D38" i="7"/>
  <c r="B50" i="7"/>
  <c r="G243" i="7"/>
  <c r="G281" i="7" s="1"/>
  <c r="G283" i="7" s="1"/>
  <c r="N156" i="8"/>
  <c r="N104" i="8" s="1"/>
  <c r="E258" i="8"/>
  <c r="E196" i="8"/>
  <c r="K188" i="7"/>
  <c r="K188" i="8"/>
  <c r="K259" i="7"/>
  <c r="K267" i="7" s="1"/>
  <c r="K278" i="7" s="1"/>
  <c r="K197" i="7"/>
  <c r="K208" i="7" s="1"/>
  <c r="J52" i="7"/>
  <c r="J38" i="7"/>
  <c r="K259" i="8"/>
  <c r="K267" i="8" s="1"/>
  <c r="K278" i="8" s="1"/>
  <c r="K197" i="8"/>
  <c r="K208" i="8" s="1"/>
  <c r="F143" i="7"/>
  <c r="F155" i="7" s="1"/>
  <c r="F166" i="7" s="1"/>
  <c r="F143" i="8"/>
  <c r="F155" i="8" s="1"/>
  <c r="F166" i="8" s="1"/>
  <c r="F148" i="8"/>
  <c r="F148" i="7"/>
  <c r="F196" i="8"/>
  <c r="F258" i="8"/>
  <c r="F196" i="7"/>
  <c r="F258" i="7"/>
  <c r="J52" i="8"/>
  <c r="J38" i="8"/>
  <c r="K148" i="8"/>
  <c r="K148" i="7"/>
  <c r="K142" i="7"/>
  <c r="K154" i="7" s="1"/>
  <c r="K142" i="8"/>
  <c r="K154" i="8" s="1"/>
  <c r="K143" i="8"/>
  <c r="K155" i="8" s="1"/>
  <c r="K166" i="8" s="1"/>
  <c r="K143" i="7"/>
  <c r="K155" i="7" s="1"/>
  <c r="K166" i="7" s="1"/>
  <c r="B50" i="8"/>
  <c r="N52" i="7"/>
  <c r="J22" i="7"/>
  <c r="H52" i="8"/>
  <c r="H38" i="8"/>
  <c r="J310" i="7"/>
  <c r="C143" i="7"/>
  <c r="C155" i="7" s="1"/>
  <c r="C166" i="7" s="1"/>
  <c r="C143" i="8"/>
  <c r="C155" i="8" s="1"/>
  <c r="C166" i="8" s="1"/>
  <c r="C258" i="7"/>
  <c r="C196" i="7"/>
  <c r="C258" i="8"/>
  <c r="C196" i="8"/>
  <c r="C148" i="7"/>
  <c r="C148" i="8"/>
  <c r="J22" i="8"/>
  <c r="G147" i="8"/>
  <c r="G147" i="7"/>
  <c r="D196" i="8"/>
  <c r="D258" i="8"/>
  <c r="G281" i="8"/>
  <c r="G283" i="8" s="1"/>
  <c r="O38" i="7"/>
  <c r="O52" i="7"/>
  <c r="O52" i="8"/>
  <c r="O38" i="8"/>
  <c r="I52" i="7"/>
  <c r="I38" i="7"/>
  <c r="I480" i="7"/>
  <c r="I52" i="8"/>
  <c r="I38" i="8"/>
  <c r="I480" i="8"/>
  <c r="K283" i="7"/>
  <c r="K283" i="8"/>
  <c r="K15" i="8"/>
  <c r="K310" i="8"/>
  <c r="J283" i="7"/>
  <c r="L310" i="8"/>
  <c r="L15" i="8"/>
  <c r="L207" i="8"/>
  <c r="L209" i="8" s="1"/>
  <c r="L198" i="8"/>
  <c r="L108" i="8" s="1"/>
  <c r="J283" i="8"/>
  <c r="I196" i="8"/>
  <c r="I258" i="8"/>
  <c r="B196" i="8"/>
  <c r="B258" i="8"/>
  <c r="H312" i="7"/>
  <c r="H22" i="7"/>
  <c r="H43" i="7" s="1"/>
  <c r="H147" i="8"/>
  <c r="H147" i="7"/>
  <c r="H165" i="7"/>
  <c r="H167" i="7" s="1"/>
  <c r="H156" i="7"/>
  <c r="H104" i="7" s="1"/>
  <c r="K272" i="7"/>
  <c r="K275" i="7" s="1"/>
  <c r="B196" i="7"/>
  <c r="B258" i="7"/>
  <c r="K310" i="7"/>
  <c r="K15" i="7"/>
  <c r="H22" i="8"/>
  <c r="H43" i="8" s="1"/>
  <c r="H312" i="8"/>
  <c r="I196" i="7"/>
  <c r="I258" i="7"/>
  <c r="I143" i="7"/>
  <c r="I155" i="7" s="1"/>
  <c r="I166" i="7" s="1"/>
  <c r="I143" i="8"/>
  <c r="I155" i="8" s="1"/>
  <c r="I166" i="8" s="1"/>
  <c r="L310" i="7"/>
  <c r="L15" i="7"/>
  <c r="G43" i="7"/>
  <c r="I148" i="8"/>
  <c r="I148" i="7"/>
  <c r="B142" i="7"/>
  <c r="B154" i="7" s="1"/>
  <c r="B142" i="8"/>
  <c r="B154" i="8" s="1"/>
  <c r="L207" i="7"/>
  <c r="F30" i="7"/>
  <c r="F32" i="7" s="1"/>
  <c r="B148" i="8"/>
  <c r="B148" i="7"/>
  <c r="B89" i="8"/>
  <c r="B89" i="7"/>
  <c r="J310" i="8"/>
  <c r="J15" i="8"/>
  <c r="Z36" i="9" l="1"/>
  <c r="AA36" i="9" s="1"/>
  <c r="H156" i="8"/>
  <c r="H104" i="8" s="1"/>
  <c r="H106" i="8" s="1"/>
  <c r="H14" i="8" s="1"/>
  <c r="H172" i="8"/>
  <c r="L39" i="9"/>
  <c r="K84" i="9"/>
  <c r="K86" i="9" s="1"/>
  <c r="K87" i="9" s="1"/>
  <c r="K40" i="9"/>
  <c r="G156" i="8"/>
  <c r="G104" i="8" s="1"/>
  <c r="G106" i="8" s="1"/>
  <c r="G14" i="8" s="1"/>
  <c r="M84" i="9"/>
  <c r="M86" i="9" s="1"/>
  <c r="M87" i="9" s="1"/>
  <c r="M40" i="9"/>
  <c r="J39" i="9"/>
  <c r="G258" i="8"/>
  <c r="G266" i="8" s="1"/>
  <c r="G165" i="7"/>
  <c r="G167" i="7" s="1"/>
  <c r="H258" i="7"/>
  <c r="H260" i="7" s="1"/>
  <c r="G258" i="7"/>
  <c r="G260" i="7" s="1"/>
  <c r="E196" i="7"/>
  <c r="E198" i="7" s="1"/>
  <c r="E108" i="7" s="1"/>
  <c r="J35" i="5"/>
  <c r="I33" i="5"/>
  <c r="I35" i="5" s="1"/>
  <c r="H196" i="8"/>
  <c r="H207" i="8" s="1"/>
  <c r="H209" i="8" s="1"/>
  <c r="M217" i="8"/>
  <c r="F217" i="8"/>
  <c r="L217" i="8"/>
  <c r="C217" i="7"/>
  <c r="I217" i="8"/>
  <c r="H217" i="8"/>
  <c r="E142" i="7"/>
  <c r="E154" i="7" s="1"/>
  <c r="E165" i="7" s="1"/>
  <c r="E167" i="7" s="1"/>
  <c r="E142" i="8"/>
  <c r="E154" i="8" s="1"/>
  <c r="E156" i="8" s="1"/>
  <c r="E104" i="8" s="1"/>
  <c r="BI158" i="2"/>
  <c r="BI185" i="2"/>
  <c r="D172" i="7"/>
  <c r="D171" i="8"/>
  <c r="BQ396" i="2"/>
  <c r="I26" i="5"/>
  <c r="I295" i="5"/>
  <c r="I296" i="5" s="1"/>
  <c r="I297" i="5" s="1"/>
  <c r="Z26" i="5"/>
  <c r="Z295" i="5"/>
  <c r="Z296" i="5" s="1"/>
  <c r="Z297" i="5" s="1"/>
  <c r="Y26" i="5"/>
  <c r="Y295" i="5"/>
  <c r="Y296" i="5" s="1"/>
  <c r="Y297" i="5" s="1"/>
  <c r="AC26" i="5"/>
  <c r="AC295" i="5"/>
  <c r="AC296" i="5" s="1"/>
  <c r="AC297" i="5" s="1"/>
  <c r="AG26" i="5"/>
  <c r="AG295" i="5"/>
  <c r="BO410" i="2"/>
  <c r="BO421" i="2"/>
  <c r="BO411" i="2"/>
  <c r="BO409" i="2"/>
  <c r="BQ397" i="2"/>
  <c r="BO405" i="2"/>
  <c r="BO415" i="2"/>
  <c r="BO414" i="2"/>
  <c r="BO422" i="2"/>
  <c r="BO412" i="2"/>
  <c r="BO420" i="2"/>
  <c r="BO419" i="2"/>
  <c r="BO416" i="2"/>
  <c r="BO418" i="2"/>
  <c r="BO417" i="2"/>
  <c r="BO407" i="2"/>
  <c r="S172" i="2"/>
  <c r="BO406" i="2"/>
  <c r="BO413" i="2"/>
  <c r="BO408" i="2"/>
  <c r="D196" i="7"/>
  <c r="D198" i="7" s="1"/>
  <c r="D108" i="7" s="1"/>
  <c r="N198" i="8"/>
  <c r="N108" i="8" s="1"/>
  <c r="N116" i="8" s="1"/>
  <c r="N198" i="7"/>
  <c r="N108" i="7" s="1"/>
  <c r="N116" i="7" s="1"/>
  <c r="R171" i="2"/>
  <c r="S187" i="2"/>
  <c r="G24" i="5"/>
  <c r="AJ34" i="2"/>
  <c r="AK35" i="2"/>
  <c r="AK36" i="2" s="1"/>
  <c r="AK38" i="2"/>
  <c r="Y56" i="5"/>
  <c r="H23" i="5"/>
  <c r="H25" i="5" s="1"/>
  <c r="H42" i="5" s="1"/>
  <c r="L156" i="7"/>
  <c r="L104" i="7" s="1"/>
  <c r="L106" i="7" s="1"/>
  <c r="L14" i="7" s="1"/>
  <c r="L16" i="7" s="1"/>
  <c r="L18" i="7" s="1"/>
  <c r="EU55" i="2"/>
  <c r="EU58" i="2"/>
  <c r="EU61" i="2"/>
  <c r="EU59" i="2"/>
  <c r="EU56" i="2"/>
  <c r="EU57" i="2"/>
  <c r="AW74" i="2"/>
  <c r="AW68" i="2"/>
  <c r="AW71" i="2"/>
  <c r="T177" i="2"/>
  <c r="T179" i="2" s="1"/>
  <c r="T183" i="2" s="1"/>
  <c r="AF184" i="2" s="1"/>
  <c r="H30" i="5"/>
  <c r="H31" i="5" s="1"/>
  <c r="S174" i="2"/>
  <c r="AS134" i="2"/>
  <c r="AS145" i="2"/>
  <c r="Q167" i="2"/>
  <c r="R170" i="2"/>
  <c r="EV17" i="2"/>
  <c r="EU60" i="2"/>
  <c r="AW145" i="2"/>
  <c r="AW23" i="2"/>
  <c r="AV187" i="2"/>
  <c r="AV121" i="2"/>
  <c r="AJ23" i="5"/>
  <c r="AJ25" i="5" s="1"/>
  <c r="AJ42" i="5" s="1"/>
  <c r="AV144" i="2"/>
  <c r="AU158" i="2"/>
  <c r="AU185" i="2"/>
  <c r="L209" i="7"/>
  <c r="L171" i="7"/>
  <c r="L198" i="7"/>
  <c r="L108" i="7" s="1"/>
  <c r="L172" i="7"/>
  <c r="L147" i="7"/>
  <c r="L165" i="8"/>
  <c r="L167" i="8" s="1"/>
  <c r="J258" i="8"/>
  <c r="J266" i="8" s="1"/>
  <c r="J142" i="7"/>
  <c r="J154" i="7" s="1"/>
  <c r="J142" i="8"/>
  <c r="J154" i="8" s="1"/>
  <c r="M198" i="8"/>
  <c r="M108" i="8" s="1"/>
  <c r="M110" i="8" s="1"/>
  <c r="M21" i="8" s="1"/>
  <c r="M23" i="8" s="1"/>
  <c r="M25" i="8" s="1"/>
  <c r="M207" i="7"/>
  <c r="M209" i="7" s="1"/>
  <c r="M198" i="7"/>
  <c r="M108" i="7" s="1"/>
  <c r="M110" i="7" s="1"/>
  <c r="M21" i="7" s="1"/>
  <c r="M23" i="7" s="1"/>
  <c r="M25" i="7" s="1"/>
  <c r="J266" i="7"/>
  <c r="J260" i="7"/>
  <c r="J198" i="7"/>
  <c r="J108" i="7" s="1"/>
  <c r="J207" i="7"/>
  <c r="J209" i="7" s="1"/>
  <c r="J198" i="8"/>
  <c r="J108" i="8" s="1"/>
  <c r="J207" i="8"/>
  <c r="J209" i="8" s="1"/>
  <c r="M147" i="7"/>
  <c r="M147" i="8"/>
  <c r="M156" i="7"/>
  <c r="M104" i="7" s="1"/>
  <c r="M165" i="7"/>
  <c r="M167" i="7" s="1"/>
  <c r="M165" i="8"/>
  <c r="M167" i="8" s="1"/>
  <c r="M156" i="8"/>
  <c r="M104" i="8" s="1"/>
  <c r="E198" i="8"/>
  <c r="E108" i="8" s="1"/>
  <c r="E207" i="8"/>
  <c r="E209" i="8" s="1"/>
  <c r="E266" i="8"/>
  <c r="E260" i="8"/>
  <c r="E266" i="7"/>
  <c r="E260" i="7"/>
  <c r="F207" i="7"/>
  <c r="F209" i="7" s="1"/>
  <c r="F198" i="7"/>
  <c r="F108" i="7" s="1"/>
  <c r="F260" i="8"/>
  <c r="F266" i="8"/>
  <c r="F207" i="8"/>
  <c r="F209" i="8" s="1"/>
  <c r="F198" i="8"/>
  <c r="F108" i="8" s="1"/>
  <c r="F147" i="7"/>
  <c r="F147" i="8"/>
  <c r="F142" i="7"/>
  <c r="F154" i="7" s="1"/>
  <c r="F142" i="8"/>
  <c r="F154" i="8" s="1"/>
  <c r="K165" i="7"/>
  <c r="K167" i="7" s="1"/>
  <c r="K156" i="7"/>
  <c r="K104" i="7" s="1"/>
  <c r="K147" i="7"/>
  <c r="K147" i="8"/>
  <c r="K156" i="8"/>
  <c r="K104" i="8" s="1"/>
  <c r="K106" i="8" s="1"/>
  <c r="K14" i="8" s="1"/>
  <c r="K16" i="8" s="1"/>
  <c r="K18" i="8" s="1"/>
  <c r="K165" i="8"/>
  <c r="K167" i="8" s="1"/>
  <c r="F266" i="7"/>
  <c r="F260" i="7"/>
  <c r="K196" i="8"/>
  <c r="K258" i="8"/>
  <c r="K258" i="7"/>
  <c r="K196" i="7"/>
  <c r="C207" i="8"/>
  <c r="C209" i="8" s="1"/>
  <c r="C198" i="8"/>
  <c r="C108" i="8" s="1"/>
  <c r="C207" i="7"/>
  <c r="C209" i="7" s="1"/>
  <c r="C198" i="7"/>
  <c r="C108" i="7" s="1"/>
  <c r="C260" i="7"/>
  <c r="C266" i="7"/>
  <c r="C142" i="8"/>
  <c r="C154" i="8" s="1"/>
  <c r="C142" i="7"/>
  <c r="C154" i="7" s="1"/>
  <c r="C266" i="8"/>
  <c r="C260" i="8"/>
  <c r="J36" i="7"/>
  <c r="C147" i="7"/>
  <c r="C147" i="8"/>
  <c r="G198" i="7"/>
  <c r="G108" i="7" s="1"/>
  <c r="G207" i="7"/>
  <c r="G209" i="7" s="1"/>
  <c r="D266" i="8"/>
  <c r="D260" i="8"/>
  <c r="G172" i="7"/>
  <c r="G172" i="8"/>
  <c r="D207" i="8"/>
  <c r="D209" i="8" s="1"/>
  <c r="D198" i="8"/>
  <c r="D108" i="8" s="1"/>
  <c r="G106" i="7"/>
  <c r="G14" i="7" s="1"/>
  <c r="G207" i="8"/>
  <c r="G209" i="8" s="1"/>
  <c r="G198" i="8"/>
  <c r="G108" i="8" s="1"/>
  <c r="D266" i="7"/>
  <c r="D260" i="7"/>
  <c r="B156" i="7"/>
  <c r="B104" i="7" s="1"/>
  <c r="B165" i="7"/>
  <c r="B167" i="7" s="1"/>
  <c r="I198" i="7"/>
  <c r="I108" i="7" s="1"/>
  <c r="I207" i="7"/>
  <c r="I209" i="7" s="1"/>
  <c r="B198" i="8"/>
  <c r="B108" i="8" s="1"/>
  <c r="B207" i="8"/>
  <c r="B209" i="8" s="1"/>
  <c r="B165" i="8"/>
  <c r="B167" i="8" s="1"/>
  <c r="B156" i="8"/>
  <c r="B104" i="8" s="1"/>
  <c r="B147" i="8"/>
  <c r="B147" i="7"/>
  <c r="K36" i="7"/>
  <c r="B260" i="8"/>
  <c r="B266" i="8"/>
  <c r="B266" i="7"/>
  <c r="B260" i="7"/>
  <c r="I260" i="8"/>
  <c r="I266" i="8"/>
  <c r="I260" i="7"/>
  <c r="I266" i="7"/>
  <c r="I142" i="8"/>
  <c r="I154" i="8" s="1"/>
  <c r="I142" i="7"/>
  <c r="I154" i="7" s="1"/>
  <c r="B207" i="7"/>
  <c r="B209" i="7" s="1"/>
  <c r="B198" i="7"/>
  <c r="B108" i="7" s="1"/>
  <c r="I207" i="8"/>
  <c r="I209" i="8" s="1"/>
  <c r="I198" i="8"/>
  <c r="I108" i="8" s="1"/>
  <c r="K36" i="8"/>
  <c r="L110" i="8"/>
  <c r="L21" i="8" s="1"/>
  <c r="L35" i="8" s="1"/>
  <c r="H106" i="7"/>
  <c r="H14" i="7" s="1"/>
  <c r="H198" i="7"/>
  <c r="H108" i="7" s="1"/>
  <c r="H124" i="7" s="1"/>
  <c r="H126" i="7" s="1"/>
  <c r="H207" i="7"/>
  <c r="H209" i="7" s="1"/>
  <c r="L36" i="7"/>
  <c r="I147" i="7"/>
  <c r="I147" i="8"/>
  <c r="J36" i="8"/>
  <c r="L36" i="8"/>
  <c r="L116" i="8"/>
  <c r="L118" i="8" s="1"/>
  <c r="H260" i="8"/>
  <c r="H266" i="8"/>
  <c r="L16" i="8"/>
  <c r="L18" i="8" s="1"/>
  <c r="Z39" i="9" l="1"/>
  <c r="AA39" i="9" s="1"/>
  <c r="H171" i="7"/>
  <c r="H172" i="7"/>
  <c r="L84" i="9"/>
  <c r="L86" i="9" s="1"/>
  <c r="L87" i="9" s="1"/>
  <c r="L40" i="9"/>
  <c r="G260" i="8"/>
  <c r="G116" i="8"/>
  <c r="G118" i="8" s="1"/>
  <c r="J40" i="9"/>
  <c r="J84" i="9"/>
  <c r="J86" i="9" s="1"/>
  <c r="J87" i="9" s="1"/>
  <c r="H266" i="7"/>
  <c r="H268" i="7" s="1"/>
  <c r="G266" i="7"/>
  <c r="G277" i="7" s="1"/>
  <c r="G279" i="7" s="1"/>
  <c r="E207" i="7"/>
  <c r="E209" i="7" s="1"/>
  <c r="H33" i="5"/>
  <c r="H300" i="5" s="1"/>
  <c r="H301" i="5" s="1"/>
  <c r="H302" i="5" s="1"/>
  <c r="I300" i="5"/>
  <c r="I301" i="5" s="1"/>
  <c r="I302" i="5" s="1"/>
  <c r="H198" i="8"/>
  <c r="H108" i="8" s="1"/>
  <c r="H124" i="8" s="1"/>
  <c r="H126" i="8" s="1"/>
  <c r="B217" i="7"/>
  <c r="G217" i="7"/>
  <c r="F217" i="7"/>
  <c r="C217" i="8"/>
  <c r="F216" i="8"/>
  <c r="B217" i="8"/>
  <c r="G217" i="8"/>
  <c r="H216" i="8"/>
  <c r="C216" i="8"/>
  <c r="E217" i="7"/>
  <c r="M217" i="7"/>
  <c r="E217" i="8"/>
  <c r="M216" i="7"/>
  <c r="E165" i="8"/>
  <c r="E167" i="8" s="1"/>
  <c r="L216" i="7"/>
  <c r="E156" i="7"/>
  <c r="E104" i="7" s="1"/>
  <c r="E106" i="7" s="1"/>
  <c r="E14" i="7" s="1"/>
  <c r="I216" i="7"/>
  <c r="H217" i="7"/>
  <c r="I217" i="7"/>
  <c r="L217" i="7"/>
  <c r="K217" i="8"/>
  <c r="J216" i="8"/>
  <c r="D217" i="8"/>
  <c r="D171" i="7"/>
  <c r="H26" i="5"/>
  <c r="H295" i="5"/>
  <c r="H296" i="5" s="1"/>
  <c r="H297" i="5" s="1"/>
  <c r="AG296" i="5"/>
  <c r="AG297" i="5" s="1"/>
  <c r="AJ26" i="5"/>
  <c r="AJ295" i="5"/>
  <c r="AJ296" i="5" s="1"/>
  <c r="AJ297" i="5" s="1"/>
  <c r="L171" i="8"/>
  <c r="L116" i="7"/>
  <c r="L118" i="7" s="1"/>
  <c r="D207" i="7"/>
  <c r="D209" i="7" s="1"/>
  <c r="R172" i="2"/>
  <c r="L110" i="7"/>
  <c r="L21" i="7" s="1"/>
  <c r="L35" i="7" s="1"/>
  <c r="L37" i="7" s="1"/>
  <c r="L39" i="7" s="1"/>
  <c r="AJ38" i="2"/>
  <c r="AJ35" i="2"/>
  <c r="AJ36" i="2" s="1"/>
  <c r="AI34" i="2"/>
  <c r="G23" i="5"/>
  <c r="G25" i="5" s="1"/>
  <c r="G42" i="5" s="1"/>
  <c r="Q171" i="2"/>
  <c r="F24" i="5"/>
  <c r="R187" i="2"/>
  <c r="Q170" i="2"/>
  <c r="P167" i="2"/>
  <c r="AV134" i="2"/>
  <c r="AV145" i="2"/>
  <c r="D65" i="5"/>
  <c r="D67" i="5" s="1"/>
  <c r="D68" i="5" s="1"/>
  <c r="AS158" i="2"/>
  <c r="AS185" i="2"/>
  <c r="EW6" i="2"/>
  <c r="EY6" i="2" s="1"/>
  <c r="EW9" i="2"/>
  <c r="EY8" i="2" s="1"/>
  <c r="EW5" i="2"/>
  <c r="EW13" i="2"/>
  <c r="EW15" i="2"/>
  <c r="EW11" i="2"/>
  <c r="EW12" i="2"/>
  <c r="EW8" i="2"/>
  <c r="EY9" i="2" s="1"/>
  <c r="EW14" i="2"/>
  <c r="EW7" i="2"/>
  <c r="EY7" i="2" s="1"/>
  <c r="EW10" i="2"/>
  <c r="EY10" i="2" s="1"/>
  <c r="S177" i="2"/>
  <c r="S179" i="2" s="1"/>
  <c r="S183" i="2" s="1"/>
  <c r="AE184" i="2" s="1"/>
  <c r="R174" i="2"/>
  <c r="G30" i="5"/>
  <c r="G31" i="5" s="1"/>
  <c r="AW61" i="2"/>
  <c r="BI24" i="2"/>
  <c r="AW24" i="2"/>
  <c r="AW158" i="2"/>
  <c r="EW16" i="2"/>
  <c r="J260" i="8"/>
  <c r="J156" i="8"/>
  <c r="J104" i="8" s="1"/>
  <c r="J106" i="8" s="1"/>
  <c r="J14" i="8" s="1"/>
  <c r="J16" i="8" s="1"/>
  <c r="J18" i="8" s="1"/>
  <c r="J165" i="8"/>
  <c r="J167" i="8" s="1"/>
  <c r="J165" i="7"/>
  <c r="J167" i="7" s="1"/>
  <c r="J156" i="7"/>
  <c r="J104" i="7" s="1"/>
  <c r="J106" i="7" s="1"/>
  <c r="J14" i="7" s="1"/>
  <c r="J16" i="7" s="1"/>
  <c r="J18" i="7" s="1"/>
  <c r="J120" i="8"/>
  <c r="J122" i="8" s="1"/>
  <c r="J110" i="8"/>
  <c r="J21" i="8" s="1"/>
  <c r="M106" i="7"/>
  <c r="M14" i="7" s="1"/>
  <c r="M35" i="7" s="1"/>
  <c r="M116" i="7"/>
  <c r="M118" i="7" s="1"/>
  <c r="M172" i="8"/>
  <c r="M172" i="7"/>
  <c r="J268" i="8"/>
  <c r="J277" i="8"/>
  <c r="J279" i="8" s="1"/>
  <c r="M106" i="8"/>
  <c r="M14" i="8" s="1"/>
  <c r="M35" i="8" s="1"/>
  <c r="M116" i="8"/>
  <c r="M118" i="8" s="1"/>
  <c r="J110" i="7"/>
  <c r="J21" i="7" s="1"/>
  <c r="J120" i="7"/>
  <c r="J122" i="7" s="1"/>
  <c r="J268" i="7"/>
  <c r="J277" i="7"/>
  <c r="J279" i="7" s="1"/>
  <c r="E216" i="8"/>
  <c r="E216" i="7"/>
  <c r="E268" i="7"/>
  <c r="E277" i="7"/>
  <c r="E279" i="7" s="1"/>
  <c r="E120" i="7"/>
  <c r="E122" i="7" s="1"/>
  <c r="E110" i="7"/>
  <c r="E21" i="7" s="1"/>
  <c r="E277" i="8"/>
  <c r="E279" i="8" s="1"/>
  <c r="E268" i="8"/>
  <c r="E120" i="8"/>
  <c r="E122" i="8" s="1"/>
  <c r="E110" i="8"/>
  <c r="E21" i="8" s="1"/>
  <c r="G124" i="8"/>
  <c r="G126" i="8" s="1"/>
  <c r="F277" i="7"/>
  <c r="F279" i="7" s="1"/>
  <c r="F268" i="7"/>
  <c r="E172" i="8"/>
  <c r="E172" i="7"/>
  <c r="K198" i="7"/>
  <c r="K108" i="7" s="1"/>
  <c r="K124" i="7" s="1"/>
  <c r="K126" i="7" s="1"/>
  <c r="K207" i="7"/>
  <c r="K209" i="7" s="1"/>
  <c r="K266" i="7"/>
  <c r="K260" i="7"/>
  <c r="K106" i="7"/>
  <c r="K14" i="7" s="1"/>
  <c r="F165" i="8"/>
  <c r="F167" i="8" s="1"/>
  <c r="F156" i="8"/>
  <c r="F104" i="8" s="1"/>
  <c r="F165" i="7"/>
  <c r="F167" i="7" s="1"/>
  <c r="F156" i="7"/>
  <c r="F104" i="7" s="1"/>
  <c r="K172" i="8"/>
  <c r="K172" i="7"/>
  <c r="F110" i="8"/>
  <c r="F21" i="8" s="1"/>
  <c r="F120" i="8"/>
  <c r="F122" i="8" s="1"/>
  <c r="E106" i="8"/>
  <c r="E14" i="8" s="1"/>
  <c r="E116" i="8"/>
  <c r="E118" i="8" s="1"/>
  <c r="E124" i="8"/>
  <c r="E126" i="8" s="1"/>
  <c r="F268" i="8"/>
  <c r="F277" i="8"/>
  <c r="F279" i="8" s="1"/>
  <c r="K266" i="8"/>
  <c r="K260" i="8"/>
  <c r="K198" i="8"/>
  <c r="K108" i="8" s="1"/>
  <c r="K207" i="8"/>
  <c r="K209" i="8" s="1"/>
  <c r="F110" i="7"/>
  <c r="F21" i="7" s="1"/>
  <c r="F120" i="7"/>
  <c r="F122" i="7" s="1"/>
  <c r="C156" i="7"/>
  <c r="C104" i="7" s="1"/>
  <c r="C165" i="7"/>
  <c r="C167" i="7" s="1"/>
  <c r="C165" i="8"/>
  <c r="C167" i="8" s="1"/>
  <c r="C156" i="8"/>
  <c r="C104" i="8" s="1"/>
  <c r="C124" i="8" s="1"/>
  <c r="C126" i="8" s="1"/>
  <c r="C277" i="7"/>
  <c r="C279" i="7" s="1"/>
  <c r="C268" i="7"/>
  <c r="C120" i="7"/>
  <c r="C122" i="7" s="1"/>
  <c r="C110" i="7"/>
  <c r="C21" i="7" s="1"/>
  <c r="C120" i="8"/>
  <c r="C122" i="8" s="1"/>
  <c r="C110" i="8"/>
  <c r="C21" i="8" s="1"/>
  <c r="C277" i="8"/>
  <c r="C279" i="8" s="1"/>
  <c r="C268" i="8"/>
  <c r="G171" i="8"/>
  <c r="G171" i="7"/>
  <c r="D268" i="7"/>
  <c r="D277" i="7"/>
  <c r="D279" i="7" s="1"/>
  <c r="G120" i="8"/>
  <c r="G122" i="8" s="1"/>
  <c r="G110" i="8"/>
  <c r="G21" i="8" s="1"/>
  <c r="G49" i="8" s="1"/>
  <c r="G110" i="7"/>
  <c r="G21" i="7" s="1"/>
  <c r="G120" i="7"/>
  <c r="G122" i="7" s="1"/>
  <c r="D277" i="8"/>
  <c r="D279" i="8" s="1"/>
  <c r="D268" i="8"/>
  <c r="G116" i="7"/>
  <c r="G118" i="7" s="1"/>
  <c r="G216" i="8"/>
  <c r="G216" i="7"/>
  <c r="G124" i="7"/>
  <c r="G126" i="7" s="1"/>
  <c r="D120" i="7"/>
  <c r="D122" i="7" s="1"/>
  <c r="D110" i="7"/>
  <c r="D21" i="7" s="1"/>
  <c r="D116" i="7"/>
  <c r="D118" i="7" s="1"/>
  <c r="D124" i="7"/>
  <c r="D126" i="7" s="1"/>
  <c r="G268" i="8"/>
  <c r="G277" i="8"/>
  <c r="G279" i="8" s="1"/>
  <c r="D124" i="8"/>
  <c r="D126" i="8" s="1"/>
  <c r="D116" i="8"/>
  <c r="D118" i="8" s="1"/>
  <c r="D110" i="8"/>
  <c r="D21" i="8" s="1"/>
  <c r="D120" i="8"/>
  <c r="D122" i="8" s="1"/>
  <c r="H116" i="7"/>
  <c r="H118" i="7" s="1"/>
  <c r="B277" i="8"/>
  <c r="B279" i="8" s="1"/>
  <c r="B268" i="8"/>
  <c r="I277" i="8"/>
  <c r="I279" i="8" s="1"/>
  <c r="I268" i="8"/>
  <c r="H268" i="8"/>
  <c r="H277" i="8"/>
  <c r="H279" i="8" s="1"/>
  <c r="B172" i="8"/>
  <c r="B172" i="7"/>
  <c r="B277" i="7"/>
  <c r="B279" i="7" s="1"/>
  <c r="B268" i="7"/>
  <c r="I110" i="7"/>
  <c r="I21" i="7" s="1"/>
  <c r="I120" i="7"/>
  <c r="I122" i="7" s="1"/>
  <c r="I110" i="8"/>
  <c r="I21" i="8" s="1"/>
  <c r="I120" i="8"/>
  <c r="I122" i="8" s="1"/>
  <c r="B116" i="8"/>
  <c r="B118" i="8" s="1"/>
  <c r="B124" i="8"/>
  <c r="B126" i="8" s="1"/>
  <c r="B106" i="8"/>
  <c r="B14" i="8" s="1"/>
  <c r="B216" i="8"/>
  <c r="B216" i="7"/>
  <c r="L23" i="8"/>
  <c r="L25" i="8" s="1"/>
  <c r="I277" i="7"/>
  <c r="I279" i="7" s="1"/>
  <c r="I268" i="7"/>
  <c r="L37" i="8"/>
  <c r="L39" i="8" s="1"/>
  <c r="B110" i="8"/>
  <c r="B21" i="8" s="1"/>
  <c r="B120" i="8"/>
  <c r="B122" i="8" s="1"/>
  <c r="H110" i="7"/>
  <c r="H21" i="7" s="1"/>
  <c r="H35" i="7" s="1"/>
  <c r="H120" i="7"/>
  <c r="H122" i="7" s="1"/>
  <c r="B106" i="7"/>
  <c r="B14" i="7" s="1"/>
  <c r="B124" i="7"/>
  <c r="B126" i="7" s="1"/>
  <c r="B116" i="7"/>
  <c r="B118" i="7" s="1"/>
  <c r="B120" i="7"/>
  <c r="B122" i="7" s="1"/>
  <c r="B110" i="7"/>
  <c r="B21" i="7" s="1"/>
  <c r="I165" i="7"/>
  <c r="I167" i="7" s="1"/>
  <c r="I156" i="7"/>
  <c r="I104" i="7" s="1"/>
  <c r="I165" i="8"/>
  <c r="I167" i="8" s="1"/>
  <c r="I156" i="8"/>
  <c r="I104" i="8" s="1"/>
  <c r="H171" i="8" l="1"/>
  <c r="H277" i="7"/>
  <c r="H279" i="7" s="1"/>
  <c r="G268" i="7"/>
  <c r="H110" i="8"/>
  <c r="H21" i="8" s="1"/>
  <c r="H49" i="8" s="1"/>
  <c r="H120" i="8"/>
  <c r="H122" i="8" s="1"/>
  <c r="H35" i="5"/>
  <c r="Y57" i="5"/>
  <c r="Y59" i="5" s="1"/>
  <c r="G33" i="5"/>
  <c r="G35" i="5" s="1"/>
  <c r="H116" i="8"/>
  <c r="H118" i="8" s="1"/>
  <c r="C216" i="7"/>
  <c r="K217" i="7"/>
  <c r="I216" i="8"/>
  <c r="F216" i="7"/>
  <c r="K216" i="8"/>
  <c r="H216" i="7"/>
  <c r="E124" i="7"/>
  <c r="E126" i="7" s="1"/>
  <c r="M216" i="8"/>
  <c r="L216" i="8"/>
  <c r="E116" i="7"/>
  <c r="E118" i="7" s="1"/>
  <c r="J217" i="8"/>
  <c r="J216" i="7"/>
  <c r="J217" i="7"/>
  <c r="D217" i="7"/>
  <c r="D216" i="7"/>
  <c r="L23" i="7"/>
  <c r="L25" i="7" s="1"/>
  <c r="G26" i="5"/>
  <c r="G295" i="5"/>
  <c r="G296" i="5" s="1"/>
  <c r="G297" i="5" s="1"/>
  <c r="F23" i="5"/>
  <c r="F25" i="5" s="1"/>
  <c r="P171" i="2"/>
  <c r="E24" i="5"/>
  <c r="Q187" i="2"/>
  <c r="Q172" i="2"/>
  <c r="AI38" i="2"/>
  <c r="AK39" i="2"/>
  <c r="AI35" i="2"/>
  <c r="AI36" i="2" s="1"/>
  <c r="O167" i="2"/>
  <c r="P170" i="2"/>
  <c r="F30" i="5"/>
  <c r="F31" i="5" s="1"/>
  <c r="Q174" i="2"/>
  <c r="R177" i="2"/>
  <c r="R179" i="2" s="1"/>
  <c r="R183" i="2" s="1"/>
  <c r="AD184" i="2" s="1"/>
  <c r="EY11" i="2"/>
  <c r="EW17" i="2"/>
  <c r="EY5" i="2"/>
  <c r="AV158" i="2"/>
  <c r="AV185" i="2"/>
  <c r="J116" i="7"/>
  <c r="J118" i="7" s="1"/>
  <c r="J124" i="8"/>
  <c r="J126" i="8" s="1"/>
  <c r="J116" i="8"/>
  <c r="J118" i="8" s="1"/>
  <c r="K116" i="7"/>
  <c r="K118" i="7" s="1"/>
  <c r="J124" i="7"/>
  <c r="J126" i="7" s="1"/>
  <c r="J172" i="8"/>
  <c r="J172" i="7"/>
  <c r="J23" i="7"/>
  <c r="J25" i="7" s="1"/>
  <c r="J35" i="7"/>
  <c r="J37" i="7" s="1"/>
  <c r="J39" i="7" s="1"/>
  <c r="J42" i="7"/>
  <c r="J49" i="7"/>
  <c r="J23" i="8"/>
  <c r="J25" i="8" s="1"/>
  <c r="J42" i="8"/>
  <c r="J35" i="8"/>
  <c r="J37" i="8" s="1"/>
  <c r="J39" i="8" s="1"/>
  <c r="J49" i="8"/>
  <c r="M171" i="8"/>
  <c r="M171" i="7"/>
  <c r="E23" i="8"/>
  <c r="E25" i="8" s="1"/>
  <c r="E42" i="8"/>
  <c r="E44" i="8" s="1"/>
  <c r="E46" i="8" s="1"/>
  <c r="E42" i="7"/>
  <c r="E44" i="7" s="1"/>
  <c r="E46" i="7" s="1"/>
  <c r="E23" i="7"/>
  <c r="E25" i="7" s="1"/>
  <c r="F23" i="7"/>
  <c r="F25" i="7" s="1"/>
  <c r="F42" i="7"/>
  <c r="F44" i="7" s="1"/>
  <c r="F46" i="7" s="1"/>
  <c r="K171" i="8"/>
  <c r="K171" i="7"/>
  <c r="K268" i="7"/>
  <c r="K277" i="7"/>
  <c r="K279" i="7" s="1"/>
  <c r="E35" i="7"/>
  <c r="E49" i="7"/>
  <c r="K124" i="8"/>
  <c r="K126" i="8" s="1"/>
  <c r="K116" i="8"/>
  <c r="K118" i="8" s="1"/>
  <c r="K120" i="8"/>
  <c r="K122" i="8" s="1"/>
  <c r="K110" i="8"/>
  <c r="K21" i="8" s="1"/>
  <c r="E49" i="8"/>
  <c r="E35" i="8"/>
  <c r="K120" i="7"/>
  <c r="K122" i="7" s="1"/>
  <c r="K110" i="7"/>
  <c r="K21" i="7" s="1"/>
  <c r="F42" i="8"/>
  <c r="F44" i="8" s="1"/>
  <c r="F46" i="8" s="1"/>
  <c r="F23" i="8"/>
  <c r="F25" i="8" s="1"/>
  <c r="F116" i="8"/>
  <c r="F118" i="8" s="1"/>
  <c r="F106" i="8"/>
  <c r="F14" i="8" s="1"/>
  <c r="F124" i="8"/>
  <c r="F126" i="8" s="1"/>
  <c r="F172" i="7"/>
  <c r="F172" i="8"/>
  <c r="K277" i="8"/>
  <c r="K279" i="8" s="1"/>
  <c r="K268" i="8"/>
  <c r="K16" i="7"/>
  <c r="K18" i="7" s="1"/>
  <c r="E171" i="8"/>
  <c r="E171" i="7"/>
  <c r="F124" i="7"/>
  <c r="F126" i="7" s="1"/>
  <c r="F116" i="7"/>
  <c r="F118" i="7" s="1"/>
  <c r="F106" i="7"/>
  <c r="F14" i="7" s="1"/>
  <c r="C42" i="8"/>
  <c r="C44" i="8" s="1"/>
  <c r="C46" i="8" s="1"/>
  <c r="C23" i="8"/>
  <c r="C25" i="8" s="1"/>
  <c r="C42" i="7"/>
  <c r="C44" i="7" s="1"/>
  <c r="C46" i="7" s="1"/>
  <c r="C23" i="7"/>
  <c r="C25" i="7" s="1"/>
  <c r="C172" i="8"/>
  <c r="C172" i="7"/>
  <c r="C106" i="8"/>
  <c r="C14" i="8" s="1"/>
  <c r="C116" i="8"/>
  <c r="C118" i="8" s="1"/>
  <c r="C106" i="7"/>
  <c r="C14" i="7" s="1"/>
  <c r="C124" i="7"/>
  <c r="C126" i="7" s="1"/>
  <c r="C116" i="7"/>
  <c r="C118" i="7" s="1"/>
  <c r="G35" i="8"/>
  <c r="G42" i="8"/>
  <c r="G44" i="8" s="1"/>
  <c r="G46" i="8" s="1"/>
  <c r="G23" i="8"/>
  <c r="G25" i="8" s="1"/>
  <c r="G42" i="7"/>
  <c r="G44" i="7" s="1"/>
  <c r="G46" i="7" s="1"/>
  <c r="G23" i="7"/>
  <c r="G25" i="7" s="1"/>
  <c r="D35" i="7"/>
  <c r="D49" i="7"/>
  <c r="D23" i="7"/>
  <c r="D25" i="7" s="1"/>
  <c r="D42" i="7"/>
  <c r="D44" i="7" s="1"/>
  <c r="D46" i="7" s="1"/>
  <c r="D42" i="8"/>
  <c r="D44" i="8" s="1"/>
  <c r="D46" i="8" s="1"/>
  <c r="D49" i="8"/>
  <c r="D35" i="8"/>
  <c r="D23" i="8"/>
  <c r="D25" i="8" s="1"/>
  <c r="G35" i="7"/>
  <c r="G49" i="7"/>
  <c r="H49" i="7"/>
  <c r="I124" i="7"/>
  <c r="I126" i="7" s="1"/>
  <c r="I116" i="7"/>
  <c r="I118" i="7" s="1"/>
  <c r="I106" i="7"/>
  <c r="I14" i="7" s="1"/>
  <c r="I42" i="8"/>
  <c r="I44" i="8" s="1"/>
  <c r="I46" i="8" s="1"/>
  <c r="I23" i="8"/>
  <c r="I25" i="8" s="1"/>
  <c r="I172" i="8"/>
  <c r="I172" i="7"/>
  <c r="B23" i="7"/>
  <c r="B25" i="7" s="1"/>
  <c r="B42" i="7"/>
  <c r="B44" i="7" s="1"/>
  <c r="B46" i="7" s="1"/>
  <c r="I23" i="7"/>
  <c r="I25" i="7" s="1"/>
  <c r="I42" i="7"/>
  <c r="I44" i="7" s="1"/>
  <c r="I46" i="7" s="1"/>
  <c r="B35" i="7"/>
  <c r="B37" i="7" s="1"/>
  <c r="B39" i="7" s="1"/>
  <c r="B16" i="7"/>
  <c r="B18" i="7" s="1"/>
  <c r="B49" i="7"/>
  <c r="B51" i="7" s="1"/>
  <c r="B53" i="7" s="1"/>
  <c r="B55" i="7" s="1"/>
  <c r="B42" i="8"/>
  <c r="B44" i="8" s="1"/>
  <c r="B46" i="8" s="1"/>
  <c r="B23" i="8"/>
  <c r="B25" i="8" s="1"/>
  <c r="B171" i="8"/>
  <c r="B171" i="7"/>
  <c r="H42" i="7"/>
  <c r="H44" i="7" s="1"/>
  <c r="H46" i="7" s="1"/>
  <c r="H23" i="7"/>
  <c r="H25" i="7" s="1"/>
  <c r="B16" i="8"/>
  <c r="B18" i="8" s="1"/>
  <c r="B49" i="8"/>
  <c r="B51" i="8" s="1"/>
  <c r="B53" i="8" s="1"/>
  <c r="B55" i="8" s="1"/>
  <c r="B35" i="8"/>
  <c r="B37" i="8" s="1"/>
  <c r="B39" i="8" s="1"/>
  <c r="I106" i="8"/>
  <c r="I14" i="8" s="1"/>
  <c r="I124" i="8"/>
  <c r="I126" i="8" s="1"/>
  <c r="I116" i="8"/>
  <c r="I118" i="8" s="1"/>
  <c r="H23" i="8" l="1"/>
  <c r="H25" i="8" s="1"/>
  <c r="H42" i="8"/>
  <c r="H44" i="8" s="1"/>
  <c r="H46" i="8" s="1"/>
  <c r="H35" i="8"/>
  <c r="F33" i="5"/>
  <c r="F35" i="5" s="1"/>
  <c r="G300" i="5"/>
  <c r="G301" i="5" s="1"/>
  <c r="G302" i="5" s="1"/>
  <c r="F295" i="5"/>
  <c r="F296" i="5" s="1"/>
  <c r="F297" i="5" s="1"/>
  <c r="F42" i="5"/>
  <c r="K216" i="7"/>
  <c r="D216" i="8"/>
  <c r="P172" i="2"/>
  <c r="F26" i="5"/>
  <c r="E23" i="5"/>
  <c r="E25" i="5" s="1"/>
  <c r="X56" i="5"/>
  <c r="P187" i="2"/>
  <c r="O171" i="2"/>
  <c r="D24" i="5"/>
  <c r="Q177" i="2"/>
  <c r="Q179" i="2" s="1"/>
  <c r="Q183" i="2" s="1"/>
  <c r="AC184" i="2" s="1"/>
  <c r="E30" i="5"/>
  <c r="E31" i="5" s="1"/>
  <c r="P174" i="2"/>
  <c r="O170" i="2"/>
  <c r="N167" i="2"/>
  <c r="J171" i="8"/>
  <c r="J171" i="7"/>
  <c r="F35" i="7"/>
  <c r="F49" i="7"/>
  <c r="K23" i="7"/>
  <c r="K25" i="7" s="1"/>
  <c r="K42" i="7"/>
  <c r="K49" i="7"/>
  <c r="F171" i="7"/>
  <c r="F171" i="8"/>
  <c r="K42" i="8"/>
  <c r="K23" i="8"/>
  <c r="K25" i="8" s="1"/>
  <c r="K49" i="8"/>
  <c r="K35" i="8"/>
  <c r="K37" i="8" s="1"/>
  <c r="K39" i="8" s="1"/>
  <c r="F49" i="8"/>
  <c r="F35" i="8"/>
  <c r="K35" i="7"/>
  <c r="K37" i="7" s="1"/>
  <c r="K39" i="7" s="1"/>
  <c r="C35" i="8"/>
  <c r="C35" i="7"/>
  <c r="C49" i="7"/>
  <c r="C171" i="7"/>
  <c r="C171" i="8"/>
  <c r="C49" i="8"/>
  <c r="I49" i="8"/>
  <c r="I35" i="8"/>
  <c r="I171" i="8"/>
  <c r="I171" i="7"/>
  <c r="I35" i="7"/>
  <c r="I49" i="7"/>
  <c r="F300" i="5" l="1"/>
  <c r="F301" i="5" s="1"/>
  <c r="F302" i="5" s="1"/>
  <c r="E33" i="5"/>
  <c r="E300" i="5" s="1"/>
  <c r="E301" i="5" s="1"/>
  <c r="E302" i="5" s="1"/>
  <c r="E295" i="5"/>
  <c r="E296" i="5" s="1"/>
  <c r="E297" i="5" s="1"/>
  <c r="E42" i="5"/>
  <c r="E26" i="5"/>
  <c r="O172" i="2"/>
  <c r="D23" i="5"/>
  <c r="D25" i="5" s="1"/>
  <c r="D42" i="5" s="1"/>
  <c r="C24" i="5"/>
  <c r="C23" i="5" s="1"/>
  <c r="C25" i="5" s="1"/>
  <c r="C42" i="5" s="1"/>
  <c r="O187" i="2"/>
  <c r="N171" i="2"/>
  <c r="N170" i="2"/>
  <c r="M167" i="2"/>
  <c r="D30" i="5"/>
  <c r="D31" i="5" s="1"/>
  <c r="O174" i="2"/>
  <c r="P177" i="2"/>
  <c r="P179" i="2" s="1"/>
  <c r="P183" i="2" s="1"/>
  <c r="AB184" i="2" s="1"/>
  <c r="X57" i="5" l="1"/>
  <c r="X59" i="5" s="1"/>
  <c r="D33" i="5"/>
  <c r="D35" i="5" s="1"/>
  <c r="E35" i="5"/>
  <c r="N172" i="2"/>
  <c r="C26" i="5"/>
  <c r="C295" i="5"/>
  <c r="C296" i="5" s="1"/>
  <c r="C297" i="5" s="1"/>
  <c r="D26" i="5"/>
  <c r="D295" i="5"/>
  <c r="D296" i="5" s="1"/>
  <c r="D297" i="5" s="1"/>
  <c r="B24" i="5"/>
  <c r="M171" i="2"/>
  <c r="L171" i="2" s="1"/>
  <c r="K171" i="2" s="1"/>
  <c r="J171" i="2" s="1"/>
  <c r="I171" i="2" s="1"/>
  <c r="H171" i="2" s="1"/>
  <c r="G171" i="2" s="1"/>
  <c r="F171" i="2" s="1"/>
  <c r="E171" i="2" s="1"/>
  <c r="D171" i="2" s="1"/>
  <c r="C171" i="2" s="1"/>
  <c r="B171" i="2" s="1"/>
  <c r="N187" i="2"/>
  <c r="M170" i="2"/>
  <c r="M172" i="2" s="1"/>
  <c r="L167" i="2"/>
  <c r="N174" i="2"/>
  <c r="O177" i="2"/>
  <c r="O179" i="2" s="1"/>
  <c r="O183" i="2" s="1"/>
  <c r="AA184" i="2" s="1"/>
  <c r="C30" i="5"/>
  <c r="C31" i="5" s="1"/>
  <c r="D300" i="5" l="1"/>
  <c r="D301" i="5" s="1"/>
  <c r="D302" i="5" s="1"/>
  <c r="C33" i="5"/>
  <c r="C300" i="5" s="1"/>
  <c r="C301" i="5" s="1"/>
  <c r="C302" i="5" s="1"/>
  <c r="W56" i="5"/>
  <c r="B23" i="5"/>
  <c r="B66" i="5"/>
  <c r="N177" i="2"/>
  <c r="N179" i="2" s="1"/>
  <c r="N183" i="2" s="1"/>
  <c r="Z184" i="2" s="1"/>
  <c r="M174" i="2"/>
  <c r="B30" i="5"/>
  <c r="K167" i="2"/>
  <c r="L170" i="2"/>
  <c r="L172" i="2" s="1"/>
  <c r="B47" i="9"/>
  <c r="C35" i="5" l="1"/>
  <c r="B25" i="5"/>
  <c r="B42" i="5" s="1"/>
  <c r="B65" i="5"/>
  <c r="B67" i="5" s="1"/>
  <c r="B68" i="5" s="1"/>
  <c r="B72" i="5"/>
  <c r="B73" i="5" s="1"/>
  <c r="B31" i="5"/>
  <c r="M177" i="2"/>
  <c r="M179" i="2" s="1"/>
  <c r="M183" i="2" s="1"/>
  <c r="L174" i="2"/>
  <c r="K170" i="2"/>
  <c r="K172" i="2" s="1"/>
  <c r="J167" i="2"/>
  <c r="B152" i="9"/>
  <c r="Z24" i="4"/>
  <c r="B33" i="5" l="1"/>
  <c r="B300" i="5" s="1"/>
  <c r="B301" i="5" s="1"/>
  <c r="B302" i="5" s="1"/>
  <c r="B26" i="5"/>
  <c r="B295" i="5"/>
  <c r="I167" i="2"/>
  <c r="J170" i="2"/>
  <c r="J172" i="2" s="1"/>
  <c r="L177" i="2"/>
  <c r="L179" i="2" s="1"/>
  <c r="L183" i="2" s="1"/>
  <c r="K174" i="2"/>
  <c r="B75" i="5"/>
  <c r="B77" i="5" s="1"/>
  <c r="B138" i="9"/>
  <c r="W57" i="5" l="1"/>
  <c r="W59" i="5" s="1"/>
  <c r="B35" i="5"/>
  <c r="B296" i="5"/>
  <c r="B297" i="5" s="1"/>
  <c r="J174" i="2"/>
  <c r="J177" i="2" s="1"/>
  <c r="J179" i="2" s="1"/>
  <c r="J183" i="2" s="1"/>
  <c r="K177" i="2"/>
  <c r="K179" i="2" s="1"/>
  <c r="K183" i="2" s="1"/>
  <c r="I170" i="2"/>
  <c r="I172" i="2" s="1"/>
  <c r="I183" i="2" s="1"/>
  <c r="H167" i="2"/>
  <c r="BZ40" i="4" l="1"/>
  <c r="H170" i="2"/>
  <c r="H172" i="2" s="1"/>
  <c r="H183" i="2" s="1"/>
  <c r="G167" i="2"/>
  <c r="G170" i="2" l="1"/>
  <c r="G172" i="2" s="1"/>
  <c r="G183" i="2" s="1"/>
  <c r="F167" i="2"/>
  <c r="E167" i="2" l="1"/>
  <c r="F170" i="2"/>
  <c r="F172" i="2" s="1"/>
  <c r="F183" i="2" s="1"/>
  <c r="E170" i="2" l="1"/>
  <c r="E172" i="2" s="1"/>
  <c r="E183" i="2" s="1"/>
  <c r="D167" i="2"/>
  <c r="B34" i="9"/>
  <c r="B36" i="9" s="1"/>
  <c r="B39" i="9" s="1"/>
  <c r="B40" i="9" l="1"/>
  <c r="B84" i="9"/>
  <c r="C167" i="2"/>
  <c r="D170" i="2"/>
  <c r="D172" i="2" s="1"/>
  <c r="D183" i="2" s="1"/>
  <c r="B155" i="9"/>
  <c r="B80" i="9"/>
  <c r="B86" i="9" l="1"/>
  <c r="B87" i="9" s="1"/>
  <c r="C170" i="2"/>
  <c r="C172" i="2" s="1"/>
  <c r="C183" i="2" s="1"/>
  <c r="B167" i="2"/>
  <c r="B170" i="2" s="1"/>
  <c r="B172" i="2" s="1"/>
  <c r="B183" i="2" s="1"/>
  <c r="B157" i="9"/>
  <c r="B19" i="9" l="1"/>
  <c r="B52" i="9" s="1"/>
  <c r="B50" i="9"/>
  <c r="B141" i="9" l="1"/>
  <c r="B66" i="9"/>
  <c r="G143" i="9" l="1"/>
  <c r="B143" i="9"/>
  <c r="CA40" i="4" l="1"/>
  <c r="X63" i="4" l="1"/>
  <c r="Y63" i="4" l="1"/>
  <c r="X164" i="4"/>
  <c r="Z63" i="4" l="1"/>
  <c r="X179" i="4"/>
  <c r="Y164" i="4"/>
  <c r="Y179" i="4" l="1"/>
  <c r="Z164" i="4"/>
  <c r="Z179" i="4" l="1"/>
  <c r="BZ103" i="4" l="1"/>
  <c r="BZ94" i="4"/>
  <c r="BX103" i="4"/>
  <c r="BX94" i="4"/>
  <c r="BY103" i="4"/>
  <c r="BY94" i="4"/>
  <c r="BY63" i="4" l="1"/>
  <c r="Y117" i="4" s="1"/>
  <c r="BZ63" i="4"/>
  <c r="S144" i="7"/>
  <c r="S144" i="8"/>
  <c r="BX63" i="4"/>
  <c r="X117" i="4" s="1"/>
  <c r="T190" i="7"/>
  <c r="T190" i="8"/>
  <c r="U190" i="8"/>
  <c r="U190" i="7"/>
  <c r="T144" i="8"/>
  <c r="T144" i="7"/>
  <c r="S190" i="7"/>
  <c r="S190" i="8"/>
  <c r="U144" i="8"/>
  <c r="U144" i="7"/>
  <c r="S188" i="8" l="1"/>
  <c r="S196" i="8" s="1"/>
  <c r="S188" i="7"/>
  <c r="S196" i="7" s="1"/>
  <c r="T189" i="7"/>
  <c r="T189" i="8"/>
  <c r="S148" i="8"/>
  <c r="S148" i="7"/>
  <c r="U143" i="8"/>
  <c r="U155" i="8" s="1"/>
  <c r="U166" i="8" s="1"/>
  <c r="U143" i="7"/>
  <c r="U155" i="7" s="1"/>
  <c r="U166" i="7" s="1"/>
  <c r="T142" i="7"/>
  <c r="T154" i="7" s="1"/>
  <c r="T142" i="8"/>
  <c r="T154" i="8" s="1"/>
  <c r="U189" i="7"/>
  <c r="U189" i="8"/>
  <c r="X130" i="4"/>
  <c r="S142" i="7"/>
  <c r="S154" i="7" s="1"/>
  <c r="S142" i="8"/>
  <c r="S154" i="8" s="1"/>
  <c r="U188" i="7"/>
  <c r="U196" i="7" s="1"/>
  <c r="U188" i="8"/>
  <c r="U196" i="8" s="1"/>
  <c r="S143" i="8"/>
  <c r="S155" i="8" s="1"/>
  <c r="S166" i="8" s="1"/>
  <c r="S143" i="7"/>
  <c r="S155" i="7" s="1"/>
  <c r="S166" i="7" s="1"/>
  <c r="T148" i="8"/>
  <c r="T148" i="7"/>
  <c r="Z117" i="4"/>
  <c r="BZ101" i="4"/>
  <c r="U148" i="8"/>
  <c r="U148" i="7"/>
  <c r="S189" i="8"/>
  <c r="S189" i="7"/>
  <c r="T143" i="8"/>
  <c r="T155" i="8" s="1"/>
  <c r="T166" i="8" s="1"/>
  <c r="T143" i="7"/>
  <c r="T155" i="7" s="1"/>
  <c r="T166" i="7" s="1"/>
  <c r="Y130" i="4"/>
  <c r="S156" i="7" l="1"/>
  <c r="S104" i="7" s="1"/>
  <c r="T156" i="8"/>
  <c r="T104" i="8" s="1"/>
  <c r="S156" i="8"/>
  <c r="S104" i="8" s="1"/>
  <c r="S470" i="7"/>
  <c r="S24" i="7" s="1"/>
  <c r="S45" i="7" s="1"/>
  <c r="S470" i="8"/>
  <c r="S24" i="8" s="1"/>
  <c r="S45" i="8" s="1"/>
  <c r="T470" i="7"/>
  <c r="T24" i="7" s="1"/>
  <c r="T45" i="7" s="1"/>
  <c r="T470" i="8"/>
  <c r="T24" i="8" s="1"/>
  <c r="T45" i="8" s="1"/>
  <c r="T156" i="7"/>
  <c r="T104" i="7" s="1"/>
  <c r="S197" i="7"/>
  <c r="S208" i="7" s="1"/>
  <c r="S259" i="7"/>
  <c r="S267" i="7" s="1"/>
  <c r="S278" i="7" s="1"/>
  <c r="S259" i="8"/>
  <c r="S267" i="8" s="1"/>
  <c r="S278" i="8" s="1"/>
  <c r="S197" i="8"/>
  <c r="S208" i="8" s="1"/>
  <c r="U147" i="8"/>
  <c r="U147" i="7"/>
  <c r="U197" i="7"/>
  <c r="U208" i="7" s="1"/>
  <c r="U259" i="7"/>
  <c r="U267" i="7" s="1"/>
  <c r="U278" i="7" s="1"/>
  <c r="U142" i="7"/>
  <c r="U154" i="7" s="1"/>
  <c r="U156" i="7" s="1"/>
  <c r="U104" i="7" s="1"/>
  <c r="U142" i="8"/>
  <c r="U154" i="8" s="1"/>
  <c r="U156" i="8" s="1"/>
  <c r="U104" i="8" s="1"/>
  <c r="Z130" i="4"/>
  <c r="DJ29" i="4"/>
  <c r="U259" i="8"/>
  <c r="U267" i="8" s="1"/>
  <c r="U278" i="8" s="1"/>
  <c r="U197" i="8"/>
  <c r="U208" i="8" s="1"/>
  <c r="S147" i="7"/>
  <c r="S147" i="8"/>
  <c r="T259" i="8"/>
  <c r="T267" i="8" s="1"/>
  <c r="T278" i="8" s="1"/>
  <c r="T197" i="8"/>
  <c r="T208" i="8" s="1"/>
  <c r="T197" i="7"/>
  <c r="T208" i="7" s="1"/>
  <c r="T259" i="7"/>
  <c r="T267" i="7" s="1"/>
  <c r="T278" i="7" s="1"/>
  <c r="T188" i="8"/>
  <c r="T196" i="8" s="1"/>
  <c r="T188" i="7"/>
  <c r="T196" i="7" s="1"/>
  <c r="U457" i="8"/>
  <c r="U457" i="7"/>
  <c r="T147" i="7"/>
  <c r="T147" i="8"/>
  <c r="S198" i="8" l="1"/>
  <c r="S108" i="8" s="1"/>
  <c r="S116" i="8" s="1"/>
  <c r="S198" i="7"/>
  <c r="S108" i="7" s="1"/>
  <c r="S116" i="7" s="1"/>
  <c r="T198" i="7"/>
  <c r="T108" i="7" s="1"/>
  <c r="T116" i="7" s="1"/>
  <c r="T198" i="8"/>
  <c r="T108" i="8" s="1"/>
  <c r="T116" i="8" s="1"/>
  <c r="U17" i="8"/>
  <c r="U470" i="7"/>
  <c r="U24" i="7" s="1"/>
  <c r="U45" i="7" s="1"/>
  <c r="U470" i="8"/>
  <c r="U24" i="8" s="1"/>
  <c r="U45" i="8" s="1"/>
  <c r="U17" i="7"/>
  <c r="U198" i="8"/>
  <c r="U108" i="8" s="1"/>
  <c r="U198" i="7"/>
  <c r="U108" i="7" s="1"/>
  <c r="U480" i="8" l="1"/>
  <c r="U480" i="7"/>
  <c r="U52" i="8"/>
  <c r="U38" i="8"/>
  <c r="U116" i="8"/>
  <c r="U38" i="7"/>
  <c r="U52" i="7"/>
  <c r="U116" i="7"/>
  <c r="U24" i="4" l="1"/>
  <c r="S163" i="4"/>
  <c r="T163" i="4"/>
  <c r="U163" i="4"/>
  <c r="V63" i="4" l="1"/>
  <c r="V164" i="4" s="1"/>
  <c r="V179" i="4" s="1"/>
  <c r="V162" i="4"/>
  <c r="V34" i="4"/>
  <c r="CT133" i="4"/>
  <c r="BU104" i="4"/>
  <c r="U72" i="4"/>
  <c r="BU95" i="4"/>
  <c r="T114" i="4"/>
  <c r="BT27" i="4"/>
  <c r="BT57" i="4"/>
  <c r="U34" i="4"/>
  <c r="U162" i="4"/>
  <c r="BU53" i="4"/>
  <c r="BU103" i="4"/>
  <c r="BU94" i="4"/>
  <c r="U71" i="4"/>
  <c r="N28" i="4"/>
  <c r="N35" i="4" s="1"/>
  <c r="N42" i="4" s="1"/>
  <c r="T34" i="4"/>
  <c r="T162" i="4"/>
  <c r="W32" i="4"/>
  <c r="S34" i="4"/>
  <c r="S162" i="4"/>
  <c r="S57" i="4"/>
  <c r="S59" i="4" s="1"/>
  <c r="BT34" i="4"/>
  <c r="T115" i="4"/>
  <c r="BS27" i="4"/>
  <c r="BS28" i="4" s="1"/>
  <c r="S114" i="4"/>
  <c r="O28" i="4"/>
  <c r="O35" i="4" s="1"/>
  <c r="O42" i="4" s="1"/>
  <c r="BM97" i="4"/>
  <c r="BM68" i="4"/>
  <c r="BM28" i="4"/>
  <c r="B78" i="5"/>
  <c r="V53" i="4"/>
  <c r="R53" i="4"/>
  <c r="V27" i="4"/>
  <c r="V161" i="4"/>
  <c r="V57" i="4"/>
  <c r="S53" i="4"/>
  <c r="U63" i="4"/>
  <c r="U164" i="4" s="1"/>
  <c r="U179" i="4" s="1"/>
  <c r="U53" i="4"/>
  <c r="T63" i="4"/>
  <c r="T164" i="4" s="1"/>
  <c r="T179" i="4" s="1"/>
  <c r="T53" i="4"/>
  <c r="S63" i="4"/>
  <c r="S164" i="4" s="1"/>
  <c r="S179" i="4" s="1"/>
  <c r="V72" i="4"/>
  <c r="BV95" i="4"/>
  <c r="BV104" i="4"/>
  <c r="CU133" i="4"/>
  <c r="BY40" i="4"/>
  <c r="BV103" i="4"/>
  <c r="BV53" i="4"/>
  <c r="BV94" i="4"/>
  <c r="V71" i="4"/>
  <c r="BW40" i="4"/>
  <c r="BX40" i="4"/>
  <c r="V163" i="4"/>
  <c r="X163" i="4"/>
  <c r="O65" i="4" l="1"/>
  <c r="N65" i="4"/>
  <c r="X19" i="4"/>
  <c r="U115" i="4"/>
  <c r="BU34" i="4"/>
  <c r="U161" i="4"/>
  <c r="U57" i="4"/>
  <c r="U59" i="4" s="1"/>
  <c r="U64" i="4" s="1"/>
  <c r="U27" i="4"/>
  <c r="P144" i="7"/>
  <c r="P144" i="8"/>
  <c r="S160" i="4"/>
  <c r="S64" i="4"/>
  <c r="BJ68" i="4"/>
  <c r="BJ97" i="4"/>
  <c r="BJ28" i="4"/>
  <c r="BJ35" i="4" s="1"/>
  <c r="BJ42" i="4" s="1"/>
  <c r="T72" i="4"/>
  <c r="BT95" i="4"/>
  <c r="CS133" i="4"/>
  <c r="BT104" i="4"/>
  <c r="U113" i="4"/>
  <c r="U73" i="4"/>
  <c r="P190" i="7"/>
  <c r="P190" i="8"/>
  <c r="BS34" i="4"/>
  <c r="S115" i="4"/>
  <c r="X32" i="4"/>
  <c r="CV133" i="4"/>
  <c r="W72" i="4"/>
  <c r="Q144" i="7"/>
  <c r="Q144" i="8"/>
  <c r="Y32" i="4"/>
  <c r="B97" i="9" s="1"/>
  <c r="G97" i="9" s="1"/>
  <c r="BN97" i="4"/>
  <c r="C78" i="5"/>
  <c r="BN68" i="4"/>
  <c r="BN28" i="4"/>
  <c r="V113" i="4"/>
  <c r="V73" i="4"/>
  <c r="O383" i="8"/>
  <c r="O383" i="7"/>
  <c r="X40" i="4"/>
  <c r="Q190" i="7"/>
  <c r="Q190" i="8"/>
  <c r="T160" i="4"/>
  <c r="R64" i="4"/>
  <c r="R160" i="4"/>
  <c r="BK97" i="4"/>
  <c r="BK68" i="4"/>
  <c r="BK28" i="4"/>
  <c r="BK35" i="4" s="1"/>
  <c r="BK42" i="4" s="1"/>
  <c r="T161" i="4"/>
  <c r="T27" i="4"/>
  <c r="T57" i="4"/>
  <c r="T59" i="4" s="1"/>
  <c r="T64" i="4" s="1"/>
  <c r="BH68" i="4"/>
  <c r="BH28" i="4"/>
  <c r="BH35" i="4" s="1"/>
  <c r="BH42" i="4" s="1"/>
  <c r="BH97" i="4"/>
  <c r="BS104" i="4"/>
  <c r="BS95" i="4"/>
  <c r="BS53" i="4"/>
  <c r="BY101" i="4"/>
  <c r="B112" i="9"/>
  <c r="G112" i="9" s="1"/>
  <c r="DI29" i="4"/>
  <c r="Q202" i="8"/>
  <c r="Q205" i="8" s="1"/>
  <c r="Q109" i="8" s="1"/>
  <c r="Q202" i="7"/>
  <c r="Q205" i="7" s="1"/>
  <c r="Q109" i="7" s="1"/>
  <c r="BM35" i="4"/>
  <c r="BM42" i="4" s="1"/>
  <c r="CB84" i="5"/>
  <c r="BT59" i="4"/>
  <c r="Q160" i="8"/>
  <c r="Q163" i="8" s="1"/>
  <c r="Q105" i="8" s="1"/>
  <c r="Q160" i="7"/>
  <c r="Q163" i="7" s="1"/>
  <c r="Q105" i="7" s="1"/>
  <c r="X16" i="4"/>
  <c r="V160" i="4"/>
  <c r="H335" i="8"/>
  <c r="H335" i="7"/>
  <c r="U160" i="4"/>
  <c r="T116" i="4"/>
  <c r="BT99" i="4"/>
  <c r="T79" i="4"/>
  <c r="BU63" i="4"/>
  <c r="BL97" i="4"/>
  <c r="BL68" i="4"/>
  <c r="BL28" i="4"/>
  <c r="BL35" i="4" s="1"/>
  <c r="BL42" i="4" s="1"/>
  <c r="BI68" i="4"/>
  <c r="BI97" i="4"/>
  <c r="BI28" i="4"/>
  <c r="BI35" i="4" s="1"/>
  <c r="BI42" i="4" s="1"/>
  <c r="P202" i="8"/>
  <c r="P205" i="8" s="1"/>
  <c r="P109" i="8" s="1"/>
  <c r="P202" i="7"/>
  <c r="P205" i="7" s="1"/>
  <c r="P109" i="7" s="1"/>
  <c r="BT53" i="4"/>
  <c r="BT103" i="4"/>
  <c r="BT94" i="4"/>
  <c r="T71" i="4"/>
  <c r="P160" i="8"/>
  <c r="P163" i="8" s="1"/>
  <c r="P105" i="8" s="1"/>
  <c r="P160" i="7"/>
  <c r="P163" i="7" s="1"/>
  <c r="P105" i="7" s="1"/>
  <c r="V59" i="4"/>
  <c r="V64" i="4" s="1"/>
  <c r="W163" i="4"/>
  <c r="W59" i="4"/>
  <c r="BX101" i="4"/>
  <c r="DH29" i="4"/>
  <c r="BS57" i="4"/>
  <c r="BV63" i="4"/>
  <c r="X20" i="4" l="1"/>
  <c r="X24" i="4" s="1"/>
  <c r="CH84" i="5"/>
  <c r="BS35" i="4"/>
  <c r="BS42" i="4" s="1"/>
  <c r="Y16" i="4"/>
  <c r="P188" i="7"/>
  <c r="P196" i="7" s="1"/>
  <c r="P188" i="8"/>
  <c r="P196" i="8" s="1"/>
  <c r="H333" i="7"/>
  <c r="H333" i="8"/>
  <c r="I335" i="7"/>
  <c r="I335" i="8"/>
  <c r="K141" i="4"/>
  <c r="K139" i="4"/>
  <c r="BK65" i="4"/>
  <c r="BK92" i="4"/>
  <c r="BL92" i="4"/>
  <c r="L141" i="4"/>
  <c r="L139" i="4"/>
  <c r="BL65" i="4"/>
  <c r="H362" i="8"/>
  <c r="H364" i="8" s="1"/>
  <c r="H359" i="8"/>
  <c r="H304" i="8" s="1"/>
  <c r="S165" i="4"/>
  <c r="S457" i="7"/>
  <c r="S457" i="8"/>
  <c r="F335" i="8"/>
  <c r="F335" i="7"/>
  <c r="P117" i="7"/>
  <c r="G335" i="8"/>
  <c r="G335" i="7"/>
  <c r="G125" i="9"/>
  <c r="B125" i="9"/>
  <c r="P117" i="8"/>
  <c r="P158" i="8"/>
  <c r="P158" i="7"/>
  <c r="Q148" i="8"/>
  <c r="Q148" i="7"/>
  <c r="BU27" i="4"/>
  <c r="BU57" i="4"/>
  <c r="U114" i="4"/>
  <c r="Q143" i="7"/>
  <c r="Q155" i="7" s="1"/>
  <c r="Q166" i="7" s="1"/>
  <c r="Q143" i="8"/>
  <c r="Q155" i="8" s="1"/>
  <c r="Q166" i="8" s="1"/>
  <c r="Y19" i="4"/>
  <c r="U117" i="4"/>
  <c r="BU101" i="4"/>
  <c r="U76" i="4"/>
  <c r="U75" i="4" s="1"/>
  <c r="O124" i="4"/>
  <c r="O169" i="4"/>
  <c r="O127" i="4"/>
  <c r="O131" i="4" s="1"/>
  <c r="P142" i="7"/>
  <c r="P154" i="7" s="1"/>
  <c r="P142" i="8"/>
  <c r="P154" i="8" s="1"/>
  <c r="V165" i="4"/>
  <c r="R165" i="4"/>
  <c r="O160" i="7"/>
  <c r="O163" i="7" s="1"/>
  <c r="O105" i="7" s="1"/>
  <c r="O160" i="8"/>
  <c r="O163" i="8" s="1"/>
  <c r="O105" i="8" s="1"/>
  <c r="Q117" i="7"/>
  <c r="T457" i="7"/>
  <c r="T457" i="8"/>
  <c r="P143" i="8"/>
  <c r="P155" i="8" s="1"/>
  <c r="P166" i="8" s="1"/>
  <c r="P143" i="7"/>
  <c r="P155" i="7" s="1"/>
  <c r="P166" i="7" s="1"/>
  <c r="Q158" i="8"/>
  <c r="Q158" i="7"/>
  <c r="P148" i="8"/>
  <c r="P148" i="7"/>
  <c r="O374" i="8"/>
  <c r="O374" i="7"/>
  <c r="S113" i="4"/>
  <c r="S73" i="4"/>
  <c r="T165" i="4"/>
  <c r="O202" i="8"/>
  <c r="O205" i="8" s="1"/>
  <c r="O109" i="8" s="1"/>
  <c r="O202" i="7"/>
  <c r="O205" i="7" s="1"/>
  <c r="O109" i="7" s="1"/>
  <c r="O144" i="7"/>
  <c r="O144" i="8"/>
  <c r="Q117" i="8"/>
  <c r="Q189" i="8"/>
  <c r="Q189" i="7"/>
  <c r="N382" i="8"/>
  <c r="N382" i="7"/>
  <c r="O190" i="8"/>
  <c r="O190" i="7"/>
  <c r="N160" i="8"/>
  <c r="N163" i="8" s="1"/>
  <c r="N105" i="8" s="1"/>
  <c r="N160" i="7"/>
  <c r="N163" i="7" s="1"/>
  <c r="N105" i="7" s="1"/>
  <c r="O384" i="7"/>
  <c r="O384" i="8"/>
  <c r="T113" i="4"/>
  <c r="BT64" i="4"/>
  <c r="T73" i="4"/>
  <c r="N202" i="7"/>
  <c r="N205" i="7" s="1"/>
  <c r="N109" i="7" s="1"/>
  <c r="N202" i="8"/>
  <c r="N205" i="8" s="1"/>
  <c r="N109" i="8" s="1"/>
  <c r="BM92" i="4"/>
  <c r="M139" i="4"/>
  <c r="BM65" i="4"/>
  <c r="M141" i="4"/>
  <c r="N383" i="7"/>
  <c r="N383" i="8"/>
  <c r="Q200" i="7"/>
  <c r="Q200" i="8"/>
  <c r="P213" i="7"/>
  <c r="P213" i="8"/>
  <c r="P200" i="8"/>
  <c r="P200" i="7"/>
  <c r="Q213" i="8"/>
  <c r="Q213" i="7"/>
  <c r="C335" i="7"/>
  <c r="C335" i="8"/>
  <c r="BH92" i="4"/>
  <c r="H139" i="4"/>
  <c r="H141" i="4"/>
  <c r="J139" i="4"/>
  <c r="BJ92" i="4"/>
  <c r="J141" i="4"/>
  <c r="V117" i="4"/>
  <c r="BV101" i="4"/>
  <c r="E335" i="8"/>
  <c r="E335" i="7"/>
  <c r="P383" i="7"/>
  <c r="P383" i="8"/>
  <c r="BI92" i="4"/>
  <c r="I141" i="4"/>
  <c r="I139" i="4"/>
  <c r="U165" i="4"/>
  <c r="P189" i="7"/>
  <c r="P189" i="8"/>
  <c r="D335" i="8"/>
  <c r="D335" i="7"/>
  <c r="Y40" i="4"/>
  <c r="O382" i="7"/>
  <c r="O382" i="8"/>
  <c r="V76" i="4"/>
  <c r="V75" i="4" s="1"/>
  <c r="BS59" i="4"/>
  <c r="H362" i="7"/>
  <c r="H364" i="7" s="1"/>
  <c r="H359" i="7"/>
  <c r="H304" i="7" s="1"/>
  <c r="CC84" i="5"/>
  <c r="BN35" i="4"/>
  <c r="BN42" i="4" s="1"/>
  <c r="BW63" i="4"/>
  <c r="B98" i="9" l="1"/>
  <c r="Y20" i="4"/>
  <c r="O385" i="7"/>
  <c r="O306" i="7" s="1"/>
  <c r="O22" i="7" s="1"/>
  <c r="U118" i="4"/>
  <c r="N158" i="7"/>
  <c r="N165" i="7" s="1"/>
  <c r="N167" i="7" s="1"/>
  <c r="N158" i="8"/>
  <c r="N165" i="8" s="1"/>
  <c r="N167" i="8" s="1"/>
  <c r="F333" i="7"/>
  <c r="F333" i="8"/>
  <c r="C333" i="7"/>
  <c r="C333" i="8"/>
  <c r="N117" i="8"/>
  <c r="N118" i="8" s="1"/>
  <c r="N106" i="8"/>
  <c r="N14" i="8" s="1"/>
  <c r="O117" i="7"/>
  <c r="C362" i="8"/>
  <c r="C364" i="8" s="1"/>
  <c r="C359" i="8"/>
  <c r="C304" i="8" s="1"/>
  <c r="F362" i="7"/>
  <c r="F364" i="7" s="1"/>
  <c r="F359" i="7"/>
  <c r="F304" i="7" s="1"/>
  <c r="D333" i="7"/>
  <c r="D333" i="8"/>
  <c r="C359" i="7"/>
  <c r="C304" i="7" s="1"/>
  <c r="C362" i="7"/>
  <c r="C364" i="7" s="1"/>
  <c r="O189" i="8"/>
  <c r="O189" i="7"/>
  <c r="BS64" i="4"/>
  <c r="BS65" i="4" s="1"/>
  <c r="O141" i="4"/>
  <c r="O142" i="4"/>
  <c r="F362" i="8"/>
  <c r="F364" i="8" s="1"/>
  <c r="F359" i="8"/>
  <c r="F304" i="8" s="1"/>
  <c r="Q212" i="8"/>
  <c r="Q212" i="7"/>
  <c r="S76" i="4"/>
  <c r="S75" i="4" s="1"/>
  <c r="S118" i="4"/>
  <c r="O176" i="4"/>
  <c r="O180" i="4" s="1"/>
  <c r="O172" i="4"/>
  <c r="D362" i="7"/>
  <c r="D364" i="7" s="1"/>
  <c r="D359" i="7"/>
  <c r="D304" i="7" s="1"/>
  <c r="J407" i="8"/>
  <c r="J407" i="7"/>
  <c r="D362" i="8"/>
  <c r="D364" i="8" s="1"/>
  <c r="D359" i="8"/>
  <c r="D304" i="8" s="1"/>
  <c r="Q457" i="8"/>
  <c r="Q457" i="7"/>
  <c r="BO92" i="4"/>
  <c r="O139" i="4"/>
  <c r="P259" i="8"/>
  <c r="P267" i="8" s="1"/>
  <c r="P278" i="8" s="1"/>
  <c r="P197" i="8"/>
  <c r="P208" i="8" s="1"/>
  <c r="V130" i="4"/>
  <c r="Q219" i="8"/>
  <c r="Q219" i="7"/>
  <c r="H89" i="8"/>
  <c r="H89" i="7"/>
  <c r="S17" i="8"/>
  <c r="S480" i="8"/>
  <c r="N385" i="7"/>
  <c r="N306" i="7" s="1"/>
  <c r="O373" i="7"/>
  <c r="O352" i="7" s="1"/>
  <c r="O356" i="7" s="1"/>
  <c r="O373" i="8"/>
  <c r="O352" i="8" s="1"/>
  <c r="O356" i="8" s="1"/>
  <c r="E89" i="8"/>
  <c r="E89" i="7"/>
  <c r="N389" i="7"/>
  <c r="N389" i="8"/>
  <c r="S17" i="7"/>
  <c r="S480" i="7"/>
  <c r="I362" i="8"/>
  <c r="I364" i="8" s="1"/>
  <c r="I359" i="8"/>
  <c r="I304" i="8" s="1"/>
  <c r="P259" i="7"/>
  <c r="P267" i="7" s="1"/>
  <c r="P278" i="7" s="1"/>
  <c r="P197" i="7"/>
  <c r="P208" i="7" s="1"/>
  <c r="N388" i="8"/>
  <c r="N388" i="7"/>
  <c r="N390" i="8"/>
  <c r="N390" i="7"/>
  <c r="I362" i="7"/>
  <c r="I364" i="7" s="1"/>
  <c r="I359" i="7"/>
  <c r="I304" i="7" s="1"/>
  <c r="N385" i="8"/>
  <c r="N306" i="8" s="1"/>
  <c r="Q197" i="7"/>
  <c r="Q208" i="7" s="1"/>
  <c r="Q259" i="7"/>
  <c r="Q267" i="7" s="1"/>
  <c r="Q278" i="7" s="1"/>
  <c r="P457" i="8"/>
  <c r="P457" i="7"/>
  <c r="H15" i="8"/>
  <c r="H314" i="8"/>
  <c r="H310" i="8"/>
  <c r="I333" i="8"/>
  <c r="I333" i="7"/>
  <c r="Q259" i="8"/>
  <c r="Q267" i="8" s="1"/>
  <c r="Q278" i="8" s="1"/>
  <c r="Q197" i="8"/>
  <c r="Q208" i="8" s="1"/>
  <c r="U130" i="4"/>
  <c r="P147" i="7"/>
  <c r="P147" i="8"/>
  <c r="D89" i="8"/>
  <c r="D89" i="7"/>
  <c r="P219" i="7"/>
  <c r="P219" i="8"/>
  <c r="P212" i="8"/>
  <c r="P212" i="7"/>
  <c r="N110" i="8"/>
  <c r="N21" i="8" s="1"/>
  <c r="Q188" i="8"/>
  <c r="Q196" i="8" s="1"/>
  <c r="Q188" i="7"/>
  <c r="Q196" i="7" s="1"/>
  <c r="N110" i="7"/>
  <c r="N21" i="7" s="1"/>
  <c r="N213" i="8"/>
  <c r="N213" i="7"/>
  <c r="Q142" i="8"/>
  <c r="Q154" i="8" s="1"/>
  <c r="Q142" i="7"/>
  <c r="Q154" i="7" s="1"/>
  <c r="O388" i="8"/>
  <c r="O388" i="7"/>
  <c r="N200" i="7"/>
  <c r="N207" i="7" s="1"/>
  <c r="N209" i="7" s="1"/>
  <c r="N200" i="8"/>
  <c r="N207" i="8" s="1"/>
  <c r="N209" i="8" s="1"/>
  <c r="O142" i="8"/>
  <c r="O154" i="8" s="1"/>
  <c r="O142" i="7"/>
  <c r="O154" i="7" s="1"/>
  <c r="G89" i="8"/>
  <c r="G89" i="7"/>
  <c r="O385" i="8"/>
  <c r="O306" i="8" s="1"/>
  <c r="C89" i="8"/>
  <c r="C89" i="7"/>
  <c r="P207" i="8"/>
  <c r="O390" i="7"/>
  <c r="O390" i="8"/>
  <c r="P207" i="7"/>
  <c r="W117" i="4"/>
  <c r="BW101" i="4"/>
  <c r="O389" i="7"/>
  <c r="O389" i="8"/>
  <c r="E333" i="7"/>
  <c r="E333" i="8"/>
  <c r="O148" i="7"/>
  <c r="O148" i="8"/>
  <c r="E362" i="7"/>
  <c r="E364" i="7" s="1"/>
  <c r="E359" i="7"/>
  <c r="E304" i="7" s="1"/>
  <c r="T118" i="4"/>
  <c r="T76" i="4"/>
  <c r="T75" i="4" s="1"/>
  <c r="O143" i="8"/>
  <c r="O155" i="8" s="1"/>
  <c r="O166" i="8" s="1"/>
  <c r="O143" i="7"/>
  <c r="O155" i="7" s="1"/>
  <c r="O166" i="7" s="1"/>
  <c r="E362" i="8"/>
  <c r="E364" i="8" s="1"/>
  <c r="E359" i="8"/>
  <c r="E304" i="8" s="1"/>
  <c r="G333" i="8"/>
  <c r="G333" i="7"/>
  <c r="N139" i="4"/>
  <c r="BN65" i="4"/>
  <c r="BN92" i="4"/>
  <c r="N141" i="4"/>
  <c r="T480" i="8"/>
  <c r="T17" i="8"/>
  <c r="P165" i="8"/>
  <c r="P167" i="8" s="1"/>
  <c r="P156" i="8"/>
  <c r="P104" i="8" s="1"/>
  <c r="BU59" i="4"/>
  <c r="T17" i="7"/>
  <c r="T480" i="7"/>
  <c r="P156" i="7"/>
  <c r="P104" i="7" s="1"/>
  <c r="P165" i="7"/>
  <c r="P167" i="7" s="1"/>
  <c r="G359" i="7"/>
  <c r="G304" i="7" s="1"/>
  <c r="G362" i="7"/>
  <c r="G364" i="7" s="1"/>
  <c r="Q147" i="7"/>
  <c r="Q147" i="8"/>
  <c r="G362" i="8"/>
  <c r="G364" i="8" s="1"/>
  <c r="G359" i="8"/>
  <c r="G304" i="8" s="1"/>
  <c r="P169" i="4"/>
  <c r="P124" i="4"/>
  <c r="P127" i="4"/>
  <c r="P131" i="4" s="1"/>
  <c r="H15" i="7"/>
  <c r="H314" i="7"/>
  <c r="H310" i="7"/>
  <c r="O200" i="7"/>
  <c r="O200" i="8"/>
  <c r="O158" i="8"/>
  <c r="O158" i="7"/>
  <c r="N117" i="7"/>
  <c r="N118" i="7" s="1"/>
  <c r="N106" i="7"/>
  <c r="N14" i="7" s="1"/>
  <c r="O213" i="7"/>
  <c r="O213" i="8"/>
  <c r="O117" i="8"/>
  <c r="F89" i="7"/>
  <c r="F89" i="8"/>
  <c r="G98" i="9" l="1"/>
  <c r="G126" i="9" s="1"/>
  <c r="B126" i="9"/>
  <c r="N217" i="8"/>
  <c r="P209" i="8"/>
  <c r="P198" i="8"/>
  <c r="P108" i="8" s="1"/>
  <c r="P116" i="8" s="1"/>
  <c r="P118" i="8" s="1"/>
  <c r="BW103" i="4"/>
  <c r="W71" i="4"/>
  <c r="BW94" i="4"/>
  <c r="O165" i="7"/>
  <c r="O167" i="7" s="1"/>
  <c r="O156" i="7"/>
  <c r="O104" i="7" s="1"/>
  <c r="Q17" i="8"/>
  <c r="Q211" i="8"/>
  <c r="Q211" i="7"/>
  <c r="O165" i="8"/>
  <c r="O167" i="8" s="1"/>
  <c r="O156" i="8"/>
  <c r="O104" i="8" s="1"/>
  <c r="H50" i="8"/>
  <c r="H51" i="8" s="1"/>
  <c r="H53" i="8" s="1"/>
  <c r="H55" i="8" s="1"/>
  <c r="H36" i="8"/>
  <c r="H37" i="8" s="1"/>
  <c r="H39" i="8" s="1"/>
  <c r="H16" i="8"/>
  <c r="H18" i="8" s="1"/>
  <c r="D314" i="8"/>
  <c r="D310" i="8"/>
  <c r="D15" i="8"/>
  <c r="H50" i="7"/>
  <c r="H51" i="7" s="1"/>
  <c r="H53" i="7" s="1"/>
  <c r="H55" i="7" s="1"/>
  <c r="H36" i="7"/>
  <c r="H37" i="7" s="1"/>
  <c r="H39" i="7" s="1"/>
  <c r="H16" i="7"/>
  <c r="H18" i="7" s="1"/>
  <c r="P142" i="4"/>
  <c r="P141" i="4"/>
  <c r="P139" i="4"/>
  <c r="BP92" i="4"/>
  <c r="P17" i="7"/>
  <c r="P176" i="4"/>
  <c r="P180" i="4" s="1"/>
  <c r="P172" i="4"/>
  <c r="BU64" i="4"/>
  <c r="E310" i="7"/>
  <c r="E314" i="7"/>
  <c r="E15" i="7"/>
  <c r="N310" i="7"/>
  <c r="N22" i="7"/>
  <c r="N23" i="7" s="1"/>
  <c r="N25" i="7" s="1"/>
  <c r="K407" i="8"/>
  <c r="K407" i="7"/>
  <c r="P106" i="8"/>
  <c r="P14" i="8" s="1"/>
  <c r="Q207" i="7"/>
  <c r="Q209" i="7" s="1"/>
  <c r="Q198" i="7"/>
  <c r="Q108" i="7" s="1"/>
  <c r="P17" i="8"/>
  <c r="F314" i="8"/>
  <c r="F310" i="8"/>
  <c r="F15" i="8"/>
  <c r="G15" i="8"/>
  <c r="G310" i="8"/>
  <c r="G314" i="8"/>
  <c r="T38" i="8"/>
  <c r="T52" i="8"/>
  <c r="Q207" i="8"/>
  <c r="Q209" i="8" s="1"/>
  <c r="Q198" i="8"/>
  <c r="Q108" i="8" s="1"/>
  <c r="S52" i="8"/>
  <c r="S38" i="8"/>
  <c r="J427" i="7"/>
  <c r="J430" i="7" s="1"/>
  <c r="J410" i="7"/>
  <c r="J308" i="7" s="1"/>
  <c r="O391" i="7"/>
  <c r="N391" i="7"/>
  <c r="J413" i="7"/>
  <c r="J413" i="8"/>
  <c r="C310" i="8"/>
  <c r="C314" i="8"/>
  <c r="C15" i="8"/>
  <c r="O391" i="8"/>
  <c r="J414" i="8"/>
  <c r="J434" i="8" s="1"/>
  <c r="J414" i="7"/>
  <c r="J434" i="7" s="1"/>
  <c r="N391" i="8"/>
  <c r="J415" i="7"/>
  <c r="J435" i="7" s="1"/>
  <c r="J415" i="8"/>
  <c r="J435" i="8" s="1"/>
  <c r="J427" i="8"/>
  <c r="J430" i="8" s="1"/>
  <c r="J410" i="8"/>
  <c r="J308" i="8" s="1"/>
  <c r="I89" i="8"/>
  <c r="I89" i="7"/>
  <c r="P211" i="7"/>
  <c r="P211" i="8"/>
  <c r="Q470" i="8"/>
  <c r="Q24" i="8" s="1"/>
  <c r="Q45" i="8" s="1"/>
  <c r="Q470" i="7"/>
  <c r="Q24" i="7" s="1"/>
  <c r="Q45" i="7" s="1"/>
  <c r="D314" i="7"/>
  <c r="D310" i="7"/>
  <c r="D15" i="7"/>
  <c r="P470" i="8"/>
  <c r="P24" i="8" s="1"/>
  <c r="P45" i="8" s="1"/>
  <c r="P470" i="7"/>
  <c r="P24" i="7" s="1"/>
  <c r="P45" i="7" s="1"/>
  <c r="O219" i="7"/>
  <c r="O219" i="8"/>
  <c r="Q156" i="7"/>
  <c r="Q104" i="7" s="1"/>
  <c r="Q165" i="7"/>
  <c r="Q167" i="7" s="1"/>
  <c r="N172" i="8"/>
  <c r="N172" i="7"/>
  <c r="O212" i="8"/>
  <c r="O212" i="7"/>
  <c r="Q165" i="8"/>
  <c r="Q167" i="8" s="1"/>
  <c r="Q156" i="8"/>
  <c r="Q104" i="8" s="1"/>
  <c r="G15" i="7"/>
  <c r="G310" i="7"/>
  <c r="G314" i="7"/>
  <c r="I15" i="8"/>
  <c r="I310" i="8"/>
  <c r="I314" i="8"/>
  <c r="O197" i="7"/>
  <c r="O208" i="7" s="1"/>
  <c r="O259" i="7"/>
  <c r="O267" i="7" s="1"/>
  <c r="O278" i="7" s="1"/>
  <c r="N211" i="7"/>
  <c r="N211" i="8"/>
  <c r="O259" i="8"/>
  <c r="O267" i="8" s="1"/>
  <c r="O278" i="8" s="1"/>
  <c r="O197" i="8"/>
  <c r="O208" i="8" s="1"/>
  <c r="O147" i="8"/>
  <c r="O147" i="7"/>
  <c r="N212" i="7"/>
  <c r="N212" i="8"/>
  <c r="N16" i="7"/>
  <c r="N18" i="7" s="1"/>
  <c r="N35" i="7"/>
  <c r="P382" i="7"/>
  <c r="P382" i="8"/>
  <c r="N310" i="8"/>
  <c r="N22" i="8"/>
  <c r="S38" i="7"/>
  <c r="S52" i="7"/>
  <c r="O188" i="8"/>
  <c r="O196" i="8" s="1"/>
  <c r="O188" i="7"/>
  <c r="O196" i="7" s="1"/>
  <c r="N219" i="7"/>
  <c r="N219" i="8"/>
  <c r="N16" i="8"/>
  <c r="N18" i="8" s="1"/>
  <c r="N35" i="8"/>
  <c r="P106" i="7"/>
  <c r="P14" i="7" s="1"/>
  <c r="P172" i="7"/>
  <c r="P172" i="8"/>
  <c r="J89" i="8"/>
  <c r="J89" i="7"/>
  <c r="C15" i="7"/>
  <c r="C310" i="7"/>
  <c r="C314" i="7"/>
  <c r="E310" i="8"/>
  <c r="E314" i="8"/>
  <c r="E15" i="8"/>
  <c r="T38" i="7"/>
  <c r="T52" i="7"/>
  <c r="I15" i="7"/>
  <c r="I314" i="7"/>
  <c r="I310" i="7"/>
  <c r="R457" i="7"/>
  <c r="R457" i="8"/>
  <c r="O22" i="8"/>
  <c r="F310" i="7"/>
  <c r="F15" i="7"/>
  <c r="F314" i="7"/>
  <c r="W130" i="4"/>
  <c r="DG29" i="4"/>
  <c r="P209" i="7"/>
  <c r="Q17" i="7"/>
  <c r="P198" i="7"/>
  <c r="P108" i="7" s="1"/>
  <c r="Q169" i="4"/>
  <c r="Q127" i="4"/>
  <c r="N217" i="7" l="1"/>
  <c r="P217" i="7"/>
  <c r="N216" i="8"/>
  <c r="P217" i="8"/>
  <c r="P110" i="8"/>
  <c r="P21" i="8" s="1"/>
  <c r="P35" i="8" s="1"/>
  <c r="Q480" i="7"/>
  <c r="J433" i="7"/>
  <c r="J436" i="7" s="1"/>
  <c r="J416" i="7"/>
  <c r="K427" i="8"/>
  <c r="K430" i="8" s="1"/>
  <c r="K410" i="8"/>
  <c r="K308" i="8" s="1"/>
  <c r="E50" i="8"/>
  <c r="E51" i="8" s="1"/>
  <c r="E53" i="8" s="1"/>
  <c r="E55" i="8" s="1"/>
  <c r="E36" i="8"/>
  <c r="E37" i="8" s="1"/>
  <c r="E39" i="8" s="1"/>
  <c r="E16" i="8"/>
  <c r="E18" i="8" s="1"/>
  <c r="K415" i="8"/>
  <c r="K435" i="8" s="1"/>
  <c r="K415" i="7"/>
  <c r="K435" i="7" s="1"/>
  <c r="R17" i="8"/>
  <c r="O106" i="8"/>
  <c r="O14" i="8" s="1"/>
  <c r="R17" i="7"/>
  <c r="O198" i="7"/>
  <c r="O108" i="7" s="1"/>
  <c r="O207" i="7"/>
  <c r="O209" i="7" s="1"/>
  <c r="P110" i="7"/>
  <c r="P21" i="7" s="1"/>
  <c r="P35" i="7" s="1"/>
  <c r="O207" i="8"/>
  <c r="O209" i="8" s="1"/>
  <c r="O198" i="8"/>
  <c r="O108" i="8" s="1"/>
  <c r="O116" i="8" s="1"/>
  <c r="O118" i="8" s="1"/>
  <c r="O172" i="8"/>
  <c r="O172" i="7"/>
  <c r="C50" i="7"/>
  <c r="C51" i="7" s="1"/>
  <c r="C53" i="7" s="1"/>
  <c r="C55" i="7" s="1"/>
  <c r="C36" i="7"/>
  <c r="C37" i="7" s="1"/>
  <c r="C39" i="7" s="1"/>
  <c r="C16" i="7"/>
  <c r="C18" i="7" s="1"/>
  <c r="Q106" i="8"/>
  <c r="Q14" i="8" s="1"/>
  <c r="Q116" i="8"/>
  <c r="Q118" i="8" s="1"/>
  <c r="K89" i="8"/>
  <c r="K89" i="7"/>
  <c r="N36" i="7"/>
  <c r="N37" i="7" s="1"/>
  <c r="N39" i="7" s="1"/>
  <c r="N36" i="8"/>
  <c r="N37" i="8" s="1"/>
  <c r="N39" i="8" s="1"/>
  <c r="Q480" i="8"/>
  <c r="P171" i="8"/>
  <c r="P171" i="7"/>
  <c r="Q38" i="8"/>
  <c r="Q52" i="8"/>
  <c r="Q38" i="7"/>
  <c r="Q52" i="7"/>
  <c r="J29" i="8"/>
  <c r="J312" i="8"/>
  <c r="J314" i="8"/>
  <c r="R470" i="7"/>
  <c r="R24" i="7" s="1"/>
  <c r="R45" i="7" s="1"/>
  <c r="R470" i="8"/>
  <c r="R24" i="8" s="1"/>
  <c r="R45" i="8" s="1"/>
  <c r="P385" i="8"/>
  <c r="P306" i="8" s="1"/>
  <c r="N23" i="8"/>
  <c r="N25" i="8" s="1"/>
  <c r="J29" i="7"/>
  <c r="J312" i="7"/>
  <c r="J314" i="7"/>
  <c r="G36" i="8"/>
  <c r="G37" i="8" s="1"/>
  <c r="G39" i="8" s="1"/>
  <c r="G50" i="8"/>
  <c r="G51" i="8" s="1"/>
  <c r="G53" i="8" s="1"/>
  <c r="G55" i="8" s="1"/>
  <c r="G16" i="8"/>
  <c r="G18" i="8" s="1"/>
  <c r="E36" i="7"/>
  <c r="E37" i="7" s="1"/>
  <c r="E39" i="7" s="1"/>
  <c r="E50" i="7"/>
  <c r="E51" i="7" s="1"/>
  <c r="E53" i="7" s="1"/>
  <c r="E55" i="7" s="1"/>
  <c r="E16" i="7"/>
  <c r="E18" i="7" s="1"/>
  <c r="P388" i="7"/>
  <c r="P388" i="8"/>
  <c r="F36" i="8"/>
  <c r="F37" i="8" s="1"/>
  <c r="F39" i="8" s="1"/>
  <c r="F50" i="8"/>
  <c r="F51" i="8" s="1"/>
  <c r="F53" i="8" s="1"/>
  <c r="F55" i="8" s="1"/>
  <c r="F16" i="8"/>
  <c r="F18" i="8" s="1"/>
  <c r="P116" i="7"/>
  <c r="P118" i="7" s="1"/>
  <c r="D16" i="7"/>
  <c r="D18" i="7" s="1"/>
  <c r="D50" i="7"/>
  <c r="D51" i="7" s="1"/>
  <c r="D53" i="7" s="1"/>
  <c r="D55" i="7" s="1"/>
  <c r="D36" i="7"/>
  <c r="D37" i="7" s="1"/>
  <c r="D39" i="7" s="1"/>
  <c r="I50" i="7"/>
  <c r="I51" i="7" s="1"/>
  <c r="I53" i="7" s="1"/>
  <c r="I55" i="7" s="1"/>
  <c r="I36" i="7"/>
  <c r="I37" i="7" s="1"/>
  <c r="I39" i="7" s="1"/>
  <c r="I16" i="7"/>
  <c r="I18" i="7" s="1"/>
  <c r="P390" i="8"/>
  <c r="P390" i="7"/>
  <c r="O211" i="7"/>
  <c r="O211" i="8"/>
  <c r="P389" i="7"/>
  <c r="P389" i="8"/>
  <c r="P216" i="7"/>
  <c r="P216" i="8"/>
  <c r="P480" i="8"/>
  <c r="O106" i="7"/>
  <c r="O14" i="7" s="1"/>
  <c r="P385" i="7"/>
  <c r="P306" i="7" s="1"/>
  <c r="Q110" i="8"/>
  <c r="Q21" i="8" s="1"/>
  <c r="P38" i="8"/>
  <c r="P52" i="8"/>
  <c r="F36" i="7"/>
  <c r="F37" i="7" s="1"/>
  <c r="F39" i="7" s="1"/>
  <c r="F50" i="7"/>
  <c r="F51" i="7" s="1"/>
  <c r="F53" i="7" s="1"/>
  <c r="F55" i="7" s="1"/>
  <c r="F16" i="7"/>
  <c r="F18" i="7" s="1"/>
  <c r="N171" i="8"/>
  <c r="N171" i="7"/>
  <c r="Q110" i="7"/>
  <c r="Q21" i="7" s="1"/>
  <c r="I36" i="8"/>
  <c r="I37" i="8" s="1"/>
  <c r="I39" i="8" s="1"/>
  <c r="I50" i="8"/>
  <c r="I51" i="8" s="1"/>
  <c r="I53" i="8" s="1"/>
  <c r="I55" i="8" s="1"/>
  <c r="I16" i="8"/>
  <c r="I18" i="8" s="1"/>
  <c r="Q106" i="7"/>
  <c r="Q14" i="7" s="1"/>
  <c r="Q116" i="7"/>
  <c r="Q118" i="7" s="1"/>
  <c r="Q172" i="7"/>
  <c r="Q172" i="8"/>
  <c r="D16" i="8"/>
  <c r="D18" i="8" s="1"/>
  <c r="D36" i="8"/>
  <c r="D37" i="8" s="1"/>
  <c r="D39" i="8" s="1"/>
  <c r="D50" i="8"/>
  <c r="D51" i="8" s="1"/>
  <c r="D53" i="8" s="1"/>
  <c r="D55" i="8" s="1"/>
  <c r="C36" i="8"/>
  <c r="C37" i="8" s="1"/>
  <c r="C39" i="8" s="1"/>
  <c r="C50" i="8"/>
  <c r="C51" i="8" s="1"/>
  <c r="C53" i="8" s="1"/>
  <c r="C55" i="8" s="1"/>
  <c r="C16" i="8"/>
  <c r="C18" i="8" s="1"/>
  <c r="R144" i="8"/>
  <c r="R144" i="7"/>
  <c r="Q176" i="4"/>
  <c r="K427" i="7"/>
  <c r="K430" i="7" s="1"/>
  <c r="K410" i="7"/>
  <c r="K308" i="7" s="1"/>
  <c r="R169" i="4"/>
  <c r="R176" i="4" s="1"/>
  <c r="R127" i="4"/>
  <c r="L407" i="7"/>
  <c r="L407" i="8"/>
  <c r="G36" i="7"/>
  <c r="G37" i="7" s="1"/>
  <c r="G39" i="7" s="1"/>
  <c r="G50" i="7"/>
  <c r="G51" i="7" s="1"/>
  <c r="G53" i="7" s="1"/>
  <c r="G55" i="7" s="1"/>
  <c r="G16" i="7"/>
  <c r="G18" i="7" s="1"/>
  <c r="K414" i="7"/>
  <c r="K434" i="7" s="1"/>
  <c r="K414" i="8"/>
  <c r="K434" i="8" s="1"/>
  <c r="J416" i="8"/>
  <c r="J433" i="8"/>
  <c r="J436" i="8" s="1"/>
  <c r="K413" i="7"/>
  <c r="K413" i="8"/>
  <c r="P480" i="7"/>
  <c r="R190" i="7"/>
  <c r="R190" i="8"/>
  <c r="P52" i="7"/>
  <c r="P38" i="7"/>
  <c r="N216" i="7" l="1"/>
  <c r="Q217" i="8"/>
  <c r="Q217" i="7"/>
  <c r="O217" i="7"/>
  <c r="R142" i="8"/>
  <c r="R154" i="8" s="1"/>
  <c r="R142" i="7"/>
  <c r="R154" i="7" s="1"/>
  <c r="R189" i="7"/>
  <c r="R189" i="8"/>
  <c r="L414" i="7"/>
  <c r="L434" i="7" s="1"/>
  <c r="L414" i="8"/>
  <c r="L434" i="8" s="1"/>
  <c r="P22" i="8"/>
  <c r="L413" i="7"/>
  <c r="L413" i="8"/>
  <c r="K416" i="8"/>
  <c r="K433" i="8"/>
  <c r="K436" i="8" s="1"/>
  <c r="L415" i="7"/>
  <c r="L435" i="7" s="1"/>
  <c r="L415" i="8"/>
  <c r="L435" i="8" s="1"/>
  <c r="O110" i="7"/>
  <c r="O21" i="7" s="1"/>
  <c r="S169" i="4"/>
  <c r="S176" i="4" s="1"/>
  <c r="S127" i="4"/>
  <c r="K433" i="7"/>
  <c r="K436" i="7" s="1"/>
  <c r="K416" i="7"/>
  <c r="L427" i="8"/>
  <c r="R480" i="7"/>
  <c r="L427" i="7"/>
  <c r="R52" i="7"/>
  <c r="R38" i="7"/>
  <c r="K29" i="8"/>
  <c r="K312" i="8"/>
  <c r="K314" i="8"/>
  <c r="M407" i="8"/>
  <c r="M407" i="7"/>
  <c r="P391" i="8"/>
  <c r="K29" i="7"/>
  <c r="K312" i="7"/>
  <c r="K314" i="7"/>
  <c r="P22" i="7"/>
  <c r="P391" i="7"/>
  <c r="O171" i="7"/>
  <c r="O171" i="8"/>
  <c r="Q216" i="8"/>
  <c r="Q216" i="7"/>
  <c r="O116" i="7"/>
  <c r="O118" i="7" s="1"/>
  <c r="J30" i="8"/>
  <c r="J32" i="8" s="1"/>
  <c r="J50" i="8"/>
  <c r="J51" i="8" s="1"/>
  <c r="J53" i="8" s="1"/>
  <c r="J55" i="8" s="1"/>
  <c r="J43" i="8"/>
  <c r="J44" i="8" s="1"/>
  <c r="J46" i="8" s="1"/>
  <c r="Q35" i="8"/>
  <c r="Q35" i="7"/>
  <c r="R480" i="8"/>
  <c r="R52" i="8"/>
  <c r="R38" i="8"/>
  <c r="Q171" i="7"/>
  <c r="Q171" i="8"/>
  <c r="O110" i="8"/>
  <c r="O21" i="8" s="1"/>
  <c r="O35" i="8" s="1"/>
  <c r="R148" i="7"/>
  <c r="R148" i="8"/>
  <c r="J30" i="7"/>
  <c r="J32" i="7" s="1"/>
  <c r="J43" i="7"/>
  <c r="J44" i="7" s="1"/>
  <c r="J46" i="7" s="1"/>
  <c r="J50" i="7"/>
  <c r="J51" i="7" s="1"/>
  <c r="J53" i="7" s="1"/>
  <c r="J55" i="7" s="1"/>
  <c r="R143" i="8"/>
  <c r="R155" i="8" s="1"/>
  <c r="R166" i="8" s="1"/>
  <c r="R143" i="7"/>
  <c r="R155" i="7" s="1"/>
  <c r="R166" i="7" s="1"/>
  <c r="O216" i="8" l="1"/>
  <c r="O217" i="8"/>
  <c r="N407" i="8"/>
  <c r="N407" i="7"/>
  <c r="R147" i="8"/>
  <c r="R147" i="7"/>
  <c r="P23" i="8"/>
  <c r="P25" i="8" s="1"/>
  <c r="K43" i="7"/>
  <c r="K44" i="7" s="1"/>
  <c r="K46" i="7" s="1"/>
  <c r="K30" i="7"/>
  <c r="K32" i="7" s="1"/>
  <c r="K50" i="7"/>
  <c r="K51" i="7" s="1"/>
  <c r="K53" i="7" s="1"/>
  <c r="K55" i="7" s="1"/>
  <c r="K43" i="8"/>
  <c r="K44" i="8" s="1"/>
  <c r="K46" i="8" s="1"/>
  <c r="K30" i="8"/>
  <c r="K32" i="8" s="1"/>
  <c r="K50" i="8"/>
  <c r="K51" i="8" s="1"/>
  <c r="K53" i="8" s="1"/>
  <c r="K55" i="8" s="1"/>
  <c r="O23" i="7"/>
  <c r="O25" i="7" s="1"/>
  <c r="O23" i="8"/>
  <c r="O25" i="8" s="1"/>
  <c r="M415" i="8"/>
  <c r="M435" i="8" s="1"/>
  <c r="M415" i="7"/>
  <c r="R188" i="7"/>
  <c r="R196" i="7" s="1"/>
  <c r="R188" i="8"/>
  <c r="R196" i="8" s="1"/>
  <c r="M413" i="7"/>
  <c r="M433" i="7" s="1"/>
  <c r="M413" i="8"/>
  <c r="M414" i="7"/>
  <c r="M434" i="7" s="1"/>
  <c r="M414" i="8"/>
  <c r="M434" i="8" s="1"/>
  <c r="M427" i="7"/>
  <c r="M427" i="8"/>
  <c r="R259" i="8"/>
  <c r="R267" i="8" s="1"/>
  <c r="R278" i="8" s="1"/>
  <c r="R197" i="8"/>
  <c r="R208" i="8" s="1"/>
  <c r="R259" i="7"/>
  <c r="R267" i="7" s="1"/>
  <c r="R278" i="7" s="1"/>
  <c r="R197" i="7"/>
  <c r="R208" i="7" s="1"/>
  <c r="L416" i="8"/>
  <c r="L433" i="8"/>
  <c r="L436" i="8" s="1"/>
  <c r="L416" i="7"/>
  <c r="L433" i="7"/>
  <c r="L436" i="7" s="1"/>
  <c r="P23" i="7"/>
  <c r="P25" i="7" s="1"/>
  <c r="O35" i="7"/>
  <c r="R156" i="7"/>
  <c r="R104" i="7" s="1"/>
  <c r="R156" i="8"/>
  <c r="R104" i="8" s="1"/>
  <c r="O216" i="7" l="1"/>
  <c r="R198" i="8"/>
  <c r="R108" i="8" s="1"/>
  <c r="R198" i="7"/>
  <c r="R108" i="7" s="1"/>
  <c r="R116" i="7" s="1"/>
  <c r="M416" i="7"/>
  <c r="M435" i="7"/>
  <c r="M436" i="7" s="1"/>
  <c r="M416" i="8"/>
  <c r="M433" i="8"/>
  <c r="M436" i="8" s="1"/>
  <c r="N414" i="8"/>
  <c r="N434" i="8" s="1"/>
  <c r="N414" i="7"/>
  <c r="N434" i="7" s="1"/>
  <c r="N427" i="7"/>
  <c r="N415" i="8"/>
  <c r="N435" i="8" s="1"/>
  <c r="N415" i="7"/>
  <c r="N435" i="7" s="1"/>
  <c r="N413" i="8"/>
  <c r="N413" i="7"/>
  <c r="N427" i="8"/>
  <c r="N416" i="7" l="1"/>
  <c r="N433" i="7"/>
  <c r="N436" i="7" s="1"/>
  <c r="N416" i="8"/>
  <c r="N433" i="8"/>
  <c r="N436" i="8" s="1"/>
  <c r="R116" i="8"/>
  <c r="Q168" i="4" l="1"/>
  <c r="Q126" i="4"/>
  <c r="BR68" i="4"/>
  <c r="BR28" i="4"/>
  <c r="BR97" i="4"/>
  <c r="G78" i="5"/>
  <c r="R28" i="4"/>
  <c r="R35" i="4" s="1"/>
  <c r="R42" i="4" s="1"/>
  <c r="R65" i="4" l="1"/>
  <c r="Q124" i="4"/>
  <c r="BQ92" i="4" s="1"/>
  <c r="AA19" i="4"/>
  <c r="R129" i="4"/>
  <c r="R171" i="4"/>
  <c r="R178" i="4" s="1"/>
  <c r="Q175" i="4"/>
  <c r="L237" i="7"/>
  <c r="L270" i="7" s="1"/>
  <c r="L272" i="7" s="1"/>
  <c r="L275" i="7" s="1"/>
  <c r="L237" i="8"/>
  <c r="L270" i="8" s="1"/>
  <c r="L272" i="8" s="1"/>
  <c r="L275" i="8" s="1"/>
  <c r="L233" i="8"/>
  <c r="L258" i="8" s="1"/>
  <c r="L233" i="7"/>
  <c r="L258" i="7" s="1"/>
  <c r="Q171" i="4"/>
  <c r="Q178" i="4" s="1"/>
  <c r="Q129" i="4"/>
  <c r="CG84" i="5"/>
  <c r="BR35" i="4"/>
  <c r="BR42" i="4" s="1"/>
  <c r="L241" i="7"/>
  <c r="L241" i="8"/>
  <c r="M335" i="8"/>
  <c r="M335" i="7"/>
  <c r="R128" i="4"/>
  <c r="R170" i="4"/>
  <c r="R177" i="4" s="1"/>
  <c r="Q170" i="4"/>
  <c r="Q177" i="4" s="1"/>
  <c r="Q128" i="4"/>
  <c r="AA16" i="4"/>
  <c r="S28" i="4"/>
  <c r="S35" i="4" s="1"/>
  <c r="S42" i="4" s="1"/>
  <c r="S65" i="4" l="1"/>
  <c r="Q139" i="4"/>
  <c r="V146" i="8"/>
  <c r="AA20" i="4"/>
  <c r="Q131" i="4"/>
  <c r="Q141" i="4" s="1"/>
  <c r="S171" i="4"/>
  <c r="S178" i="4" s="1"/>
  <c r="S129" i="4"/>
  <c r="L409" i="8"/>
  <c r="L429" i="8" s="1"/>
  <c r="L409" i="7"/>
  <c r="L429" i="7" s="1"/>
  <c r="L408" i="8"/>
  <c r="L408" i="7"/>
  <c r="R126" i="4"/>
  <c r="R131" i="4" s="1"/>
  <c r="R168" i="4"/>
  <c r="R124" i="4"/>
  <c r="R139" i="4" s="1"/>
  <c r="L260" i="7"/>
  <c r="L266" i="7"/>
  <c r="L260" i="8"/>
  <c r="L266" i="8"/>
  <c r="L235" i="7"/>
  <c r="L112" i="7" s="1"/>
  <c r="L235" i="8"/>
  <c r="L112" i="8" s="1"/>
  <c r="S128" i="4"/>
  <c r="S170" i="4"/>
  <c r="S177" i="4" s="1"/>
  <c r="CA19" i="4"/>
  <c r="L245" i="7"/>
  <c r="L245" i="8"/>
  <c r="M359" i="7"/>
  <c r="M304" i="7" s="1"/>
  <c r="M362" i="7"/>
  <c r="M364" i="7" s="1"/>
  <c r="Q172" i="4"/>
  <c r="M333" i="8"/>
  <c r="M333" i="7"/>
  <c r="Q180" i="4"/>
  <c r="M359" i="8"/>
  <c r="M304" i="8" s="1"/>
  <c r="M362" i="8"/>
  <c r="M364" i="8" s="1"/>
  <c r="M408" i="7"/>
  <c r="M408" i="8"/>
  <c r="M409" i="8"/>
  <c r="M429" i="8" s="1"/>
  <c r="M409" i="7"/>
  <c r="M429" i="7" s="1"/>
  <c r="BR65" i="4"/>
  <c r="L89" i="8"/>
  <c r="L89" i="7"/>
  <c r="CA16" i="4"/>
  <c r="BQ179" i="4" l="1"/>
  <c r="BR179" i="4"/>
  <c r="V146" i="7"/>
  <c r="Q142" i="4"/>
  <c r="S124" i="4"/>
  <c r="S126" i="4"/>
  <c r="S131" i="4" s="1"/>
  <c r="S168" i="4"/>
  <c r="L268" i="8"/>
  <c r="L277" i="8"/>
  <c r="L279" i="8" s="1"/>
  <c r="L239" i="7"/>
  <c r="L113" i="7" s="1"/>
  <c r="L114" i="7" s="1"/>
  <c r="L28" i="7" s="1"/>
  <c r="L239" i="8"/>
  <c r="L113" i="8" s="1"/>
  <c r="M410" i="8"/>
  <c r="M308" i="8" s="1"/>
  <c r="M428" i="8"/>
  <c r="M430" i="8" s="1"/>
  <c r="M428" i="7"/>
  <c r="M430" i="7" s="1"/>
  <c r="M410" i="7"/>
  <c r="M308" i="7" s="1"/>
  <c r="M314" i="7" s="1"/>
  <c r="L268" i="7"/>
  <c r="L277" i="7"/>
  <c r="L279" i="7" s="1"/>
  <c r="M237" i="7"/>
  <c r="M270" i="7" s="1"/>
  <c r="M272" i="7" s="1"/>
  <c r="M275" i="7" s="1"/>
  <c r="M237" i="8"/>
  <c r="M270" i="8" s="1"/>
  <c r="M272" i="8" s="1"/>
  <c r="M275" i="8" s="1"/>
  <c r="M233" i="8"/>
  <c r="M258" i="8" s="1"/>
  <c r="M233" i="7"/>
  <c r="M258" i="7" s="1"/>
  <c r="M15" i="8"/>
  <c r="M310" i="8"/>
  <c r="L247" i="7"/>
  <c r="L285" i="7" s="1"/>
  <c r="L247" i="8"/>
  <c r="L285" i="8" s="1"/>
  <c r="L244" i="8"/>
  <c r="L282" i="8" s="1"/>
  <c r="L244" i="7"/>
  <c r="L282" i="7" s="1"/>
  <c r="R175" i="4"/>
  <c r="R180" i="4" s="1"/>
  <c r="R172" i="4"/>
  <c r="M15" i="7"/>
  <c r="M310" i="7"/>
  <c r="R142" i="4"/>
  <c r="R141" i="4"/>
  <c r="M241" i="8"/>
  <c r="M241" i="7"/>
  <c r="N409" i="7"/>
  <c r="N429" i="7" s="1"/>
  <c r="N409" i="8"/>
  <c r="N429" i="8" s="1"/>
  <c r="BR92" i="4"/>
  <c r="CA20" i="4"/>
  <c r="T129" i="4"/>
  <c r="T171" i="4"/>
  <c r="T178" i="4" s="1"/>
  <c r="N408" i="8"/>
  <c r="N408" i="7"/>
  <c r="T128" i="4"/>
  <c r="T170" i="4"/>
  <c r="T177" i="4" s="1"/>
  <c r="L428" i="7"/>
  <c r="L430" i="7" s="1"/>
  <c r="L410" i="7"/>
  <c r="L308" i="7" s="1"/>
  <c r="L124" i="8"/>
  <c r="L120" i="8"/>
  <c r="L428" i="8"/>
  <c r="L430" i="8" s="1"/>
  <c r="L410" i="8"/>
  <c r="L308" i="8" s="1"/>
  <c r="L120" i="7"/>
  <c r="L124" i="7"/>
  <c r="O408" i="8" l="1"/>
  <c r="O428" i="8" s="1"/>
  <c r="O408" i="7"/>
  <c r="O428" i="7" s="1"/>
  <c r="N410" i="7"/>
  <c r="N308" i="7" s="1"/>
  <c r="N428" i="7"/>
  <c r="N430" i="7" s="1"/>
  <c r="N410" i="8"/>
  <c r="N308" i="8" s="1"/>
  <c r="N428" i="8"/>
  <c r="N430" i="8" s="1"/>
  <c r="M36" i="7"/>
  <c r="M37" i="7" s="1"/>
  <c r="M39" i="7" s="1"/>
  <c r="M16" i="7"/>
  <c r="M18" i="7" s="1"/>
  <c r="CA103" i="4"/>
  <c r="M312" i="8"/>
  <c r="M29" i="8"/>
  <c r="M43" i="8" s="1"/>
  <c r="M245" i="8"/>
  <c r="M245" i="7"/>
  <c r="L42" i="7"/>
  <c r="L49" i="7"/>
  <c r="O409" i="8"/>
  <c r="O429" i="8" s="1"/>
  <c r="O409" i="7"/>
  <c r="O429" i="7" s="1"/>
  <c r="L121" i="8"/>
  <c r="L122" i="8" s="1"/>
  <c r="L125" i="8"/>
  <c r="L126" i="8" s="1"/>
  <c r="CA94" i="4"/>
  <c r="L312" i="8"/>
  <c r="L29" i="8"/>
  <c r="L314" i="8"/>
  <c r="L125" i="7"/>
  <c r="L126" i="7" s="1"/>
  <c r="L121" i="7"/>
  <c r="L122" i="7" s="1"/>
  <c r="L114" i="8"/>
  <c r="L28" i="8" s="1"/>
  <c r="U170" i="4"/>
  <c r="U177" i="4" s="1"/>
  <c r="U128" i="4"/>
  <c r="T168" i="4"/>
  <c r="T126" i="4"/>
  <c r="M89" i="8"/>
  <c r="M89" i="7"/>
  <c r="L243" i="8"/>
  <c r="L281" i="8" s="1"/>
  <c r="L283" i="8" s="1"/>
  <c r="L243" i="7"/>
  <c r="L281" i="7" s="1"/>
  <c r="L283" i="7" s="1"/>
  <c r="U171" i="4"/>
  <c r="U178" i="4" s="1"/>
  <c r="U129" i="4"/>
  <c r="M314" i="8"/>
  <c r="M36" i="8"/>
  <c r="M37" i="8" s="1"/>
  <c r="M39" i="8" s="1"/>
  <c r="M16" i="8"/>
  <c r="M18" i="8" s="1"/>
  <c r="S175" i="4"/>
  <c r="S180" i="4" s="1"/>
  <c r="S172" i="4"/>
  <c r="L29" i="7"/>
  <c r="L312" i="7"/>
  <c r="L314" i="7"/>
  <c r="S142" i="4"/>
  <c r="S141" i="4"/>
  <c r="M235" i="7"/>
  <c r="M112" i="7" s="1"/>
  <c r="M235" i="8"/>
  <c r="M112" i="8" s="1"/>
  <c r="N241" i="7"/>
  <c r="N241" i="8"/>
  <c r="M260" i="7"/>
  <c r="M266" i="7"/>
  <c r="M312" i="7"/>
  <c r="M29" i="7"/>
  <c r="M43" i="7" s="1"/>
  <c r="N233" i="8"/>
  <c r="N258" i="8" s="1"/>
  <c r="N233" i="7"/>
  <c r="N258" i="7" s="1"/>
  <c r="BS92" i="4"/>
  <c r="S139" i="4"/>
  <c r="M260" i="8"/>
  <c r="M266" i="8"/>
  <c r="N237" i="7"/>
  <c r="N270" i="7" s="1"/>
  <c r="N272" i="7" s="1"/>
  <c r="N275" i="7" s="1"/>
  <c r="N237" i="8"/>
  <c r="N270" i="8" s="1"/>
  <c r="N272" i="8" s="1"/>
  <c r="N275" i="8" s="1"/>
  <c r="BS179" i="4" l="1"/>
  <c r="M50" i="7"/>
  <c r="M50" i="8"/>
  <c r="O241" i="7"/>
  <c r="O241" i="8"/>
  <c r="V190" i="7"/>
  <c r="V190" i="8"/>
  <c r="T127" i="4"/>
  <c r="T131" i="4" s="1"/>
  <c r="T169" i="4"/>
  <c r="T176" i="4" s="1"/>
  <c r="V171" i="4"/>
  <c r="V178" i="4" s="1"/>
  <c r="V170" i="4"/>
  <c r="V177" i="4" s="1"/>
  <c r="T175" i="4"/>
  <c r="N239" i="8"/>
  <c r="N113" i="8" s="1"/>
  <c r="N239" i="7"/>
  <c r="N113" i="7" s="1"/>
  <c r="O233" i="7"/>
  <c r="O258" i="7" s="1"/>
  <c r="O233" i="8"/>
  <c r="O258" i="8" s="1"/>
  <c r="N245" i="7"/>
  <c r="N245" i="8"/>
  <c r="M120" i="8"/>
  <c r="M124" i="8"/>
  <c r="N29" i="8"/>
  <c r="N314" i="8"/>
  <c r="N312" i="8"/>
  <c r="M124" i="7"/>
  <c r="M120" i="7"/>
  <c r="P408" i="8"/>
  <c r="P428" i="8" s="1"/>
  <c r="P408" i="7"/>
  <c r="P428" i="7" s="1"/>
  <c r="M239" i="7"/>
  <c r="M113" i="7" s="1"/>
  <c r="M114" i="7" s="1"/>
  <c r="M28" i="7" s="1"/>
  <c r="M239" i="8"/>
  <c r="M113" i="8" s="1"/>
  <c r="L42" i="8"/>
  <c r="L49" i="8"/>
  <c r="L30" i="8"/>
  <c r="L32" i="8" s="1"/>
  <c r="M277" i="8"/>
  <c r="M279" i="8" s="1"/>
  <c r="M268" i="8"/>
  <c r="P409" i="7"/>
  <c r="P429" i="7" s="1"/>
  <c r="P409" i="8"/>
  <c r="P429" i="8" s="1"/>
  <c r="N89" i="8"/>
  <c r="N89" i="7"/>
  <c r="L50" i="7"/>
  <c r="L51" i="7" s="1"/>
  <c r="L53" i="7" s="1"/>
  <c r="L55" i="7" s="1"/>
  <c r="L43" i="7"/>
  <c r="L44" i="7" s="1"/>
  <c r="L46" i="7" s="1"/>
  <c r="L30" i="7"/>
  <c r="L32" i="7" s="1"/>
  <c r="N314" i="7"/>
  <c r="N29" i="7"/>
  <c r="N312" i="7"/>
  <c r="U126" i="4"/>
  <c r="U168" i="4"/>
  <c r="L43" i="8"/>
  <c r="L50" i="8"/>
  <c r="N260" i="7"/>
  <c r="N266" i="7"/>
  <c r="M244" i="7"/>
  <c r="M282" i="7" s="1"/>
  <c r="M244" i="8"/>
  <c r="M282" i="8" s="1"/>
  <c r="N260" i="8"/>
  <c r="N266" i="8"/>
  <c r="M247" i="7"/>
  <c r="M285" i="7" s="1"/>
  <c r="M247" i="8"/>
  <c r="M285" i="8" s="1"/>
  <c r="N235" i="8"/>
  <c r="N112" i="8" s="1"/>
  <c r="N235" i="7"/>
  <c r="N112" i="7" s="1"/>
  <c r="M277" i="7"/>
  <c r="M279" i="7" s="1"/>
  <c r="M268" i="7"/>
  <c r="V144" i="8"/>
  <c r="V144" i="7"/>
  <c r="T124" i="4"/>
  <c r="O237" i="8"/>
  <c r="O270" i="8" s="1"/>
  <c r="O272" i="8" s="1"/>
  <c r="O275" i="8" s="1"/>
  <c r="O237" i="7"/>
  <c r="O270" i="7" s="1"/>
  <c r="O272" i="7" s="1"/>
  <c r="O275" i="7" s="1"/>
  <c r="T172" i="4" l="1"/>
  <c r="T180" i="4"/>
  <c r="L51" i="8"/>
  <c r="L53" i="8" s="1"/>
  <c r="L55" i="8" s="1"/>
  <c r="L44" i="8"/>
  <c r="L46" i="8" s="1"/>
  <c r="N120" i="8"/>
  <c r="N124" i="8"/>
  <c r="N114" i="8"/>
  <c r="N28" i="8" s="1"/>
  <c r="W171" i="4"/>
  <c r="W178" i="4" s="1"/>
  <c r="O245" i="7"/>
  <c r="O245" i="8"/>
  <c r="N247" i="7"/>
  <c r="N285" i="7" s="1"/>
  <c r="N247" i="8"/>
  <c r="N285" i="8" s="1"/>
  <c r="N244" i="8"/>
  <c r="N282" i="8" s="1"/>
  <c r="N244" i="7"/>
  <c r="N282" i="7" s="1"/>
  <c r="O266" i="8"/>
  <c r="O260" i="8"/>
  <c r="O260" i="7"/>
  <c r="O266" i="7"/>
  <c r="V143" i="8"/>
  <c r="V155" i="8" s="1"/>
  <c r="V166" i="8" s="1"/>
  <c r="V143" i="7"/>
  <c r="V155" i="7" s="1"/>
  <c r="V166" i="7" s="1"/>
  <c r="O235" i="7"/>
  <c r="O112" i="7" s="1"/>
  <c r="O235" i="8"/>
  <c r="O112" i="8" s="1"/>
  <c r="M121" i="8"/>
  <c r="M122" i="8" s="1"/>
  <c r="M125" i="8"/>
  <c r="M126" i="8" s="1"/>
  <c r="N125" i="7"/>
  <c r="N121" i="7"/>
  <c r="U127" i="4"/>
  <c r="U131" i="4" s="1"/>
  <c r="U169" i="4"/>
  <c r="U176" i="4" s="1"/>
  <c r="V126" i="4"/>
  <c r="V168" i="4"/>
  <c r="V148" i="8"/>
  <c r="V148" i="7"/>
  <c r="U124" i="4"/>
  <c r="M121" i="7"/>
  <c r="M122" i="7" s="1"/>
  <c r="M125" i="7"/>
  <c r="M126" i="7" s="1"/>
  <c r="N125" i="8"/>
  <c r="N121" i="8"/>
  <c r="N268" i="8"/>
  <c r="N277" i="8"/>
  <c r="N279" i="8" s="1"/>
  <c r="P237" i="8"/>
  <c r="P270" i="8" s="1"/>
  <c r="P272" i="8" s="1"/>
  <c r="P275" i="8" s="1"/>
  <c r="P237" i="7"/>
  <c r="P270" i="7" s="1"/>
  <c r="P272" i="7" s="1"/>
  <c r="P275" i="7" s="1"/>
  <c r="U175" i="4"/>
  <c r="P241" i="7"/>
  <c r="P241" i="8"/>
  <c r="P233" i="7"/>
  <c r="P258" i="7" s="1"/>
  <c r="P233" i="8"/>
  <c r="P258" i="8" s="1"/>
  <c r="N50" i="7"/>
  <c r="N43" i="7"/>
  <c r="M30" i="7"/>
  <c r="M32" i="7" s="1"/>
  <c r="M49" i="7"/>
  <c r="M51" i="7" s="1"/>
  <c r="M53" i="7" s="1"/>
  <c r="M55" i="7" s="1"/>
  <c r="M42" i="7"/>
  <c r="M44" i="7" s="1"/>
  <c r="M46" i="7" s="1"/>
  <c r="M243" i="8"/>
  <c r="M281" i="8" s="1"/>
  <c r="M283" i="8" s="1"/>
  <c r="M243" i="7"/>
  <c r="M281" i="7" s="1"/>
  <c r="M283" i="7" s="1"/>
  <c r="Q408" i="8"/>
  <c r="Q408" i="7"/>
  <c r="V189" i="8"/>
  <c r="V189" i="7"/>
  <c r="N43" i="8"/>
  <c r="N50" i="8"/>
  <c r="Q409" i="7"/>
  <c r="Q409" i="8"/>
  <c r="W170" i="4"/>
  <c r="W177" i="4" s="1"/>
  <c r="O407" i="7"/>
  <c r="O407" i="8"/>
  <c r="T142" i="4"/>
  <c r="N268" i="7"/>
  <c r="N277" i="7"/>
  <c r="N279" i="7" s="1"/>
  <c r="M114" i="8"/>
  <c r="M28" i="8" s="1"/>
  <c r="N124" i="7"/>
  <c r="N114" i="7"/>
  <c r="N28" i="7" s="1"/>
  <c r="N120" i="7"/>
  <c r="U172" i="4" l="1"/>
  <c r="U180" i="4"/>
  <c r="N126" i="7"/>
  <c r="N122" i="7"/>
  <c r="O124" i="8"/>
  <c r="O120" i="8"/>
  <c r="O124" i="7"/>
  <c r="O120" i="7"/>
  <c r="O277" i="8"/>
  <c r="O279" i="8" s="1"/>
  <c r="O268" i="8"/>
  <c r="O239" i="7"/>
  <c r="O113" i="7" s="1"/>
  <c r="O239" i="8"/>
  <c r="O113" i="8" s="1"/>
  <c r="O413" i="7"/>
  <c r="O413" i="8"/>
  <c r="O410" i="8"/>
  <c r="O308" i="8" s="1"/>
  <c r="O427" i="8"/>
  <c r="O430" i="8" s="1"/>
  <c r="P245" i="7"/>
  <c r="P245" i="8"/>
  <c r="N243" i="7"/>
  <c r="N281" i="7" s="1"/>
  <c r="N283" i="7" s="1"/>
  <c r="N243" i="8"/>
  <c r="N281" i="8" s="1"/>
  <c r="N283" i="8" s="1"/>
  <c r="O410" i="7"/>
  <c r="O308" i="7" s="1"/>
  <c r="O427" i="7"/>
  <c r="O430" i="7" s="1"/>
  <c r="O415" i="7"/>
  <c r="O435" i="7" s="1"/>
  <c r="O415" i="8"/>
  <c r="O435" i="8" s="1"/>
  <c r="O414" i="7"/>
  <c r="O434" i="7" s="1"/>
  <c r="O414" i="8"/>
  <c r="O434" i="8" s="1"/>
  <c r="N49" i="7"/>
  <c r="N51" i="7" s="1"/>
  <c r="N53" i="7" s="1"/>
  <c r="N55" i="7" s="1"/>
  <c r="N42" i="7"/>
  <c r="N44" i="7" s="1"/>
  <c r="N46" i="7" s="1"/>
  <c r="N30" i="7"/>
  <c r="N32" i="7" s="1"/>
  <c r="V197" i="7"/>
  <c r="V208" i="7" s="1"/>
  <c r="V259" i="7"/>
  <c r="V267" i="7" s="1"/>
  <c r="V278" i="7" s="1"/>
  <c r="V142" i="7"/>
  <c r="V154" i="7" s="1"/>
  <c r="V156" i="7" s="1"/>
  <c r="V104" i="7" s="1"/>
  <c r="V142" i="8"/>
  <c r="V154" i="8" s="1"/>
  <c r="V156" i="8" s="1"/>
  <c r="V104" i="8" s="1"/>
  <c r="V259" i="8"/>
  <c r="V267" i="8" s="1"/>
  <c r="V278" i="8" s="1"/>
  <c r="V197" i="8"/>
  <c r="V208" i="8" s="1"/>
  <c r="O268" i="7"/>
  <c r="O277" i="7"/>
  <c r="O279" i="7" s="1"/>
  <c r="M30" i="8"/>
  <c r="M32" i="8" s="1"/>
  <c r="M42" i="8"/>
  <c r="M44" i="8" s="1"/>
  <c r="M46" i="8" s="1"/>
  <c r="M49" i="8"/>
  <c r="M51" i="8" s="1"/>
  <c r="M53" i="8" s="1"/>
  <c r="M55" i="8" s="1"/>
  <c r="V188" i="8"/>
  <c r="V196" i="8" s="1"/>
  <c r="V188" i="7"/>
  <c r="V196" i="7" s="1"/>
  <c r="O247" i="8"/>
  <c r="O285" i="8" s="1"/>
  <c r="O247" i="7"/>
  <c r="O285" i="7" s="1"/>
  <c r="V147" i="8"/>
  <c r="V147" i="7"/>
  <c r="O244" i="8"/>
  <c r="O282" i="8" s="1"/>
  <c r="O244" i="7"/>
  <c r="O282" i="7" s="1"/>
  <c r="Q241" i="7"/>
  <c r="Q241" i="8"/>
  <c r="V175" i="4"/>
  <c r="P235" i="7"/>
  <c r="P112" i="7" s="1"/>
  <c r="P235" i="8"/>
  <c r="P112" i="8" s="1"/>
  <c r="Q233" i="8"/>
  <c r="Q258" i="8" s="1"/>
  <c r="Q233" i="7"/>
  <c r="Q258" i="7" s="1"/>
  <c r="R409" i="8"/>
  <c r="R409" i="7"/>
  <c r="P266" i="8"/>
  <c r="P260" i="8"/>
  <c r="P260" i="7"/>
  <c r="P266" i="7"/>
  <c r="Q237" i="7"/>
  <c r="Q270" i="7" s="1"/>
  <c r="Q272" i="7" s="1"/>
  <c r="Q275" i="7" s="1"/>
  <c r="Q237" i="8"/>
  <c r="Q270" i="8" s="1"/>
  <c r="Q272" i="8" s="1"/>
  <c r="Q275" i="8" s="1"/>
  <c r="V124" i="4"/>
  <c r="V169" i="4"/>
  <c r="V176" i="4" s="1"/>
  <c r="N30" i="8"/>
  <c r="N32" i="8" s="1"/>
  <c r="N49" i="8"/>
  <c r="N51" i="8" s="1"/>
  <c r="N53" i="8" s="1"/>
  <c r="N55" i="8" s="1"/>
  <c r="N42" i="8"/>
  <c r="N44" i="8" s="1"/>
  <c r="N46" i="8" s="1"/>
  <c r="P407" i="7"/>
  <c r="P407" i="8"/>
  <c r="N126" i="8"/>
  <c r="R408" i="7"/>
  <c r="R408" i="8"/>
  <c r="U142" i="4"/>
  <c r="N122" i="8"/>
  <c r="V198" i="7" l="1"/>
  <c r="V108" i="7" s="1"/>
  <c r="V116" i="7" s="1"/>
  <c r="V172" i="4"/>
  <c r="V180" i="4"/>
  <c r="Q239" i="7"/>
  <c r="Q113" i="7" s="1"/>
  <c r="Q239" i="8"/>
  <c r="Q113" i="8" s="1"/>
  <c r="P277" i="7"/>
  <c r="P279" i="7" s="1"/>
  <c r="P268" i="7"/>
  <c r="V198" i="8"/>
  <c r="V108" i="8" s="1"/>
  <c r="O312" i="8"/>
  <c r="O29" i="8"/>
  <c r="P414" i="7"/>
  <c r="P434" i="7" s="1"/>
  <c r="P414" i="8"/>
  <c r="P434" i="8" s="1"/>
  <c r="P427" i="8"/>
  <c r="P430" i="8" s="1"/>
  <c r="P410" i="8"/>
  <c r="P308" i="8" s="1"/>
  <c r="P427" i="7"/>
  <c r="P430" i="7" s="1"/>
  <c r="P410" i="7"/>
  <c r="P308" i="7" s="1"/>
  <c r="P413" i="8"/>
  <c r="P413" i="7"/>
  <c r="P415" i="7"/>
  <c r="P435" i="7" s="1"/>
  <c r="P415" i="8"/>
  <c r="P435" i="8" s="1"/>
  <c r="O125" i="8"/>
  <c r="O126" i="8" s="1"/>
  <c r="O121" i="8"/>
  <c r="O122" i="8" s="1"/>
  <c r="O125" i="7"/>
  <c r="O126" i="7" s="1"/>
  <c r="O121" i="7"/>
  <c r="O122" i="7" s="1"/>
  <c r="P268" i="8"/>
  <c r="P277" i="8"/>
  <c r="P279" i="8" s="1"/>
  <c r="O243" i="7"/>
  <c r="O281" i="7" s="1"/>
  <c r="O283" i="7" s="1"/>
  <c r="O243" i="8"/>
  <c r="O281" i="8" s="1"/>
  <c r="O283" i="8" s="1"/>
  <c r="O114" i="7"/>
  <c r="O28" i="7" s="1"/>
  <c r="W169" i="4"/>
  <c r="W176" i="4" s="1"/>
  <c r="Q407" i="7"/>
  <c r="Q407" i="8"/>
  <c r="O29" i="7"/>
  <c r="O312" i="7"/>
  <c r="P239" i="8"/>
  <c r="P113" i="8" s="1"/>
  <c r="P239" i="7"/>
  <c r="P113" i="7" s="1"/>
  <c r="Q260" i="7"/>
  <c r="Q266" i="7"/>
  <c r="O114" i="8"/>
  <c r="O28" i="8" s="1"/>
  <c r="Q235" i="7"/>
  <c r="Q112" i="7" s="1"/>
  <c r="Q235" i="8"/>
  <c r="Q112" i="8" s="1"/>
  <c r="Q260" i="8"/>
  <c r="Q266" i="8"/>
  <c r="O416" i="8"/>
  <c r="O433" i="8"/>
  <c r="O436" i="8" s="1"/>
  <c r="P120" i="8"/>
  <c r="P124" i="8"/>
  <c r="O433" i="7"/>
  <c r="O436" i="7" s="1"/>
  <c r="O416" i="7"/>
  <c r="Q245" i="8"/>
  <c r="Q245" i="7"/>
  <c r="P120" i="7"/>
  <c r="P124" i="7"/>
  <c r="P247" i="8"/>
  <c r="P285" i="8" s="1"/>
  <c r="P247" i="7"/>
  <c r="P285" i="7" s="1"/>
  <c r="P244" i="8"/>
  <c r="P282" i="8" s="1"/>
  <c r="P244" i="7"/>
  <c r="P282" i="7" s="1"/>
  <c r="Q243" i="8" l="1"/>
  <c r="Q281" i="8" s="1"/>
  <c r="Q243" i="7"/>
  <c r="Q281" i="7" s="1"/>
  <c r="P243" i="7"/>
  <c r="P281" i="7" s="1"/>
  <c r="P283" i="7" s="1"/>
  <c r="P243" i="8"/>
  <c r="P281" i="8" s="1"/>
  <c r="P283" i="8" s="1"/>
  <c r="Q268" i="8"/>
  <c r="Q277" i="8"/>
  <c r="Q279" i="8" s="1"/>
  <c r="Q120" i="8"/>
  <c r="Q124" i="8"/>
  <c r="O43" i="8"/>
  <c r="Q124" i="7"/>
  <c r="Q120" i="7"/>
  <c r="O30" i="7"/>
  <c r="O32" i="7" s="1"/>
  <c r="O43" i="7"/>
  <c r="Q247" i="8"/>
  <c r="Q285" i="8" s="1"/>
  <c r="Q247" i="7"/>
  <c r="Q285" i="7" s="1"/>
  <c r="P312" i="7"/>
  <c r="P29" i="7"/>
  <c r="V116" i="8"/>
  <c r="Q244" i="8"/>
  <c r="Q282" i="8" s="1"/>
  <c r="Q244" i="7"/>
  <c r="Q282" i="7" s="1"/>
  <c r="Q414" i="7"/>
  <c r="Q414" i="8"/>
  <c r="Q410" i="8"/>
  <c r="Q308" i="8" s="1"/>
  <c r="R407" i="7"/>
  <c r="R407" i="8"/>
  <c r="Q413" i="7"/>
  <c r="Q413" i="8"/>
  <c r="Q410" i="7"/>
  <c r="Q308" i="7" s="1"/>
  <c r="Q415" i="7"/>
  <c r="Q415" i="8"/>
  <c r="O49" i="8"/>
  <c r="O42" i="8"/>
  <c r="O30" i="8"/>
  <c r="O32" i="8" s="1"/>
  <c r="Q268" i="7"/>
  <c r="Q277" i="7"/>
  <c r="Q279" i="7" s="1"/>
  <c r="P416" i="7"/>
  <c r="P433" i="7"/>
  <c r="P436" i="7" s="1"/>
  <c r="P312" i="8"/>
  <c r="P29" i="8"/>
  <c r="Q114" i="8"/>
  <c r="Q28" i="8" s="1"/>
  <c r="Q121" i="8"/>
  <c r="Q125" i="8"/>
  <c r="P416" i="8"/>
  <c r="P433" i="8"/>
  <c r="P436" i="8" s="1"/>
  <c r="Q114" i="7"/>
  <c r="Q28" i="7" s="1"/>
  <c r="Q125" i="7"/>
  <c r="Q121" i="7"/>
  <c r="P114" i="7"/>
  <c r="P28" i="7" s="1"/>
  <c r="P125" i="7"/>
  <c r="P126" i="7" s="1"/>
  <c r="P121" i="7"/>
  <c r="P122" i="7" s="1"/>
  <c r="P114" i="8"/>
  <c r="P28" i="8" s="1"/>
  <c r="P125" i="8"/>
  <c r="P126" i="8" s="1"/>
  <c r="P121" i="8"/>
  <c r="P122" i="8" s="1"/>
  <c r="O49" i="7"/>
  <c r="O42" i="7"/>
  <c r="Q122" i="8" l="1"/>
  <c r="Q126" i="7"/>
  <c r="Q122" i="7"/>
  <c r="Q126" i="8"/>
  <c r="Q49" i="8"/>
  <c r="Q42" i="8"/>
  <c r="P30" i="8"/>
  <c r="P32" i="8" s="1"/>
  <c r="P43" i="8"/>
  <c r="P43" i="7"/>
  <c r="Q29" i="8"/>
  <c r="O44" i="8"/>
  <c r="O46" i="8" s="1"/>
  <c r="P49" i="8"/>
  <c r="P42" i="8"/>
  <c r="Q416" i="8"/>
  <c r="Q416" i="7"/>
  <c r="O44" i="7"/>
  <c r="O46" i="7" s="1"/>
  <c r="P49" i="7"/>
  <c r="P42" i="7"/>
  <c r="P30" i="7"/>
  <c r="P32" i="7" s="1"/>
  <c r="Q42" i="7"/>
  <c r="Q49" i="7"/>
  <c r="Q283" i="7"/>
  <c r="R415" i="7"/>
  <c r="R415" i="8"/>
  <c r="R410" i="8"/>
  <c r="R308" i="8" s="1"/>
  <c r="Q283" i="8"/>
  <c r="R410" i="7"/>
  <c r="R308" i="7" s="1"/>
  <c r="Q29" i="7"/>
  <c r="R414" i="8"/>
  <c r="R414" i="7"/>
  <c r="R413" i="8"/>
  <c r="R413" i="7"/>
  <c r="P44" i="8" l="1"/>
  <c r="P46" i="8" s="1"/>
  <c r="Q30" i="7"/>
  <c r="Q32" i="7" s="1"/>
  <c r="R29" i="7"/>
  <c r="Z169" i="4"/>
  <c r="Q30" i="8"/>
  <c r="Q32" i="8" s="1"/>
  <c r="P44" i="7"/>
  <c r="P46" i="7" s="1"/>
  <c r="R416" i="7"/>
  <c r="R29" i="8"/>
  <c r="R416" i="8"/>
  <c r="U407" i="8" l="1"/>
  <c r="U407" i="7"/>
  <c r="U414" i="8" l="1"/>
  <c r="U414" i="7"/>
  <c r="U413" i="7"/>
  <c r="U413" i="8"/>
  <c r="U415" i="7"/>
  <c r="U415" i="8"/>
  <c r="U416" i="8" l="1"/>
  <c r="U416" i="7"/>
  <c r="CA24" i="4" l="1"/>
  <c r="BY24" i="4" l="1"/>
  <c r="BZ24" i="4"/>
  <c r="W53" i="4"/>
  <c r="BU97" i="4" l="1"/>
  <c r="BU68" i="4"/>
  <c r="BU28" i="4"/>
  <c r="BT68" i="4"/>
  <c r="BT97" i="4"/>
  <c r="BT28" i="4"/>
  <c r="BW97" i="4"/>
  <c r="BW68" i="4"/>
  <c r="BX68" i="4"/>
  <c r="BX97" i="4"/>
  <c r="B110" i="9"/>
  <c r="G110" i="9" s="1"/>
  <c r="W64" i="4"/>
  <c r="W160" i="4"/>
  <c r="BV97" i="4"/>
  <c r="BV68" i="4"/>
  <c r="Y24" i="4"/>
  <c r="Q335" i="8" l="1"/>
  <c r="Q335" i="7"/>
  <c r="W165" i="4"/>
  <c r="CX133" i="4"/>
  <c r="S335" i="7"/>
  <c r="S362" i="7" s="1"/>
  <c r="S364" i="7" s="1"/>
  <c r="S335" i="8"/>
  <c r="S362" i="8" s="1"/>
  <c r="S364" i="8" s="1"/>
  <c r="B96" i="9"/>
  <c r="G96" i="9" s="1"/>
  <c r="R335" i="7"/>
  <c r="R335" i="8"/>
  <c r="O335" i="8"/>
  <c r="O335" i="7"/>
  <c r="BT35" i="4"/>
  <c r="BT42" i="4" s="1"/>
  <c r="CI84" i="5"/>
  <c r="CJ84" i="5"/>
  <c r="BU35" i="4"/>
  <c r="BU42" i="4" s="1"/>
  <c r="P335" i="8"/>
  <c r="P335" i="7"/>
  <c r="Y163" i="4"/>
  <c r="G124" i="9" l="1"/>
  <c r="R333" i="7"/>
  <c r="R333" i="8"/>
  <c r="X162" i="4"/>
  <c r="X34" i="4"/>
  <c r="R362" i="8"/>
  <c r="R364" i="8" s="1"/>
  <c r="R362" i="7"/>
  <c r="R364" i="7" s="1"/>
  <c r="S333" i="7"/>
  <c r="S333" i="8"/>
  <c r="P359" i="7"/>
  <c r="P304" i="7" s="1"/>
  <c r="P362" i="7"/>
  <c r="P364" i="7" s="1"/>
  <c r="P362" i="8"/>
  <c r="P364" i="8" s="1"/>
  <c r="P359" i="8"/>
  <c r="P304" i="8" s="1"/>
  <c r="B124" i="9"/>
  <c r="P333" i="7"/>
  <c r="P333" i="8"/>
  <c r="Q333" i="8"/>
  <c r="Q333" i="7"/>
  <c r="U141" i="4"/>
  <c r="BU92" i="4"/>
  <c r="BU65" i="4"/>
  <c r="U139" i="4"/>
  <c r="Q362" i="7"/>
  <c r="Q364" i="7" s="1"/>
  <c r="Y53" i="4"/>
  <c r="Y160" i="4" s="1"/>
  <c r="Q362" i="8"/>
  <c r="Q364" i="8" s="1"/>
  <c r="BT92" i="4"/>
  <c r="T139" i="4"/>
  <c r="BT65" i="4"/>
  <c r="T141" i="4"/>
  <c r="O362" i="7"/>
  <c r="O364" i="7" s="1"/>
  <c r="O359" i="7"/>
  <c r="O304" i="7" s="1"/>
  <c r="CW133" i="4"/>
  <c r="O359" i="8"/>
  <c r="O304" i="8" s="1"/>
  <c r="O362" i="8"/>
  <c r="O364" i="8" s="1"/>
  <c r="O333" i="8"/>
  <c r="O333" i="7"/>
  <c r="Z163" i="4"/>
  <c r="X53" i="4"/>
  <c r="X160" i="4" s="1"/>
  <c r="P15" i="8" l="1"/>
  <c r="P314" i="8"/>
  <c r="P310" i="8"/>
  <c r="P314" i="7"/>
  <c r="P310" i="7"/>
  <c r="P15" i="7"/>
  <c r="X27" i="4"/>
  <c r="X161" i="4"/>
  <c r="X165" i="4" s="1"/>
  <c r="X57" i="4"/>
  <c r="X59" i="4" s="1"/>
  <c r="X64" i="4" s="1"/>
  <c r="Y162" i="4"/>
  <c r="Y34" i="4"/>
  <c r="P89" i="8"/>
  <c r="P89" i="7"/>
  <c r="O314" i="7"/>
  <c r="O15" i="7"/>
  <c r="O310" i="7"/>
  <c r="O314" i="8"/>
  <c r="O310" i="8"/>
  <c r="O15" i="8"/>
  <c r="O89" i="7"/>
  <c r="O89" i="8"/>
  <c r="Z53" i="4"/>
  <c r="Z160" i="4" s="1"/>
  <c r="P36" i="7" l="1"/>
  <c r="P37" i="7" s="1"/>
  <c r="P39" i="7" s="1"/>
  <c r="P50" i="7"/>
  <c r="P51" i="7" s="1"/>
  <c r="P53" i="7" s="1"/>
  <c r="P55" i="7" s="1"/>
  <c r="P16" i="7"/>
  <c r="P18" i="7" s="1"/>
  <c r="Y57" i="4"/>
  <c r="Y59" i="4" s="1"/>
  <c r="Y64" i="4" s="1"/>
  <c r="Y161" i="4"/>
  <c r="Y165" i="4" s="1"/>
  <c r="Y27" i="4"/>
  <c r="O36" i="7"/>
  <c r="O37" i="7" s="1"/>
  <c r="O39" i="7" s="1"/>
  <c r="O16" i="7"/>
  <c r="O18" i="7" s="1"/>
  <c r="O50" i="7"/>
  <c r="O51" i="7" s="1"/>
  <c r="O53" i="7" s="1"/>
  <c r="O55" i="7" s="1"/>
  <c r="Z162" i="4"/>
  <c r="Z34" i="4"/>
  <c r="O50" i="8"/>
  <c r="O51" i="8" s="1"/>
  <c r="O53" i="8" s="1"/>
  <c r="O55" i="8" s="1"/>
  <c r="O36" i="8"/>
  <c r="O37" i="8" s="1"/>
  <c r="O39" i="8" s="1"/>
  <c r="O16" i="8"/>
  <c r="O18" i="8" s="1"/>
  <c r="BY68" i="4"/>
  <c r="BY97" i="4"/>
  <c r="BZ68" i="4"/>
  <c r="BZ97" i="4"/>
  <c r="P50" i="8"/>
  <c r="P51" i="8" s="1"/>
  <c r="P53" i="8" s="1"/>
  <c r="P55" i="8" s="1"/>
  <c r="P16" i="8"/>
  <c r="P18" i="8" s="1"/>
  <c r="P36" i="8"/>
  <c r="P37" i="8" s="1"/>
  <c r="P39" i="8" s="1"/>
  <c r="T28" i="4"/>
  <c r="T35" i="4" s="1"/>
  <c r="T42" i="4" s="1"/>
  <c r="T65" i="4" l="1"/>
  <c r="T335" i="8"/>
  <c r="T335" i="7"/>
  <c r="CA68" i="4"/>
  <c r="CA97" i="4"/>
  <c r="Z27" i="4"/>
  <c r="Z161" i="4"/>
  <c r="Z57" i="4"/>
  <c r="Z59" i="4" s="1"/>
  <c r="Z64" i="4" s="1"/>
  <c r="U335" i="7"/>
  <c r="U335" i="8"/>
  <c r="U28" i="4"/>
  <c r="U35" i="4" s="1"/>
  <c r="U42" i="4" s="1"/>
  <c r="U65" i="4" l="1"/>
  <c r="U362" i="8"/>
  <c r="U364" i="8" s="1"/>
  <c r="U333" i="7"/>
  <c r="U333" i="8"/>
  <c r="U362" i="7"/>
  <c r="U364" i="7" s="1"/>
  <c r="Z176" i="4"/>
  <c r="Z165" i="4"/>
  <c r="V335" i="7"/>
  <c r="V335" i="8"/>
  <c r="T333" i="8"/>
  <c r="T333" i="7"/>
  <c r="T362" i="7"/>
  <c r="T364" i="7" s="1"/>
  <c r="T362" i="8"/>
  <c r="T364" i="8" s="1"/>
  <c r="V28" i="4"/>
  <c r="V35" i="4" s="1"/>
  <c r="V42" i="4" s="1"/>
  <c r="V65" i="4" l="1"/>
  <c r="V362" i="8"/>
  <c r="V364" i="8" s="1"/>
  <c r="V333" i="8"/>
  <c r="V333" i="7"/>
  <c r="V362" i="7"/>
  <c r="V364" i="7" s="1"/>
  <c r="W28" i="4"/>
  <c r="W35" i="4" s="1"/>
  <c r="W42" i="4" s="1"/>
  <c r="AA24" i="4"/>
  <c r="CA63" i="4"/>
  <c r="W65" i="4" l="1"/>
  <c r="AA117" i="4"/>
  <c r="CA101" i="4"/>
  <c r="X28" i="4"/>
  <c r="X35" i="4" s="1"/>
  <c r="X42" i="4" s="1"/>
  <c r="X65" i="4" l="1"/>
  <c r="AA130" i="4"/>
  <c r="V457" i="7"/>
  <c r="V457" i="8"/>
  <c r="X170" i="4"/>
  <c r="X177" i="4" s="1"/>
  <c r="X171" i="4"/>
  <c r="X178" i="4" s="1"/>
  <c r="W168" i="4"/>
  <c r="W124" i="4"/>
  <c r="Y28" i="4"/>
  <c r="Y35" i="4" s="1"/>
  <c r="V17" i="8" l="1"/>
  <c r="V17" i="7"/>
  <c r="V470" i="8"/>
  <c r="V24" i="8" s="1"/>
  <c r="V470" i="7"/>
  <c r="V24" i="7" s="1"/>
  <c r="W172" i="4"/>
  <c r="W175" i="4"/>
  <c r="W180" i="4" s="1"/>
  <c r="Y171" i="4"/>
  <c r="Y178" i="4" s="1"/>
  <c r="B99" i="9"/>
  <c r="G99" i="9" s="1"/>
  <c r="G101" i="9" s="1"/>
  <c r="Y42" i="4"/>
  <c r="S409" i="7"/>
  <c r="S409" i="8"/>
  <c r="Y170" i="4"/>
  <c r="Y177" i="4" s="1"/>
  <c r="S408" i="7"/>
  <c r="S408" i="8"/>
  <c r="R241" i="8"/>
  <c r="R241" i="7"/>
  <c r="R233" i="8"/>
  <c r="R258" i="8" s="1"/>
  <c r="R233" i="7"/>
  <c r="R258" i="7" s="1"/>
  <c r="R237" i="7"/>
  <c r="R237" i="8"/>
  <c r="Z28" i="4"/>
  <c r="Z35" i="4" s="1"/>
  <c r="Y65" i="4" l="1"/>
  <c r="V45" i="7"/>
  <c r="V45" i="8"/>
  <c r="V480" i="7"/>
  <c r="V52" i="7"/>
  <c r="V38" i="7"/>
  <c r="V480" i="8"/>
  <c r="V38" i="8"/>
  <c r="V52" i="8"/>
  <c r="R235" i="8"/>
  <c r="R112" i="8" s="1"/>
  <c r="R235" i="7"/>
  <c r="R112" i="7" s="1"/>
  <c r="R260" i="7"/>
  <c r="R266" i="7"/>
  <c r="R260" i="8"/>
  <c r="R266" i="8"/>
  <c r="Z170" i="4"/>
  <c r="Z177" i="4" s="1"/>
  <c r="B101" i="9"/>
  <c r="T408" i="7"/>
  <c r="T408" i="8"/>
  <c r="T409" i="8"/>
  <c r="T409" i="7"/>
  <c r="Z171" i="4"/>
  <c r="Z178" i="4" s="1"/>
  <c r="R245" i="8"/>
  <c r="R245" i="7"/>
  <c r="X168" i="4"/>
  <c r="X175" i="4" l="1"/>
  <c r="S233" i="7"/>
  <c r="S258" i="7" s="1"/>
  <c r="S233" i="8"/>
  <c r="S258" i="8" s="1"/>
  <c r="S237" i="7"/>
  <c r="S237" i="8"/>
  <c r="U408" i="8"/>
  <c r="U408" i="7"/>
  <c r="S241" i="7"/>
  <c r="S241" i="8"/>
  <c r="R243" i="7"/>
  <c r="R243" i="8"/>
  <c r="R247" i="7"/>
  <c r="R247" i="8"/>
  <c r="Y168" i="4"/>
  <c r="R244" i="7"/>
  <c r="R244" i="8"/>
  <c r="AA168" i="4"/>
  <c r="R239" i="8"/>
  <c r="R113" i="8" s="1"/>
  <c r="R239" i="7"/>
  <c r="R113" i="7" s="1"/>
  <c r="Z124" i="4"/>
  <c r="Z168" i="4"/>
  <c r="X169" i="4"/>
  <c r="X176" i="4" s="1"/>
  <c r="U409" i="7"/>
  <c r="U409" i="8"/>
  <c r="R268" i="8"/>
  <c r="R268" i="7"/>
  <c r="R120" i="7"/>
  <c r="R124" i="7"/>
  <c r="AA171" i="4"/>
  <c r="X124" i="4"/>
  <c r="R120" i="8"/>
  <c r="R124" i="8"/>
  <c r="Y124" i="4"/>
  <c r="Y175" i="4" l="1"/>
  <c r="T241" i="8"/>
  <c r="T241" i="7"/>
  <c r="T233" i="8"/>
  <c r="T258" i="8" s="1"/>
  <c r="T233" i="7"/>
  <c r="T258" i="7" s="1"/>
  <c r="T237" i="7"/>
  <c r="T237" i="8"/>
  <c r="S407" i="8"/>
  <c r="S407" i="7"/>
  <c r="Z172" i="4"/>
  <c r="Z175" i="4"/>
  <c r="Z180" i="4" s="1"/>
  <c r="U237" i="7"/>
  <c r="U237" i="8"/>
  <c r="S239" i="8"/>
  <c r="S113" i="8" s="1"/>
  <c r="S239" i="7"/>
  <c r="S113" i="7" s="1"/>
  <c r="U233" i="7"/>
  <c r="U258" i="7" s="1"/>
  <c r="U233" i="8"/>
  <c r="U258" i="8" s="1"/>
  <c r="U241" i="8"/>
  <c r="U241" i="7"/>
  <c r="U410" i="7"/>
  <c r="U308" i="7" s="1"/>
  <c r="R114" i="8"/>
  <c r="R28" i="8" s="1"/>
  <c r="U410" i="8"/>
  <c r="U308" i="8" s="1"/>
  <c r="V241" i="7"/>
  <c r="V241" i="8"/>
  <c r="S245" i="7"/>
  <c r="S245" i="8"/>
  <c r="V233" i="8"/>
  <c r="V258" i="8" s="1"/>
  <c r="V233" i="7"/>
  <c r="V258" i="7" s="1"/>
  <c r="V237" i="7"/>
  <c r="V237" i="8"/>
  <c r="S260" i="8"/>
  <c r="S266" i="8"/>
  <c r="V409" i="8"/>
  <c r="V409" i="7"/>
  <c r="S235" i="8"/>
  <c r="S112" i="8" s="1"/>
  <c r="S235" i="7"/>
  <c r="S112" i="7" s="1"/>
  <c r="Y169" i="4"/>
  <c r="Y176" i="4" s="1"/>
  <c r="S266" i="7"/>
  <c r="S260" i="7"/>
  <c r="X180" i="4"/>
  <c r="R114" i="7"/>
  <c r="R28" i="7" s="1"/>
  <c r="X172" i="4"/>
  <c r="Y180" i="4" l="1"/>
  <c r="S120" i="8"/>
  <c r="S124" i="8"/>
  <c r="U29" i="8"/>
  <c r="S268" i="8"/>
  <c r="T245" i="8"/>
  <c r="T245" i="7"/>
  <c r="T260" i="7"/>
  <c r="T266" i="7"/>
  <c r="T235" i="7"/>
  <c r="T112" i="7" s="1"/>
  <c r="T235" i="8"/>
  <c r="T112" i="8" s="1"/>
  <c r="V245" i="7"/>
  <c r="V245" i="8"/>
  <c r="T266" i="8"/>
  <c r="T260" i="8"/>
  <c r="R30" i="8"/>
  <c r="R32" i="8" s="1"/>
  <c r="T239" i="8"/>
  <c r="T113" i="8" s="1"/>
  <c r="T239" i="7"/>
  <c r="T113" i="7" s="1"/>
  <c r="U29" i="7"/>
  <c r="AA169" i="4"/>
  <c r="Y172" i="4"/>
  <c r="V266" i="7"/>
  <c r="V260" i="7"/>
  <c r="V260" i="8"/>
  <c r="V266" i="8"/>
  <c r="S415" i="8"/>
  <c r="S415" i="7"/>
  <c r="U235" i="7"/>
  <c r="U112" i="7" s="1"/>
  <c r="U235" i="8"/>
  <c r="U112" i="8" s="1"/>
  <c r="S414" i="8"/>
  <c r="S414" i="7"/>
  <c r="R30" i="7"/>
  <c r="R32" i="7" s="1"/>
  <c r="V235" i="8"/>
  <c r="V112" i="8" s="1"/>
  <c r="V235" i="7"/>
  <c r="V112" i="7" s="1"/>
  <c r="S410" i="7"/>
  <c r="S308" i="7" s="1"/>
  <c r="U260" i="8"/>
  <c r="U266" i="8"/>
  <c r="S413" i="8"/>
  <c r="S413" i="7"/>
  <c r="U260" i="7"/>
  <c r="U266" i="7"/>
  <c r="S268" i="7"/>
  <c r="S410" i="8"/>
  <c r="S308" i="8" s="1"/>
  <c r="S244" i="7"/>
  <c r="S244" i="8"/>
  <c r="S114" i="8"/>
  <c r="S28" i="8" s="1"/>
  <c r="T407" i="7"/>
  <c r="T407" i="8"/>
  <c r="S247" i="7"/>
  <c r="S247" i="8"/>
  <c r="S120" i="7"/>
  <c r="S124" i="7"/>
  <c r="S114" i="7"/>
  <c r="S28" i="7" s="1"/>
  <c r="U245" i="8"/>
  <c r="U245" i="7"/>
  <c r="T247" i="7" l="1"/>
  <c r="T247" i="8"/>
  <c r="U120" i="8"/>
  <c r="U124" i="8"/>
  <c r="U120" i="7"/>
  <c r="U124" i="7"/>
  <c r="V407" i="7"/>
  <c r="V407" i="8"/>
  <c r="U239" i="7"/>
  <c r="U113" i="7" s="1"/>
  <c r="U239" i="8"/>
  <c r="U113" i="8" s="1"/>
  <c r="U114" i="8" s="1"/>
  <c r="U28" i="8" s="1"/>
  <c r="U268" i="7"/>
  <c r="T410" i="8"/>
  <c r="T308" i="8" s="1"/>
  <c r="T410" i="7"/>
  <c r="T308" i="7" s="1"/>
  <c r="T414" i="8"/>
  <c r="T414" i="7"/>
  <c r="S416" i="7"/>
  <c r="S416" i="8"/>
  <c r="T415" i="7"/>
  <c r="T415" i="8"/>
  <c r="U268" i="8"/>
  <c r="V268" i="8"/>
  <c r="T413" i="8"/>
  <c r="T413" i="7"/>
  <c r="T268" i="8"/>
  <c r="V244" i="8"/>
  <c r="V244" i="7"/>
  <c r="S29" i="7"/>
  <c r="S30" i="7" s="1"/>
  <c r="S32" i="7" s="1"/>
  <c r="V247" i="7"/>
  <c r="V247" i="8"/>
  <c r="U243" i="8"/>
  <c r="U243" i="7"/>
  <c r="V120" i="7"/>
  <c r="V124" i="7"/>
  <c r="V268" i="7"/>
  <c r="V120" i="8"/>
  <c r="V124" i="8"/>
  <c r="T124" i="8"/>
  <c r="T120" i="8"/>
  <c r="T114" i="8"/>
  <c r="T28" i="8" s="1"/>
  <c r="U244" i="7"/>
  <c r="U244" i="8"/>
  <c r="T124" i="7"/>
  <c r="T120" i="7"/>
  <c r="T114" i="7"/>
  <c r="T28" i="7" s="1"/>
  <c r="V239" i="8"/>
  <c r="V113" i="8" s="1"/>
  <c r="V114" i="8" s="1"/>
  <c r="V28" i="8" s="1"/>
  <c r="V239" i="7"/>
  <c r="V113" i="7" s="1"/>
  <c r="V114" i="7" s="1"/>
  <c r="V28" i="7" s="1"/>
  <c r="S243" i="8"/>
  <c r="S243" i="7"/>
  <c r="T268" i="7"/>
  <c r="U247" i="8"/>
  <c r="U247" i="7"/>
  <c r="T243" i="7"/>
  <c r="T243" i="8"/>
  <c r="S29" i="8"/>
  <c r="T244" i="8"/>
  <c r="T244" i="7"/>
  <c r="T29" i="7" l="1"/>
  <c r="T29" i="8"/>
  <c r="S30" i="8"/>
  <c r="S32" i="8" s="1"/>
  <c r="V415" i="7"/>
  <c r="V415" i="8"/>
  <c r="V413" i="8"/>
  <c r="V413" i="7"/>
  <c r="V414" i="8"/>
  <c r="V414" i="7"/>
  <c r="U114" i="7"/>
  <c r="U28" i="7" s="1"/>
  <c r="V243" i="7"/>
  <c r="V243" i="8"/>
  <c r="U30" i="8"/>
  <c r="U32" i="8" s="1"/>
  <c r="T416" i="7"/>
  <c r="T416" i="8"/>
  <c r="V416" i="7" l="1"/>
  <c r="V416" i="8"/>
  <c r="T30" i="7"/>
  <c r="T32" i="7" s="1"/>
  <c r="U30" i="7"/>
  <c r="U32" i="7" s="1"/>
  <c r="T30" i="8"/>
  <c r="T32" i="8" s="1"/>
  <c r="AA170" i="4" l="1"/>
  <c r="AA172" i="4" s="1"/>
  <c r="AA124" i="4"/>
  <c r="V408" i="8" l="1"/>
  <c r="V408" i="7"/>
  <c r="V410" i="7" l="1"/>
  <c r="V308" i="7" s="1"/>
  <c r="V410" i="8"/>
  <c r="V308" i="8" s="1"/>
  <c r="V29" i="8" l="1"/>
  <c r="V29" i="7"/>
  <c r="V30" i="7" l="1"/>
  <c r="V32" i="7" s="1"/>
  <c r="V30" i="8"/>
  <c r="V32" i="8" s="1"/>
  <c r="GB20" i="5" l="1"/>
  <c r="GB21" i="5" l="1"/>
  <c r="Q60" i="5" l="1"/>
  <c r="GJ35" i="5"/>
  <c r="GJ21" i="5"/>
  <c r="Q61" i="5"/>
  <c r="Q77" i="5" l="1"/>
  <c r="Q62" i="5"/>
  <c r="Q63" i="5" s="1"/>
  <c r="BX87" i="4" l="1"/>
  <c r="BY87" i="4" l="1"/>
  <c r="CA32" i="4"/>
  <c r="CA98" i="4" l="1"/>
  <c r="BZ87" i="4"/>
  <c r="Z40" i="4"/>
  <c r="Z42" i="4" l="1"/>
  <c r="CA87" i="4"/>
  <c r="V348" i="8"/>
  <c r="V348" i="7"/>
  <c r="Z65" i="4" l="1"/>
  <c r="V367" i="8"/>
  <c r="V368" i="8" s="1"/>
  <c r="V346" i="8"/>
  <c r="V344" i="8" s="1"/>
  <c r="V346" i="7"/>
  <c r="V344" i="7" s="1"/>
  <c r="V367" i="7"/>
  <c r="V368" i="7" s="1"/>
  <c r="AH150" i="4" l="1"/>
  <c r="AG148" i="4" l="1"/>
  <c r="BX83" i="4" l="1"/>
  <c r="O505" i="7" l="1"/>
  <c r="O505" i="8"/>
  <c r="N505" i="8"/>
  <c r="N505" i="7"/>
  <c r="P136" i="4"/>
  <c r="P137" i="4" s="1"/>
  <c r="L505" i="8"/>
  <c r="L505" i="7"/>
  <c r="P505" i="7"/>
  <c r="P505" i="8"/>
  <c r="H506" i="7"/>
  <c r="H506" i="8"/>
  <c r="N506" i="7"/>
  <c r="N506" i="8"/>
  <c r="S136" i="4"/>
  <c r="S137" i="4" s="1"/>
  <c r="P506" i="7"/>
  <c r="P506" i="8"/>
  <c r="G505" i="8"/>
  <c r="G505" i="7"/>
  <c r="J506" i="7"/>
  <c r="J506" i="8"/>
  <c r="T136" i="4"/>
  <c r="T137" i="4" s="1"/>
  <c r="O506" i="7"/>
  <c r="O506" i="8"/>
  <c r="I505" i="7"/>
  <c r="I505" i="8"/>
  <c r="K506" i="7"/>
  <c r="K506" i="8"/>
  <c r="U136" i="4"/>
  <c r="U137" i="4" s="1"/>
  <c r="L506" i="8"/>
  <c r="L506" i="7"/>
  <c r="Q136" i="4"/>
  <c r="Q137" i="4" s="1"/>
  <c r="BX89" i="4"/>
  <c r="BX78" i="4"/>
  <c r="K505" i="8"/>
  <c r="K505" i="7"/>
  <c r="G506" i="8"/>
  <c r="G506" i="7"/>
  <c r="M506" i="8"/>
  <c r="M506" i="7"/>
  <c r="BY83" i="4"/>
  <c r="BX90" i="4" l="1"/>
  <c r="O136" i="4"/>
  <c r="O137" i="4" s="1"/>
  <c r="M136" i="4"/>
  <c r="M137" i="4" s="1"/>
  <c r="R136" i="4"/>
  <c r="R137" i="4" s="1"/>
  <c r="Q506" i="8"/>
  <c r="Q506" i="7"/>
  <c r="I506" i="7"/>
  <c r="I506" i="8"/>
  <c r="L504" i="7"/>
  <c r="L507" i="7" s="1"/>
  <c r="L504" i="8"/>
  <c r="L507" i="8" s="1"/>
  <c r="O504" i="7"/>
  <c r="O507" i="7" s="1"/>
  <c r="O504" i="8"/>
  <c r="O507" i="8" s="1"/>
  <c r="J505" i="7"/>
  <c r="J505" i="8"/>
  <c r="P504" i="7"/>
  <c r="P507" i="7" s="1"/>
  <c r="P504" i="8"/>
  <c r="P507" i="8" s="1"/>
  <c r="Q504" i="8"/>
  <c r="Q504" i="7"/>
  <c r="H504" i="8"/>
  <c r="H504" i="7"/>
  <c r="M504" i="7"/>
  <c r="M504" i="8"/>
  <c r="N136" i="4"/>
  <c r="N137" i="4" s="1"/>
  <c r="J504" i="8"/>
  <c r="J504" i="7"/>
  <c r="I504" i="7"/>
  <c r="I504" i="8"/>
  <c r="K504" i="7"/>
  <c r="K507" i="7" s="1"/>
  <c r="K504" i="8"/>
  <c r="K507" i="8" s="1"/>
  <c r="CB68" i="4"/>
  <c r="CB97" i="4"/>
  <c r="BY89" i="4"/>
  <c r="BY78" i="4"/>
  <c r="H505" i="7"/>
  <c r="H505" i="8"/>
  <c r="G504" i="7"/>
  <c r="G507" i="7" s="1"/>
  <c r="G504" i="8"/>
  <c r="G507" i="8" s="1"/>
  <c r="M505" i="8"/>
  <c r="M505" i="7"/>
  <c r="N504" i="8"/>
  <c r="N507" i="8" s="1"/>
  <c r="N504" i="7"/>
  <c r="N507" i="7" s="1"/>
  <c r="BZ83" i="4"/>
  <c r="BY90" i="4" l="1"/>
  <c r="M507" i="8"/>
  <c r="I507" i="8"/>
  <c r="I507" i="7"/>
  <c r="CB19" i="4"/>
  <c r="AB19" i="4"/>
  <c r="J507" i="8"/>
  <c r="R506" i="8"/>
  <c r="R506" i="7"/>
  <c r="J507" i="7"/>
  <c r="M507" i="7"/>
  <c r="H507" i="7"/>
  <c r="H507" i="8"/>
  <c r="CB16" i="4"/>
  <c r="AB16" i="4"/>
  <c r="W335" i="7"/>
  <c r="W362" i="7" s="1"/>
  <c r="W364" i="7" s="1"/>
  <c r="W335" i="8"/>
  <c r="W362" i="8" s="1"/>
  <c r="W364" i="8" s="1"/>
  <c r="BZ89" i="4"/>
  <c r="BZ78" i="4"/>
  <c r="CA83" i="4"/>
  <c r="BZ90" i="4" l="1"/>
  <c r="AC16" i="4"/>
  <c r="W146" i="8"/>
  <c r="W146" i="7"/>
  <c r="CA89" i="4"/>
  <c r="CA78" i="4"/>
  <c r="S506" i="8"/>
  <c r="S506" i="7"/>
  <c r="W333" i="7"/>
  <c r="W333" i="8"/>
  <c r="CC68" i="4"/>
  <c r="CC97" i="4"/>
  <c r="CB20" i="4"/>
  <c r="AB20" i="4"/>
  <c r="CC16" i="4"/>
  <c r="CA90" i="4" l="1"/>
  <c r="AD16" i="4"/>
  <c r="CB89" i="4"/>
  <c r="AC19" i="4"/>
  <c r="AC20" i="4" s="1"/>
  <c r="T506" i="8"/>
  <c r="T506" i="7"/>
  <c r="X146" i="7"/>
  <c r="X146" i="8"/>
  <c r="AD19" i="4"/>
  <c r="CC19" i="4"/>
  <c r="CC20" i="4" s="1"/>
  <c r="X335" i="7"/>
  <c r="X362" i="7" s="1"/>
  <c r="X364" i="7" s="1"/>
  <c r="X335" i="8"/>
  <c r="X362" i="8" s="1"/>
  <c r="X364" i="8" s="1"/>
  <c r="CD68" i="4"/>
  <c r="CD97" i="4"/>
  <c r="CD16" i="4"/>
  <c r="AD20" i="4" l="1"/>
  <c r="CC89" i="4"/>
  <c r="AE16" i="4"/>
  <c r="CD19" i="4"/>
  <c r="CD20" i="4" s="1"/>
  <c r="Y335" i="7"/>
  <c r="Y362" i="7" s="1"/>
  <c r="Y364" i="7" s="1"/>
  <c r="Y335" i="8"/>
  <c r="Y362" i="8" s="1"/>
  <c r="Y364" i="8" s="1"/>
  <c r="U506" i="8"/>
  <c r="U506" i="7"/>
  <c r="CE97" i="4"/>
  <c r="CE68" i="4"/>
  <c r="X333" i="7"/>
  <c r="X333" i="8"/>
  <c r="CE16" i="4"/>
  <c r="CE19" i="4" l="1"/>
  <c r="CE20" i="4" s="1"/>
  <c r="AF16" i="4"/>
  <c r="AE19" i="4"/>
  <c r="AE20" i="4" s="1"/>
  <c r="Y333" i="8"/>
  <c r="Y333" i="7"/>
  <c r="V506" i="7"/>
  <c r="V506" i="8"/>
  <c r="CF68" i="4"/>
  <c r="CF97" i="4"/>
  <c r="CD89" i="4"/>
  <c r="Z335" i="7"/>
  <c r="Z362" i="7" s="1"/>
  <c r="Z364" i="7" s="1"/>
  <c r="Z335" i="8"/>
  <c r="Z362" i="8" s="1"/>
  <c r="Z364" i="8" s="1"/>
  <c r="Y146" i="7"/>
  <c r="Y146" i="8"/>
  <c r="CF16" i="4"/>
  <c r="AG16" i="4" l="1"/>
  <c r="Z333" i="8"/>
  <c r="Z333" i="7"/>
  <c r="AA146" i="8"/>
  <c r="AA146" i="7"/>
  <c r="Z146" i="8"/>
  <c r="Z146" i="7"/>
  <c r="CG97" i="4"/>
  <c r="CG68" i="4"/>
  <c r="AA335" i="8"/>
  <c r="AA362" i="8" s="1"/>
  <c r="AA364" i="8" s="1"/>
  <c r="AA335" i="7"/>
  <c r="AA362" i="7" s="1"/>
  <c r="AA364" i="7" s="1"/>
  <c r="BO73" i="4"/>
  <c r="BO74" i="4"/>
  <c r="CE89" i="4"/>
  <c r="AF19" i="4"/>
  <c r="AF20" i="4" s="1"/>
  <c r="CF19" i="4"/>
  <c r="CF20" i="4" s="1"/>
  <c r="CG16" i="4"/>
  <c r="AG19" i="4" l="1"/>
  <c r="AG20" i="4" s="1"/>
  <c r="CG19" i="4"/>
  <c r="CG20" i="4" s="1"/>
  <c r="BP73" i="4"/>
  <c r="CF89" i="4"/>
  <c r="BP74" i="4"/>
  <c r="AA333" i="8"/>
  <c r="AA333" i="7"/>
  <c r="CG89" i="4" l="1"/>
  <c r="BQ74" i="4"/>
  <c r="BQ73" i="4"/>
  <c r="G150" i="4" l="1"/>
  <c r="G145" i="4"/>
  <c r="H150" i="4"/>
  <c r="H145" i="4"/>
  <c r="AG150" i="4"/>
  <c r="Y150" i="4"/>
  <c r="U145" i="4"/>
  <c r="S145" i="4"/>
  <c r="Q145" i="4"/>
  <c r="Q150" i="4"/>
  <c r="P145" i="4"/>
  <c r="M145" i="4"/>
  <c r="K145" i="4"/>
  <c r="I150" i="4"/>
  <c r="I145" i="4"/>
  <c r="K150" i="4"/>
  <c r="AC150" i="4"/>
  <c r="M150" i="4"/>
  <c r="AF150" i="4"/>
  <c r="K148" i="4"/>
  <c r="M148" i="4"/>
  <c r="R144" i="4" l="1"/>
  <c r="AD150" i="4"/>
  <c r="D72" i="8"/>
  <c r="D72" i="7"/>
  <c r="U75" i="8"/>
  <c r="U75" i="7"/>
  <c r="R148" i="4"/>
  <c r="R145" i="4"/>
  <c r="R150" i="4"/>
  <c r="S72" i="7"/>
  <c r="S72" i="8"/>
  <c r="N144" i="4"/>
  <c r="F72" i="7"/>
  <c r="F72" i="8"/>
  <c r="Y148" i="4"/>
  <c r="Q148" i="4"/>
  <c r="Q144" i="4"/>
  <c r="N150" i="4"/>
  <c r="N148" i="4"/>
  <c r="N145" i="4"/>
  <c r="T72" i="8"/>
  <c r="T72" i="7"/>
  <c r="K144" i="4"/>
  <c r="AB150" i="4"/>
  <c r="AB148" i="4"/>
  <c r="S144" i="4"/>
  <c r="V148" i="4"/>
  <c r="V150" i="4"/>
  <c r="V75" i="8"/>
  <c r="V75" i="7"/>
  <c r="P150" i="4"/>
  <c r="O150" i="4"/>
  <c r="O145" i="4"/>
  <c r="H72" i="7"/>
  <c r="H72" i="8"/>
  <c r="Q75" i="8"/>
  <c r="Q75" i="7"/>
  <c r="L150" i="4"/>
  <c r="L145" i="4"/>
  <c r="X72" i="8"/>
  <c r="X72" i="7"/>
  <c r="I144" i="4"/>
  <c r="X150" i="4"/>
  <c r="W150" i="4"/>
  <c r="K72" i="7"/>
  <c r="K72" i="8"/>
  <c r="W75" i="7"/>
  <c r="W75" i="8"/>
  <c r="AF148" i="4"/>
  <c r="AE150" i="4"/>
  <c r="AE148" i="4"/>
  <c r="AA72" i="7"/>
  <c r="AA72" i="8"/>
  <c r="Z75" i="7"/>
  <c r="Z75" i="8"/>
  <c r="Z148" i="4"/>
  <c r="Z150" i="4"/>
  <c r="P148" i="4"/>
  <c r="P144" i="4"/>
  <c r="AA148" i="4"/>
  <c r="AA150" i="4"/>
  <c r="L72" i="7"/>
  <c r="L72" i="8"/>
  <c r="C72" i="8"/>
  <c r="C72" i="7"/>
  <c r="AA75" i="7"/>
  <c r="AA75" i="8"/>
  <c r="S150" i="4"/>
  <c r="T75" i="8"/>
  <c r="T75" i="7"/>
  <c r="S148" i="4"/>
  <c r="M144" i="4"/>
  <c r="T145" i="4"/>
  <c r="T150" i="4"/>
  <c r="N72" i="8"/>
  <c r="N72" i="7"/>
  <c r="U148" i="4"/>
  <c r="U144" i="4"/>
  <c r="I148" i="4"/>
  <c r="H148" i="4"/>
  <c r="H144" i="4"/>
  <c r="J145" i="4"/>
  <c r="J148" i="4"/>
  <c r="J150" i="4"/>
  <c r="U150" i="4"/>
  <c r="B72" i="8"/>
  <c r="B72" i="7"/>
  <c r="J144" i="4"/>
  <c r="P72" i="8"/>
  <c r="P72" i="7"/>
  <c r="T148" i="4"/>
  <c r="T77" i="8" l="1"/>
  <c r="T73" i="8"/>
  <c r="AA77" i="8"/>
  <c r="L148" i="4"/>
  <c r="L144" i="4"/>
  <c r="E72" i="8"/>
  <c r="E72" i="7"/>
  <c r="F73" i="7" s="1"/>
  <c r="V72" i="7"/>
  <c r="V72" i="8"/>
  <c r="F75" i="7"/>
  <c r="F77" i="7" s="1"/>
  <c r="F75" i="8"/>
  <c r="G144" i="4"/>
  <c r="G148" i="4"/>
  <c r="K81" i="8"/>
  <c r="K80" i="8"/>
  <c r="H81" i="8"/>
  <c r="H80" i="8"/>
  <c r="T73" i="7"/>
  <c r="T77" i="7"/>
  <c r="C75" i="8"/>
  <c r="C75" i="7"/>
  <c r="C77" i="7" s="1"/>
  <c r="K75" i="7"/>
  <c r="K77" i="7" s="1"/>
  <c r="K75" i="8"/>
  <c r="H81" i="7"/>
  <c r="H80" i="7"/>
  <c r="M72" i="7"/>
  <c r="M72" i="8"/>
  <c r="N73" i="8" s="1"/>
  <c r="Y75" i="7"/>
  <c r="Y75" i="8"/>
  <c r="K80" i="7"/>
  <c r="K81" i="7"/>
  <c r="U72" i="8"/>
  <c r="U72" i="7"/>
  <c r="AC148" i="4"/>
  <c r="P81" i="7"/>
  <c r="P80" i="7"/>
  <c r="P75" i="8"/>
  <c r="P77" i="8" s="1"/>
  <c r="P75" i="7"/>
  <c r="AA77" i="7"/>
  <c r="W148" i="4"/>
  <c r="J72" i="8"/>
  <c r="J72" i="7"/>
  <c r="K73" i="7" s="1"/>
  <c r="R72" i="7"/>
  <c r="R72" i="8"/>
  <c r="I72" i="7"/>
  <c r="I72" i="8"/>
  <c r="C80" i="7"/>
  <c r="C73" i="7"/>
  <c r="C81" i="7"/>
  <c r="P80" i="8"/>
  <c r="P81" i="8"/>
  <c r="D75" i="7"/>
  <c r="D75" i="8"/>
  <c r="L75" i="7"/>
  <c r="L77" i="7" s="1"/>
  <c r="L75" i="8"/>
  <c r="L77" i="8" s="1"/>
  <c r="N81" i="7"/>
  <c r="N80" i="7"/>
  <c r="D73" i="7"/>
  <c r="D81" i="7"/>
  <c r="D80" i="7"/>
  <c r="E75" i="8"/>
  <c r="E75" i="7"/>
  <c r="N80" i="8"/>
  <c r="N81" i="8"/>
  <c r="C80" i="8"/>
  <c r="C73" i="8"/>
  <c r="C81" i="8"/>
  <c r="Q72" i="8"/>
  <c r="Q72" i="7"/>
  <c r="Z72" i="8"/>
  <c r="Z72" i="7"/>
  <c r="N75" i="8"/>
  <c r="N77" i="8" s="1"/>
  <c r="N75" i="7"/>
  <c r="N77" i="7" s="1"/>
  <c r="D73" i="8"/>
  <c r="D80" i="8"/>
  <c r="D81" i="8"/>
  <c r="F81" i="8"/>
  <c r="F80" i="8"/>
  <c r="F77" i="8"/>
  <c r="AD148" i="4"/>
  <c r="B81" i="7"/>
  <c r="B80" i="7"/>
  <c r="L81" i="8"/>
  <c r="L73" i="8"/>
  <c r="L80" i="8"/>
  <c r="T144" i="4"/>
  <c r="B80" i="8"/>
  <c r="B81" i="8"/>
  <c r="O72" i="8"/>
  <c r="P73" i="8" s="1"/>
  <c r="O72" i="7"/>
  <c r="L73" i="7"/>
  <c r="L80" i="7"/>
  <c r="L81" i="7"/>
  <c r="G72" i="8"/>
  <c r="G72" i="7"/>
  <c r="F81" i="7"/>
  <c r="F80" i="7"/>
  <c r="W72" i="8"/>
  <c r="W72" i="7"/>
  <c r="Y72" i="8"/>
  <c r="Y72" i="7"/>
  <c r="Y73" i="7" s="1"/>
  <c r="O148" i="4"/>
  <c r="O144" i="4"/>
  <c r="H75" i="8"/>
  <c r="H75" i="7"/>
  <c r="I75" i="7"/>
  <c r="I75" i="8"/>
  <c r="X148" i="4"/>
  <c r="R75" i="7"/>
  <c r="R75" i="8"/>
  <c r="M75" i="8"/>
  <c r="M75" i="7"/>
  <c r="B82" i="8" l="1"/>
  <c r="C82" i="8"/>
  <c r="K82" i="8"/>
  <c r="L82" i="7"/>
  <c r="H82" i="8"/>
  <c r="L82" i="8"/>
  <c r="D82" i="7"/>
  <c r="C82" i="7"/>
  <c r="P82" i="7"/>
  <c r="N85" i="8"/>
  <c r="N84" i="8"/>
  <c r="I77" i="7"/>
  <c r="I73" i="7"/>
  <c r="I80" i="7"/>
  <c r="I81" i="7"/>
  <c r="U73" i="7"/>
  <c r="U77" i="7"/>
  <c r="I84" i="7"/>
  <c r="I85" i="7"/>
  <c r="B75" i="7"/>
  <c r="B75" i="8"/>
  <c r="Z77" i="7"/>
  <c r="Z73" i="7"/>
  <c r="D77" i="8"/>
  <c r="D85" i="8"/>
  <c r="D84" i="8"/>
  <c r="U77" i="8"/>
  <c r="U73" i="8"/>
  <c r="K85" i="8"/>
  <c r="K84" i="8"/>
  <c r="F85" i="8"/>
  <c r="F84" i="8"/>
  <c r="R73" i="8"/>
  <c r="R77" i="8"/>
  <c r="O75" i="8"/>
  <c r="O75" i="7"/>
  <c r="H77" i="7"/>
  <c r="H85" i="7"/>
  <c r="H84" i="7"/>
  <c r="H73" i="7"/>
  <c r="G81" i="7"/>
  <c r="G80" i="7"/>
  <c r="G73" i="7"/>
  <c r="N82" i="8"/>
  <c r="D77" i="7"/>
  <c r="D84" i="7"/>
  <c r="D85" i="7"/>
  <c r="R73" i="7"/>
  <c r="R77" i="7"/>
  <c r="K84" i="7"/>
  <c r="K85" i="7"/>
  <c r="F84" i="7"/>
  <c r="F85" i="7"/>
  <c r="G73" i="8"/>
  <c r="G81" i="8"/>
  <c r="G80" i="8"/>
  <c r="J80" i="7"/>
  <c r="J73" i="7"/>
  <c r="J81" i="7"/>
  <c r="AA73" i="8"/>
  <c r="Z77" i="8"/>
  <c r="Z73" i="8"/>
  <c r="H77" i="8"/>
  <c r="H85" i="8"/>
  <c r="H84" i="8"/>
  <c r="J75" i="7"/>
  <c r="J75" i="8"/>
  <c r="E85" i="8"/>
  <c r="E84" i="8"/>
  <c r="K73" i="8"/>
  <c r="J80" i="8"/>
  <c r="J73" i="8"/>
  <c r="J81" i="8"/>
  <c r="K82" i="7"/>
  <c r="C85" i="7"/>
  <c r="C84" i="7"/>
  <c r="B82" i="7"/>
  <c r="AA73" i="7"/>
  <c r="C77" i="8"/>
  <c r="C85" i="8"/>
  <c r="C84" i="8"/>
  <c r="V77" i="8"/>
  <c r="V73" i="8"/>
  <c r="E84" i="7"/>
  <c r="E85" i="7"/>
  <c r="M84" i="7"/>
  <c r="M85" i="7"/>
  <c r="Q77" i="7"/>
  <c r="Q73" i="7"/>
  <c r="Y77" i="7"/>
  <c r="V77" i="7"/>
  <c r="V73" i="7"/>
  <c r="M85" i="8"/>
  <c r="M84" i="8"/>
  <c r="P82" i="8"/>
  <c r="S73" i="8"/>
  <c r="Y73" i="8"/>
  <c r="Y77" i="8"/>
  <c r="Q77" i="8"/>
  <c r="Q73" i="8"/>
  <c r="P84" i="7"/>
  <c r="P85" i="7"/>
  <c r="E80" i="7"/>
  <c r="E73" i="7"/>
  <c r="E77" i="7"/>
  <c r="E81" i="7"/>
  <c r="X73" i="7"/>
  <c r="W73" i="7"/>
  <c r="W77" i="7"/>
  <c r="F82" i="8"/>
  <c r="W77" i="8"/>
  <c r="W73" i="8"/>
  <c r="X73" i="8"/>
  <c r="N82" i="7"/>
  <c r="P84" i="8"/>
  <c r="P85" i="8"/>
  <c r="M81" i="8"/>
  <c r="M73" i="8"/>
  <c r="M80" i="8"/>
  <c r="M77" i="8"/>
  <c r="H73" i="8"/>
  <c r="F73" i="8"/>
  <c r="E73" i="8"/>
  <c r="E80" i="8"/>
  <c r="E77" i="8"/>
  <c r="E81" i="8"/>
  <c r="P73" i="7"/>
  <c r="O80" i="7"/>
  <c r="O73" i="7"/>
  <c r="O81" i="7"/>
  <c r="O73" i="8"/>
  <c r="O81" i="8"/>
  <c r="O80" i="8"/>
  <c r="D82" i="8"/>
  <c r="P77" i="7"/>
  <c r="N73" i="7"/>
  <c r="M80" i="7"/>
  <c r="M73" i="7"/>
  <c r="M81" i="7"/>
  <c r="M77" i="7"/>
  <c r="K77" i="8"/>
  <c r="N85" i="7"/>
  <c r="N84" i="7"/>
  <c r="I73" i="8"/>
  <c r="I81" i="8"/>
  <c r="I80" i="8"/>
  <c r="I77" i="8"/>
  <c r="L84" i="8"/>
  <c r="L85" i="8"/>
  <c r="S73" i="7"/>
  <c r="G75" i="7"/>
  <c r="G77" i="7" s="1"/>
  <c r="G75" i="8"/>
  <c r="G77" i="8" s="1"/>
  <c r="S75" i="8"/>
  <c r="S77" i="8" s="1"/>
  <c r="S75" i="7"/>
  <c r="S77" i="7" s="1"/>
  <c r="I85" i="8"/>
  <c r="I84" i="8"/>
  <c r="F82" i="7"/>
  <c r="L84" i="7"/>
  <c r="L85" i="7"/>
  <c r="X75" i="7"/>
  <c r="X77" i="7" s="1"/>
  <c r="X75" i="8"/>
  <c r="X77" i="8" s="1"/>
  <c r="H82" i="7"/>
  <c r="M86" i="7" l="1"/>
  <c r="D86" i="8"/>
  <c r="G82" i="8"/>
  <c r="H86" i="8"/>
  <c r="C86" i="7"/>
  <c r="I86" i="8"/>
  <c r="E82" i="7"/>
  <c r="N86" i="8"/>
  <c r="M86" i="8"/>
  <c r="L86" i="8"/>
  <c r="I82" i="8"/>
  <c r="I86" i="7"/>
  <c r="K86" i="7"/>
  <c r="F86" i="8"/>
  <c r="G82" i="7"/>
  <c r="J82" i="7"/>
  <c r="O82" i="8"/>
  <c r="J82" i="8"/>
  <c r="H86" i="7"/>
  <c r="E86" i="8"/>
  <c r="O82" i="7"/>
  <c r="B84" i="8"/>
  <c r="B85" i="8"/>
  <c r="B77" i="8"/>
  <c r="L86" i="7"/>
  <c r="N86" i="7"/>
  <c r="O77" i="7"/>
  <c r="O85" i="7"/>
  <c r="O84" i="7"/>
  <c r="B84" i="7"/>
  <c r="B85" i="7"/>
  <c r="B77" i="7"/>
  <c r="J77" i="8"/>
  <c r="J85" i="8"/>
  <c r="J84" i="8"/>
  <c r="F86" i="7"/>
  <c r="O77" i="8"/>
  <c r="O85" i="8"/>
  <c r="O84" i="8"/>
  <c r="E82" i="8"/>
  <c r="E86" i="7"/>
  <c r="J84" i="7"/>
  <c r="J85" i="7"/>
  <c r="M82" i="7"/>
  <c r="P86" i="7"/>
  <c r="C86" i="8"/>
  <c r="M82" i="8"/>
  <c r="D86" i="7"/>
  <c r="I82" i="7"/>
  <c r="K86" i="8"/>
  <c r="J77" i="7"/>
  <c r="G85" i="8"/>
  <c r="G84" i="8"/>
  <c r="G85" i="7"/>
  <c r="G84" i="7"/>
  <c r="P86" i="8"/>
  <c r="G86" i="7" l="1"/>
  <c r="J86" i="7"/>
  <c r="B86" i="8"/>
  <c r="G86" i="8"/>
  <c r="J86" i="8"/>
  <c r="B86" i="7"/>
  <c r="O86" i="7"/>
  <c r="O86" i="8"/>
  <c r="CB94" i="4" l="1"/>
  <c r="CB103" i="4"/>
  <c r="W190" i="8" l="1"/>
  <c r="W190" i="7"/>
  <c r="W144" i="7"/>
  <c r="W144" i="8"/>
  <c r="W142" i="7" l="1"/>
  <c r="W154" i="7" s="1"/>
  <c r="W142" i="8"/>
  <c r="W154" i="8" s="1"/>
  <c r="W148" i="8"/>
  <c r="W148" i="7"/>
  <c r="W188" i="7"/>
  <c r="W196" i="7" s="1"/>
  <c r="W188" i="8"/>
  <c r="W196" i="8" s="1"/>
  <c r="CC103" i="4"/>
  <c r="CC94" i="4"/>
  <c r="W189" i="8"/>
  <c r="W189" i="7"/>
  <c r="W143" i="7"/>
  <c r="W155" i="7" s="1"/>
  <c r="W166" i="7" s="1"/>
  <c r="W143" i="8"/>
  <c r="W155" i="8" s="1"/>
  <c r="W166" i="8" s="1"/>
  <c r="CE103" i="4" l="1"/>
  <c r="CE94" i="4"/>
  <c r="W259" i="8"/>
  <c r="W267" i="8" s="1"/>
  <c r="W278" i="8" s="1"/>
  <c r="W197" i="8"/>
  <c r="W208" i="8" s="1"/>
  <c r="X190" i="7"/>
  <c r="X190" i="8"/>
  <c r="W156" i="8"/>
  <c r="W104" i="8" s="1"/>
  <c r="X144" i="8"/>
  <c r="X144" i="7"/>
  <c r="W147" i="8"/>
  <c r="W147" i="7"/>
  <c r="CD103" i="4"/>
  <c r="CD94" i="4"/>
  <c r="W259" i="7"/>
  <c r="W267" i="7" s="1"/>
  <c r="W278" i="7" s="1"/>
  <c r="W197" i="7"/>
  <c r="W208" i="7" s="1"/>
  <c r="W156" i="7"/>
  <c r="W104" i="7" s="1"/>
  <c r="W198" i="7" l="1"/>
  <c r="W108" i="7" s="1"/>
  <c r="W116" i="7" s="1"/>
  <c r="Y190" i="7"/>
  <c r="Y190" i="8"/>
  <c r="W198" i="8"/>
  <c r="W108" i="8" s="1"/>
  <c r="W116" i="8" s="1"/>
  <c r="X189" i="7"/>
  <c r="X189" i="8"/>
  <c r="X142" i="7"/>
  <c r="X154" i="7" s="1"/>
  <c r="X142" i="8"/>
  <c r="X154" i="8" s="1"/>
  <c r="Z144" i="8"/>
  <c r="Z144" i="7"/>
  <c r="X148" i="7"/>
  <c r="X148" i="8"/>
  <c r="X188" i="8"/>
  <c r="X196" i="8" s="1"/>
  <c r="X188" i="7"/>
  <c r="X196" i="7" s="1"/>
  <c r="Z190" i="8"/>
  <c r="Z190" i="7"/>
  <c r="Y144" i="7"/>
  <c r="Y144" i="8"/>
  <c r="X143" i="8"/>
  <c r="X155" i="8" s="1"/>
  <c r="X166" i="8" s="1"/>
  <c r="X143" i="7"/>
  <c r="X155" i="7" s="1"/>
  <c r="X166" i="7" s="1"/>
  <c r="X156" i="8" l="1"/>
  <c r="X104" i="8" s="1"/>
  <c r="Y142" i="7"/>
  <c r="Y154" i="7" s="1"/>
  <c r="Y142" i="8"/>
  <c r="Y154" i="8" s="1"/>
  <c r="CF103" i="4"/>
  <c r="CF94" i="4"/>
  <c r="X197" i="7"/>
  <c r="X208" i="7" s="1"/>
  <c r="X259" i="7"/>
  <c r="X267" i="7" s="1"/>
  <c r="X278" i="7" s="1"/>
  <c r="Z143" i="8"/>
  <c r="Z155" i="8" s="1"/>
  <c r="Z166" i="8" s="1"/>
  <c r="Z143" i="7"/>
  <c r="Z155" i="7" s="1"/>
  <c r="Z166" i="7" s="1"/>
  <c r="Y148" i="8"/>
  <c r="Y148" i="7"/>
  <c r="Z148" i="7"/>
  <c r="Z148" i="8"/>
  <c r="X156" i="7"/>
  <c r="X104" i="7" s="1"/>
  <c r="Y189" i="8"/>
  <c r="Y189" i="7"/>
  <c r="Y143" i="8"/>
  <c r="Y155" i="8" s="1"/>
  <c r="Y166" i="8" s="1"/>
  <c r="Y143" i="7"/>
  <c r="Y155" i="7" s="1"/>
  <c r="Y166" i="7" s="1"/>
  <c r="CG94" i="4"/>
  <c r="CG103" i="4"/>
  <c r="Z188" i="7"/>
  <c r="Z196" i="7" s="1"/>
  <c r="Z188" i="8"/>
  <c r="Z196" i="8" s="1"/>
  <c r="X147" i="7"/>
  <c r="X147" i="8"/>
  <c r="Z189" i="7"/>
  <c r="Z189" i="8"/>
  <c r="X259" i="8"/>
  <c r="X267" i="8" s="1"/>
  <c r="X278" i="8" s="1"/>
  <c r="X197" i="8"/>
  <c r="X208" i="8" s="1"/>
  <c r="X198" i="7" l="1"/>
  <c r="X108" i="7" s="1"/>
  <c r="AA190" i="8"/>
  <c r="AA190" i="7"/>
  <c r="Y259" i="7"/>
  <c r="Y267" i="7" s="1"/>
  <c r="Y278" i="7" s="1"/>
  <c r="Y197" i="7"/>
  <c r="Y208" i="7" s="1"/>
  <c r="X116" i="7"/>
  <c r="Y188" i="7"/>
  <c r="Y196" i="7" s="1"/>
  <c r="Y188" i="8"/>
  <c r="Y196" i="8" s="1"/>
  <c r="AA144" i="8"/>
  <c r="AA144" i="7"/>
  <c r="Z147" i="7"/>
  <c r="Z147" i="8"/>
  <c r="Y156" i="8"/>
  <c r="Y104" i="8" s="1"/>
  <c r="Y147" i="7"/>
  <c r="Y147" i="8"/>
  <c r="Z142" i="8"/>
  <c r="Z154" i="8" s="1"/>
  <c r="Z156" i="8" s="1"/>
  <c r="Z104" i="8" s="1"/>
  <c r="Z142" i="7"/>
  <c r="Z154" i="7" s="1"/>
  <c r="Z156" i="7" s="1"/>
  <c r="Z104" i="7" s="1"/>
  <c r="Y156" i="7"/>
  <c r="Y104" i="7" s="1"/>
  <c r="Y197" i="8"/>
  <c r="Y208" i="8" s="1"/>
  <c r="Y259" i="8"/>
  <c r="Y267" i="8" s="1"/>
  <c r="Y278" i="8" s="1"/>
  <c r="Z197" i="8"/>
  <c r="Z208" i="8" s="1"/>
  <c r="Z259" i="8"/>
  <c r="Z267" i="8" s="1"/>
  <c r="Z278" i="8" s="1"/>
  <c r="Z259" i="7"/>
  <c r="Z267" i="7" s="1"/>
  <c r="Z278" i="7" s="1"/>
  <c r="Z197" i="7"/>
  <c r="Z208" i="7" s="1"/>
  <c r="X198" i="8"/>
  <c r="X108" i="8" s="1"/>
  <c r="X116" i="8" s="1"/>
  <c r="Y198" i="8" l="1"/>
  <c r="Y108" i="8" s="1"/>
  <c r="Y116" i="8" s="1"/>
  <c r="Y198" i="7"/>
  <c r="Y108" i="7" s="1"/>
  <c r="Z198" i="8"/>
  <c r="Z108" i="8" s="1"/>
  <c r="Z116" i="8" s="1"/>
  <c r="AA148" i="8"/>
  <c r="AA148" i="7"/>
  <c r="Z198" i="7"/>
  <c r="Z108" i="7" s="1"/>
  <c r="Z116" i="7" s="1"/>
  <c r="AA188" i="7"/>
  <c r="AA196" i="7" s="1"/>
  <c r="AA188" i="8"/>
  <c r="AA196" i="8" s="1"/>
  <c r="AA142" i="8"/>
  <c r="AA154" i="8" s="1"/>
  <c r="AA142" i="7"/>
  <c r="AA154" i="7" s="1"/>
  <c r="AA143" i="8"/>
  <c r="AA155" i="8" s="1"/>
  <c r="AA166" i="8" s="1"/>
  <c r="AA143" i="7"/>
  <c r="AA155" i="7" s="1"/>
  <c r="AA166" i="7" s="1"/>
  <c r="AA189" i="8"/>
  <c r="AA189" i="7"/>
  <c r="Y116" i="7"/>
  <c r="AA259" i="7" l="1"/>
  <c r="AA267" i="7" s="1"/>
  <c r="AA278" i="7" s="1"/>
  <c r="AA197" i="7"/>
  <c r="AA208" i="7" s="1"/>
  <c r="AA259" i="8"/>
  <c r="AA267" i="8" s="1"/>
  <c r="AA278" i="8" s="1"/>
  <c r="AA197" i="8"/>
  <c r="AA208" i="8" s="1"/>
  <c r="AA156" i="7"/>
  <c r="AA104" i="7" s="1"/>
  <c r="AA156" i="8"/>
  <c r="AA104" i="8" s="1"/>
  <c r="AA147" i="8"/>
  <c r="AA147" i="7"/>
  <c r="AA198" i="8" l="1"/>
  <c r="AA108" i="8" s="1"/>
  <c r="AA116" i="8" s="1"/>
  <c r="AA198" i="7"/>
  <c r="AA108" i="7" s="1"/>
  <c r="AA116" i="7" s="1"/>
  <c r="W374" i="8" l="1"/>
  <c r="W374" i="7"/>
  <c r="W384" i="7"/>
  <c r="W384" i="8"/>
  <c r="W383" i="8"/>
  <c r="W383" i="7"/>
  <c r="W382" i="7" l="1"/>
  <c r="W382" i="8"/>
  <c r="W373" i="7"/>
  <c r="W352" i="7" s="1"/>
  <c r="W356" i="7" s="1"/>
  <c r="W373" i="8"/>
  <c r="W352" i="8" s="1"/>
  <c r="W356" i="8" s="1"/>
  <c r="W385" i="8" l="1"/>
  <c r="W306" i="8" s="1"/>
  <c r="W388" i="7"/>
  <c r="W388" i="8"/>
  <c r="W390" i="8"/>
  <c r="W390" i="7"/>
  <c r="W389" i="7"/>
  <c r="W389" i="8"/>
  <c r="W385" i="7"/>
  <c r="W306" i="7" s="1"/>
  <c r="W22" i="7" l="1"/>
  <c r="W391" i="8"/>
  <c r="W391" i="7"/>
  <c r="W22" i="8"/>
  <c r="W348" i="7" l="1"/>
  <c r="W348" i="8"/>
  <c r="W457" i="7" l="1"/>
  <c r="W457" i="8"/>
  <c r="W346" i="8"/>
  <c r="W344" i="8" s="1"/>
  <c r="W367" i="8"/>
  <c r="W368" i="8" s="1"/>
  <c r="W359" i="8"/>
  <c r="W304" i="8" s="1"/>
  <c r="W470" i="8"/>
  <c r="W24" i="8" s="1"/>
  <c r="W45" i="8" s="1"/>
  <c r="W470" i="7"/>
  <c r="W24" i="7" s="1"/>
  <c r="W45" i="7" s="1"/>
  <c r="W367" i="7"/>
  <c r="W368" i="7" s="1"/>
  <c r="W359" i="7"/>
  <c r="W304" i="7" s="1"/>
  <c r="W346" i="7"/>
  <c r="W344" i="7" s="1"/>
  <c r="X348" i="7"/>
  <c r="X348" i="8"/>
  <c r="W310" i="8" l="1"/>
  <c r="W15" i="8"/>
  <c r="Y348" i="7"/>
  <c r="Y348" i="8"/>
  <c r="W310" i="7"/>
  <c r="W15" i="7"/>
  <c r="W17" i="7"/>
  <c r="W480" i="7"/>
  <c r="W17" i="8"/>
  <c r="W480" i="8"/>
  <c r="X346" i="8"/>
  <c r="X344" i="8" s="1"/>
  <c r="X367" i="8"/>
  <c r="X368" i="8" s="1"/>
  <c r="X346" i="7"/>
  <c r="X344" i="7" s="1"/>
  <c r="X367" i="7"/>
  <c r="X368" i="7" s="1"/>
  <c r="W52" i="7" l="1"/>
  <c r="W38" i="7"/>
  <c r="Y346" i="7"/>
  <c r="Y344" i="7" s="1"/>
  <c r="Y367" i="7"/>
  <c r="Y368" i="7" s="1"/>
  <c r="W36" i="8"/>
  <c r="W36" i="7"/>
  <c r="Z348" i="8"/>
  <c r="Z348" i="7"/>
  <c r="W52" i="8"/>
  <c r="W38" i="8"/>
  <c r="Y346" i="8"/>
  <c r="Y344" i="8" s="1"/>
  <c r="Y367" i="8"/>
  <c r="Y368" i="8" s="1"/>
  <c r="Z346" i="7" l="1"/>
  <c r="Z344" i="7" s="1"/>
  <c r="Z367" i="7"/>
  <c r="Z368" i="7" s="1"/>
  <c r="AA348" i="8"/>
  <c r="AA348" i="7"/>
  <c r="Z346" i="8"/>
  <c r="Z344" i="8" s="1"/>
  <c r="Z367" i="8"/>
  <c r="Z368" i="8" s="1"/>
  <c r="AA346" i="7" l="1"/>
  <c r="AA344" i="7" s="1"/>
  <c r="AA367" i="7"/>
  <c r="AA368" i="7" s="1"/>
  <c r="AA367" i="8"/>
  <c r="AA368" i="8" s="1"/>
  <c r="AA346" i="8"/>
  <c r="AA344" i="8" s="1"/>
  <c r="R160" i="8" l="1"/>
  <c r="R163" i="8" s="1"/>
  <c r="R105" i="8" s="1"/>
  <c r="R160" i="7"/>
  <c r="R163" i="7" s="1"/>
  <c r="R105" i="7" s="1"/>
  <c r="T160" i="8"/>
  <c r="T163" i="8" s="1"/>
  <c r="T105" i="8" s="1"/>
  <c r="T160" i="7"/>
  <c r="T163" i="7" s="1"/>
  <c r="T105" i="7" s="1"/>
  <c r="U160" i="8"/>
  <c r="U163" i="8" s="1"/>
  <c r="U105" i="8" s="1"/>
  <c r="U160" i="7"/>
  <c r="U163" i="7" s="1"/>
  <c r="U105" i="7" s="1"/>
  <c r="R505" i="8"/>
  <c r="R505" i="7"/>
  <c r="T202" i="7"/>
  <c r="T205" i="7" s="1"/>
  <c r="T109" i="7" s="1"/>
  <c r="T202" i="8"/>
  <c r="T205" i="8" s="1"/>
  <c r="T109" i="8" s="1"/>
  <c r="T505" i="8"/>
  <c r="T505" i="7"/>
  <c r="T374" i="7"/>
  <c r="T374" i="8"/>
  <c r="R202" i="7"/>
  <c r="R205" i="7" s="1"/>
  <c r="R109" i="7" s="1"/>
  <c r="R202" i="8"/>
  <c r="R205" i="8" s="1"/>
  <c r="R109" i="8" s="1"/>
  <c r="U202" i="8"/>
  <c r="U205" i="8" s="1"/>
  <c r="U109" i="8" s="1"/>
  <c r="U202" i="7"/>
  <c r="U205" i="7" s="1"/>
  <c r="U109" i="7" s="1"/>
  <c r="U374" i="7"/>
  <c r="U374" i="8"/>
  <c r="S202" i="7"/>
  <c r="S205" i="7" s="1"/>
  <c r="S109" i="7" s="1"/>
  <c r="S202" i="8"/>
  <c r="S205" i="8" s="1"/>
  <c r="S109" i="8" s="1"/>
  <c r="R374" i="8"/>
  <c r="R374" i="7"/>
  <c r="U505" i="7"/>
  <c r="U505" i="8"/>
  <c r="Q374" i="8"/>
  <c r="Q374" i="7"/>
  <c r="S505" i="8"/>
  <c r="S505" i="7"/>
  <c r="S374" i="7"/>
  <c r="S374" i="8"/>
  <c r="S160" i="8"/>
  <c r="S163" i="8" s="1"/>
  <c r="S105" i="8" s="1"/>
  <c r="S160" i="7"/>
  <c r="S163" i="7" s="1"/>
  <c r="S105" i="7" s="1"/>
  <c r="R213" i="7" l="1"/>
  <c r="R213" i="8"/>
  <c r="S117" i="8"/>
  <c r="S118" i="8" s="1"/>
  <c r="S125" i="8"/>
  <c r="S126" i="8" s="1"/>
  <c r="S106" i="8"/>
  <c r="S14" i="8" s="1"/>
  <c r="S121" i="7"/>
  <c r="S122" i="7" s="1"/>
  <c r="S110" i="7"/>
  <c r="S21" i="7" s="1"/>
  <c r="T383" i="7"/>
  <c r="T428" i="7" s="1"/>
  <c r="T383" i="8"/>
  <c r="T428" i="8" s="1"/>
  <c r="Q382" i="8"/>
  <c r="Q382" i="7"/>
  <c r="T110" i="8"/>
  <c r="T21" i="8" s="1"/>
  <c r="T121" i="8"/>
  <c r="T122" i="8" s="1"/>
  <c r="U158" i="7"/>
  <c r="U165" i="7" s="1"/>
  <c r="U167" i="7" s="1"/>
  <c r="U158" i="8"/>
  <c r="U165" i="8" s="1"/>
  <c r="U167" i="8" s="1"/>
  <c r="T110" i="7"/>
  <c r="T21" i="7" s="1"/>
  <c r="T121" i="7"/>
  <c r="T122" i="7" s="1"/>
  <c r="T125" i="7"/>
  <c r="T126" i="7" s="1"/>
  <c r="T106" i="7"/>
  <c r="T14" i="7" s="1"/>
  <c r="T117" i="7"/>
  <c r="T118" i="7" s="1"/>
  <c r="U382" i="8"/>
  <c r="U382" i="7"/>
  <c r="T213" i="7"/>
  <c r="T213" i="8"/>
  <c r="W241" i="7"/>
  <c r="W241" i="8"/>
  <c r="T106" i="8"/>
  <c r="T14" i="8" s="1"/>
  <c r="T125" i="8"/>
  <c r="T126" i="8" s="1"/>
  <c r="T117" i="8"/>
  <c r="T118" i="8" s="1"/>
  <c r="T373" i="8"/>
  <c r="T352" i="8" s="1"/>
  <c r="T356" i="8" s="1"/>
  <c r="T359" i="8" s="1"/>
  <c r="T304" i="8" s="1"/>
  <c r="T373" i="7"/>
  <c r="T352" i="7" s="1"/>
  <c r="T356" i="7" s="1"/>
  <c r="T359" i="7" s="1"/>
  <c r="T304" i="7" s="1"/>
  <c r="W237" i="7"/>
  <c r="W237" i="8"/>
  <c r="U121" i="7"/>
  <c r="U122" i="7" s="1"/>
  <c r="U110" i="7"/>
  <c r="U21" i="7" s="1"/>
  <c r="R121" i="8"/>
  <c r="R122" i="8" s="1"/>
  <c r="R110" i="8"/>
  <c r="R21" i="8" s="1"/>
  <c r="R384" i="8"/>
  <c r="R429" i="8" s="1"/>
  <c r="R384" i="7"/>
  <c r="R429" i="7" s="1"/>
  <c r="S373" i="7"/>
  <c r="S352" i="7" s="1"/>
  <c r="S356" i="7" s="1"/>
  <c r="S359" i="7" s="1"/>
  <c r="S304" i="7" s="1"/>
  <c r="S373" i="8"/>
  <c r="S352" i="8" s="1"/>
  <c r="S356" i="8" s="1"/>
  <c r="S359" i="8" s="1"/>
  <c r="S304" i="8" s="1"/>
  <c r="S110" i="8"/>
  <c r="S21" i="8" s="1"/>
  <c r="S121" i="8"/>
  <c r="S122" i="8" s="1"/>
  <c r="U383" i="7"/>
  <c r="U428" i="7" s="1"/>
  <c r="U383" i="8"/>
  <c r="U428" i="8" s="1"/>
  <c r="U213" i="8"/>
  <c r="U213" i="7"/>
  <c r="R110" i="7"/>
  <c r="R21" i="7" s="1"/>
  <c r="R121" i="7"/>
  <c r="R122" i="7" s="1"/>
  <c r="S383" i="8"/>
  <c r="S428" i="8" s="1"/>
  <c r="S383" i="7"/>
  <c r="S428" i="7" s="1"/>
  <c r="W233" i="7"/>
  <c r="W258" i="7" s="1"/>
  <c r="W233" i="8"/>
  <c r="W258" i="8" s="1"/>
  <c r="R382" i="8"/>
  <c r="R382" i="7"/>
  <c r="T158" i="8"/>
  <c r="T165" i="8" s="1"/>
  <c r="T167" i="8" s="1"/>
  <c r="T158" i="7"/>
  <c r="T165" i="7" s="1"/>
  <c r="T167" i="7" s="1"/>
  <c r="T382" i="8"/>
  <c r="T382" i="7"/>
  <c r="R383" i="8"/>
  <c r="R428" i="8" s="1"/>
  <c r="R383" i="7"/>
  <c r="R428" i="7" s="1"/>
  <c r="R373" i="8"/>
  <c r="R352" i="8" s="1"/>
  <c r="R356" i="8" s="1"/>
  <c r="R359" i="8" s="1"/>
  <c r="R304" i="8" s="1"/>
  <c r="R373" i="7"/>
  <c r="R352" i="7" s="1"/>
  <c r="R356" i="7" s="1"/>
  <c r="R359" i="7" s="1"/>
  <c r="R304" i="7" s="1"/>
  <c r="S382" i="7"/>
  <c r="S382" i="8"/>
  <c r="Q373" i="7"/>
  <c r="Q352" i="7" s="1"/>
  <c r="Q356" i="7" s="1"/>
  <c r="Q359" i="7" s="1"/>
  <c r="Q304" i="7" s="1"/>
  <c r="Q373" i="8"/>
  <c r="Q352" i="8" s="1"/>
  <c r="Q356" i="8" s="1"/>
  <c r="Q359" i="8" s="1"/>
  <c r="Q304" i="8" s="1"/>
  <c r="U373" i="7"/>
  <c r="U352" i="7" s="1"/>
  <c r="U356" i="7" s="1"/>
  <c r="U359" i="7" s="1"/>
  <c r="U304" i="7" s="1"/>
  <c r="U373" i="8"/>
  <c r="U352" i="8" s="1"/>
  <c r="U356" i="8" s="1"/>
  <c r="U359" i="8" s="1"/>
  <c r="U304" i="8" s="1"/>
  <c r="U110" i="8"/>
  <c r="U21" i="8" s="1"/>
  <c r="U121" i="8"/>
  <c r="U122" i="8" s="1"/>
  <c r="U384" i="7"/>
  <c r="U429" i="7" s="1"/>
  <c r="U384" i="8"/>
  <c r="U429" i="8" s="1"/>
  <c r="R200" i="8"/>
  <c r="R200" i="7"/>
  <c r="U106" i="7"/>
  <c r="U14" i="7" s="1"/>
  <c r="U125" i="7"/>
  <c r="U126" i="7" s="1"/>
  <c r="U117" i="7"/>
  <c r="U118" i="7" s="1"/>
  <c r="S384" i="8"/>
  <c r="S429" i="8" s="1"/>
  <c r="S384" i="7"/>
  <c r="S429" i="7" s="1"/>
  <c r="R117" i="7"/>
  <c r="R118" i="7" s="1"/>
  <c r="R125" i="7"/>
  <c r="R126" i="7" s="1"/>
  <c r="R106" i="7"/>
  <c r="R14" i="7" s="1"/>
  <c r="S158" i="7"/>
  <c r="S165" i="7" s="1"/>
  <c r="S167" i="7" s="1"/>
  <c r="S158" i="8"/>
  <c r="S165" i="8" s="1"/>
  <c r="S167" i="8" s="1"/>
  <c r="S213" i="8"/>
  <c r="S213" i="7"/>
  <c r="U200" i="8"/>
  <c r="U200" i="7"/>
  <c r="T200" i="7"/>
  <c r="T200" i="8"/>
  <c r="R117" i="8"/>
  <c r="R118" i="8" s="1"/>
  <c r="R106" i="8"/>
  <c r="R14" i="8" s="1"/>
  <c r="R125" i="8"/>
  <c r="R126" i="8" s="1"/>
  <c r="S117" i="7"/>
  <c r="S118" i="7" s="1"/>
  <c r="S125" i="7"/>
  <c r="S126" i="7" s="1"/>
  <c r="S106" i="7"/>
  <c r="S14" i="7" s="1"/>
  <c r="S200" i="7"/>
  <c r="S200" i="8"/>
  <c r="V382" i="8"/>
  <c r="V382" i="7"/>
  <c r="T384" i="8"/>
  <c r="T429" i="8" s="1"/>
  <c r="T384" i="7"/>
  <c r="T429" i="7" s="1"/>
  <c r="U117" i="8"/>
  <c r="U118" i="8" s="1"/>
  <c r="U106" i="8"/>
  <c r="U14" i="8" s="1"/>
  <c r="U125" i="8"/>
  <c r="U126" i="8" s="1"/>
  <c r="Q384" i="8"/>
  <c r="Q429" i="8" s="1"/>
  <c r="Q384" i="7"/>
  <c r="Q429" i="7" s="1"/>
  <c r="R158" i="7"/>
  <c r="R165" i="7" s="1"/>
  <c r="R167" i="7" s="1"/>
  <c r="R158" i="8"/>
  <c r="R165" i="8" s="1"/>
  <c r="R167" i="8" s="1"/>
  <c r="T211" i="7" l="1"/>
  <c r="T281" i="7" s="1"/>
  <c r="T211" i="8"/>
  <c r="T281" i="8" s="1"/>
  <c r="U211" i="8"/>
  <c r="U281" i="8" s="1"/>
  <c r="U211" i="7"/>
  <c r="U281" i="7" s="1"/>
  <c r="Q15" i="8"/>
  <c r="S388" i="7"/>
  <c r="S388" i="8"/>
  <c r="R504" i="7"/>
  <c r="R507" i="7" s="1"/>
  <c r="R504" i="8"/>
  <c r="R507" i="8" s="1"/>
  <c r="W235" i="8"/>
  <c r="W112" i="8" s="1"/>
  <c r="W235" i="7"/>
  <c r="W112" i="7" s="1"/>
  <c r="U219" i="7"/>
  <c r="U285" i="7" s="1"/>
  <c r="U219" i="8"/>
  <c r="U285" i="8" s="1"/>
  <c r="S15" i="7"/>
  <c r="U42" i="7"/>
  <c r="U389" i="8"/>
  <c r="U434" i="8" s="1"/>
  <c r="U389" i="7"/>
  <c r="U434" i="7" s="1"/>
  <c r="Q427" i="8"/>
  <c r="S35" i="8"/>
  <c r="S49" i="8"/>
  <c r="V427" i="7"/>
  <c r="S35" i="7"/>
  <c r="S49" i="7"/>
  <c r="T217" i="8"/>
  <c r="T217" i="7"/>
  <c r="U270" i="8"/>
  <c r="U207" i="8"/>
  <c r="U209" i="8" s="1"/>
  <c r="R270" i="7"/>
  <c r="R207" i="7"/>
  <c r="R209" i="7" s="1"/>
  <c r="U42" i="8"/>
  <c r="Q15" i="7"/>
  <c r="T504" i="8"/>
  <c r="T507" i="8" s="1"/>
  <c r="T504" i="7"/>
  <c r="T507" i="7" s="1"/>
  <c r="R427" i="7"/>
  <c r="R430" i="7" s="1"/>
  <c r="R385" i="7"/>
  <c r="R306" i="7" s="1"/>
  <c r="R314" i="7" s="1"/>
  <c r="W260" i="7"/>
  <c r="W266" i="7"/>
  <c r="T219" i="8"/>
  <c r="T285" i="8" s="1"/>
  <c r="T219" i="7"/>
  <c r="T285" i="7" s="1"/>
  <c r="T35" i="7"/>
  <c r="T49" i="7"/>
  <c r="Q389" i="7"/>
  <c r="Q434" i="7" s="1"/>
  <c r="Q389" i="8"/>
  <c r="Q434" i="8" s="1"/>
  <c r="V427" i="8"/>
  <c r="R49" i="8"/>
  <c r="R35" i="8"/>
  <c r="R217" i="7"/>
  <c r="R217" i="8"/>
  <c r="S389" i="7"/>
  <c r="S434" i="7" s="1"/>
  <c r="S389" i="8"/>
  <c r="S434" i="8" s="1"/>
  <c r="T427" i="7"/>
  <c r="T430" i="7" s="1"/>
  <c r="T385" i="7"/>
  <c r="T306" i="7" s="1"/>
  <c r="R385" i="8"/>
  <c r="R306" i="8" s="1"/>
  <c r="R310" i="8" s="1"/>
  <c r="R427" i="8"/>
  <c r="R430" i="8" s="1"/>
  <c r="W245" i="8"/>
  <c r="W245" i="7"/>
  <c r="T49" i="8"/>
  <c r="T35" i="8"/>
  <c r="U390" i="8"/>
  <c r="U435" i="8" s="1"/>
  <c r="U390" i="7"/>
  <c r="U435" i="7" s="1"/>
  <c r="T42" i="7"/>
  <c r="Q390" i="7"/>
  <c r="Q435" i="7" s="1"/>
  <c r="Q390" i="8"/>
  <c r="Q435" i="8" s="1"/>
  <c r="S427" i="8"/>
  <c r="S430" i="8" s="1"/>
  <c r="S385" i="8"/>
  <c r="S306" i="8" s="1"/>
  <c r="S310" i="8" s="1"/>
  <c r="R15" i="7"/>
  <c r="T389" i="7"/>
  <c r="T434" i="7" s="1"/>
  <c r="T389" i="8"/>
  <c r="T434" i="8" s="1"/>
  <c r="U89" i="7"/>
  <c r="U89" i="8"/>
  <c r="T42" i="8"/>
  <c r="R211" i="7"/>
  <c r="R281" i="7" s="1"/>
  <c r="R283" i="7" s="1"/>
  <c r="R211" i="8"/>
  <c r="R281" i="8" s="1"/>
  <c r="V388" i="8"/>
  <c r="V388" i="7"/>
  <c r="S270" i="7"/>
  <c r="S207" i="7"/>
  <c r="S209" i="7" s="1"/>
  <c r="S172" i="8"/>
  <c r="S172" i="7"/>
  <c r="U15" i="8"/>
  <c r="U16" i="8" s="1"/>
  <c r="U18" i="8" s="1"/>
  <c r="S219" i="7"/>
  <c r="S285" i="7" s="1"/>
  <c r="S219" i="8"/>
  <c r="S285" i="8" s="1"/>
  <c r="U314" i="7"/>
  <c r="U15" i="7"/>
  <c r="T390" i="8"/>
  <c r="T435" i="8" s="1"/>
  <c r="T390" i="7"/>
  <c r="T435" i="7" s="1"/>
  <c r="R390" i="7"/>
  <c r="R435" i="7" s="1"/>
  <c r="R390" i="8"/>
  <c r="R435" i="8" s="1"/>
  <c r="U385" i="7"/>
  <c r="U306" i="7" s="1"/>
  <c r="U427" i="7"/>
  <c r="U430" i="7" s="1"/>
  <c r="T207" i="7"/>
  <c r="T209" i="7" s="1"/>
  <c r="T270" i="7"/>
  <c r="U207" i="7"/>
  <c r="U209" i="7" s="1"/>
  <c r="U270" i="7"/>
  <c r="U49" i="8"/>
  <c r="U35" i="8"/>
  <c r="S427" i="7"/>
  <c r="S430" i="7" s="1"/>
  <c r="S385" i="7"/>
  <c r="S306" i="7" s="1"/>
  <c r="R15" i="8"/>
  <c r="R16" i="8" s="1"/>
  <c r="R18" i="8" s="1"/>
  <c r="T388" i="8"/>
  <c r="T388" i="7"/>
  <c r="R389" i="7"/>
  <c r="R434" i="7" s="1"/>
  <c r="R389" i="8"/>
  <c r="R434" i="8" s="1"/>
  <c r="S42" i="8"/>
  <c r="U504" i="8"/>
  <c r="U507" i="8" s="1"/>
  <c r="U504" i="7"/>
  <c r="U507" i="7" s="1"/>
  <c r="U385" i="8"/>
  <c r="U306" i="8" s="1"/>
  <c r="U427" i="8"/>
  <c r="U430" i="8" s="1"/>
  <c r="Q388" i="8"/>
  <c r="Q388" i="7"/>
  <c r="R212" i="8"/>
  <c r="R282" i="8" s="1"/>
  <c r="R212" i="7"/>
  <c r="R282" i="7" s="1"/>
  <c r="S211" i="8"/>
  <c r="S281" i="8" s="1"/>
  <c r="S211" i="7"/>
  <c r="S281" i="7" s="1"/>
  <c r="R207" i="8"/>
  <c r="R209" i="8" s="1"/>
  <c r="R270" i="8"/>
  <c r="R172" i="8"/>
  <c r="R172" i="7"/>
  <c r="S217" i="7"/>
  <c r="S217" i="8"/>
  <c r="T89" i="8"/>
  <c r="T89" i="7"/>
  <c r="V389" i="7"/>
  <c r="V434" i="7" s="1"/>
  <c r="V389" i="8"/>
  <c r="V434" i="8" s="1"/>
  <c r="S270" i="8"/>
  <c r="S207" i="8"/>
  <c r="S209" i="8" s="1"/>
  <c r="V202" i="8"/>
  <c r="V205" i="8" s="1"/>
  <c r="V109" i="8" s="1"/>
  <c r="V202" i="7"/>
  <c r="V205" i="7" s="1"/>
  <c r="V109" i="7" s="1"/>
  <c r="R35" i="7"/>
  <c r="R49" i="7"/>
  <c r="R16" i="7"/>
  <c r="R18" i="7" s="1"/>
  <c r="U49" i="7"/>
  <c r="U35" i="7"/>
  <c r="U16" i="7"/>
  <c r="U18" i="7" s="1"/>
  <c r="T427" i="8"/>
  <c r="T430" i="8" s="1"/>
  <c r="T385" i="8"/>
  <c r="T306" i="8" s="1"/>
  <c r="T314" i="8" s="1"/>
  <c r="R388" i="7"/>
  <c r="R388" i="8"/>
  <c r="S15" i="8"/>
  <c r="R42" i="8"/>
  <c r="T314" i="7"/>
  <c r="T15" i="7"/>
  <c r="T310" i="7"/>
  <c r="Q427" i="7"/>
  <c r="S42" i="7"/>
  <c r="V390" i="7"/>
  <c r="V435" i="7" s="1"/>
  <c r="V390" i="8"/>
  <c r="V435" i="8" s="1"/>
  <c r="S504" i="8"/>
  <c r="S507" i="8" s="1"/>
  <c r="S504" i="7"/>
  <c r="S507" i="7" s="1"/>
  <c r="T207" i="8"/>
  <c r="T209" i="8" s="1"/>
  <c r="T270" i="8"/>
  <c r="U217" i="7"/>
  <c r="U217" i="8"/>
  <c r="S212" i="8"/>
  <c r="S282" i="8" s="1"/>
  <c r="S212" i="7"/>
  <c r="S282" i="7" s="1"/>
  <c r="V160" i="7"/>
  <c r="V163" i="7" s="1"/>
  <c r="V105" i="7" s="1"/>
  <c r="V160" i="8"/>
  <c r="V163" i="8" s="1"/>
  <c r="V105" i="8" s="1"/>
  <c r="S390" i="7"/>
  <c r="S435" i="7" s="1"/>
  <c r="S390" i="8"/>
  <c r="S435" i="8" s="1"/>
  <c r="T172" i="7"/>
  <c r="T172" i="8"/>
  <c r="W260" i="8"/>
  <c r="W266" i="8"/>
  <c r="R42" i="7"/>
  <c r="U212" i="8"/>
  <c r="U282" i="8" s="1"/>
  <c r="U212" i="7"/>
  <c r="U282" i="7" s="1"/>
  <c r="S89" i="8"/>
  <c r="S89" i="7"/>
  <c r="T15" i="8"/>
  <c r="T212" i="7"/>
  <c r="T282" i="7" s="1"/>
  <c r="T212" i="8"/>
  <c r="T282" i="8" s="1"/>
  <c r="U388" i="7"/>
  <c r="U388" i="8"/>
  <c r="U172" i="8"/>
  <c r="U172" i="7"/>
  <c r="R219" i="7"/>
  <c r="R285" i="7" s="1"/>
  <c r="R219" i="8"/>
  <c r="R285" i="8" s="1"/>
  <c r="R314" i="8" l="1"/>
  <c r="R84" i="8"/>
  <c r="R80" i="8"/>
  <c r="V89" i="8"/>
  <c r="V89" i="7"/>
  <c r="R171" i="7"/>
  <c r="R171" i="8"/>
  <c r="R277" i="8"/>
  <c r="R279" i="8" s="1"/>
  <c r="R272" i="8"/>
  <c r="R275" i="8" s="1"/>
  <c r="T433" i="8"/>
  <c r="T436" i="8" s="1"/>
  <c r="T391" i="8"/>
  <c r="R391" i="8"/>
  <c r="R433" i="8"/>
  <c r="R436" i="8" s="1"/>
  <c r="V505" i="8"/>
  <c r="V505" i="7"/>
  <c r="U171" i="7"/>
  <c r="U171" i="8"/>
  <c r="T272" i="8"/>
  <c r="T275" i="8" s="1"/>
  <c r="T277" i="8"/>
  <c r="T279" i="8" s="1"/>
  <c r="R433" i="7"/>
  <c r="R436" i="7" s="1"/>
  <c r="R391" i="7"/>
  <c r="V213" i="7"/>
  <c r="V213" i="8"/>
  <c r="S272" i="8"/>
  <c r="S275" i="8" s="1"/>
  <c r="S277" i="8"/>
  <c r="S279" i="8" s="1"/>
  <c r="U391" i="8"/>
  <c r="U433" i="8"/>
  <c r="U436" i="8" s="1"/>
  <c r="T16" i="8"/>
  <c r="T18" i="8" s="1"/>
  <c r="V117" i="7"/>
  <c r="V118" i="7" s="1"/>
  <c r="V125" i="7"/>
  <c r="V126" i="7" s="1"/>
  <c r="V106" i="7"/>
  <c r="V14" i="7" s="1"/>
  <c r="T16" i="7"/>
  <c r="T18" i="7" s="1"/>
  <c r="V121" i="8"/>
  <c r="V122" i="8" s="1"/>
  <c r="V110" i="8"/>
  <c r="V21" i="8" s="1"/>
  <c r="Q383" i="7"/>
  <c r="Q383" i="8"/>
  <c r="U84" i="8"/>
  <c r="U80" i="8"/>
  <c r="R283" i="8"/>
  <c r="W239" i="8"/>
  <c r="W113" i="8" s="1"/>
  <c r="W114" i="8" s="1"/>
  <c r="W28" i="8" s="1"/>
  <c r="W239" i="7"/>
  <c r="W113" i="7" s="1"/>
  <c r="W114" i="7" s="1"/>
  <c r="W28" i="7" s="1"/>
  <c r="R89" i="7"/>
  <c r="R89" i="8"/>
  <c r="R80" i="7"/>
  <c r="R84" i="7"/>
  <c r="W408" i="8"/>
  <c r="W428" i="8" s="1"/>
  <c r="W408" i="7"/>
  <c r="W428" i="7" s="1"/>
  <c r="S283" i="8"/>
  <c r="S22" i="7"/>
  <c r="S50" i="7" s="1"/>
  <c r="S51" i="7" s="1"/>
  <c r="S53" i="7" s="1"/>
  <c r="S55" i="7" s="1"/>
  <c r="S312" i="7"/>
  <c r="U277" i="7"/>
  <c r="U279" i="7" s="1"/>
  <c r="U272" i="7"/>
  <c r="U275" i="7" s="1"/>
  <c r="S171" i="8"/>
  <c r="S171" i="7"/>
  <c r="S314" i="8"/>
  <c r="S22" i="8"/>
  <c r="S36" i="8" s="1"/>
  <c r="S37" i="8" s="1"/>
  <c r="S39" i="8" s="1"/>
  <c r="S312" i="8"/>
  <c r="R312" i="7"/>
  <c r="R22" i="7"/>
  <c r="Q16" i="7"/>
  <c r="Q18" i="7" s="1"/>
  <c r="T216" i="7"/>
  <c r="T216" i="8"/>
  <c r="S310" i="7"/>
  <c r="W120" i="7"/>
  <c r="W124" i="7"/>
  <c r="Q89" i="8"/>
  <c r="Q89" i="7"/>
  <c r="Q433" i="8"/>
  <c r="Q436" i="8" s="1"/>
  <c r="Q391" i="8"/>
  <c r="S272" i="7"/>
  <c r="S275" i="7" s="1"/>
  <c r="S277" i="7"/>
  <c r="S279" i="7" s="1"/>
  <c r="S16" i="7"/>
  <c r="S18" i="7" s="1"/>
  <c r="W124" i="8"/>
  <c r="W120" i="8"/>
  <c r="S391" i="8"/>
  <c r="S433" i="8"/>
  <c r="S436" i="8" s="1"/>
  <c r="U283" i="7"/>
  <c r="S216" i="7"/>
  <c r="S216" i="8"/>
  <c r="U391" i="7"/>
  <c r="U433" i="7"/>
  <c r="U436" i="7" s="1"/>
  <c r="W268" i="8"/>
  <c r="V374" i="7"/>
  <c r="V374" i="8"/>
  <c r="T433" i="7"/>
  <c r="T436" i="7" s="1"/>
  <c r="T391" i="7"/>
  <c r="W160" i="7"/>
  <c r="W163" i="7" s="1"/>
  <c r="W105" i="7" s="1"/>
  <c r="W160" i="8"/>
  <c r="W163" i="8" s="1"/>
  <c r="W105" i="8" s="1"/>
  <c r="T277" i="7"/>
  <c r="T279" i="7" s="1"/>
  <c r="T272" i="7"/>
  <c r="T275" i="7" s="1"/>
  <c r="V391" i="7"/>
  <c r="V433" i="7"/>
  <c r="V436" i="7" s="1"/>
  <c r="S314" i="7"/>
  <c r="S391" i="7"/>
  <c r="S433" i="7"/>
  <c r="S436" i="7" s="1"/>
  <c r="U283" i="8"/>
  <c r="U216" i="7"/>
  <c r="U216" i="8"/>
  <c r="U314" i="8"/>
  <c r="U312" i="8"/>
  <c r="U22" i="8"/>
  <c r="R22" i="8"/>
  <c r="R50" i="8" s="1"/>
  <c r="R51" i="8" s="1"/>
  <c r="R53" i="8" s="1"/>
  <c r="R312" i="8"/>
  <c r="T310" i="8"/>
  <c r="T312" i="8"/>
  <c r="T22" i="8"/>
  <c r="T36" i="8" s="1"/>
  <c r="T37" i="8" s="1"/>
  <c r="T39" i="8" s="1"/>
  <c r="V117" i="8"/>
  <c r="V118" i="8" s="1"/>
  <c r="V106" i="8"/>
  <c r="V14" i="8" s="1"/>
  <c r="V125" i="8"/>
  <c r="V126" i="8" s="1"/>
  <c r="V383" i="7"/>
  <c r="V383" i="8"/>
  <c r="W244" i="7"/>
  <c r="W244" i="8"/>
  <c r="T22" i="7"/>
  <c r="T312" i="7"/>
  <c r="R216" i="7"/>
  <c r="R216" i="8"/>
  <c r="R272" i="7"/>
  <c r="R275" i="7" s="1"/>
  <c r="R277" i="7"/>
  <c r="R279" i="7" s="1"/>
  <c r="T283" i="8"/>
  <c r="V200" i="8"/>
  <c r="V200" i="7"/>
  <c r="T171" i="8"/>
  <c r="T171" i="7"/>
  <c r="V158" i="8"/>
  <c r="V165" i="8" s="1"/>
  <c r="V167" i="8" s="1"/>
  <c r="V158" i="7"/>
  <c r="V165" i="7" s="1"/>
  <c r="V167" i="7" s="1"/>
  <c r="U84" i="7"/>
  <c r="U80" i="7"/>
  <c r="V121" i="7"/>
  <c r="V122" i="7" s="1"/>
  <c r="V110" i="7"/>
  <c r="V21" i="7" s="1"/>
  <c r="U312" i="7"/>
  <c r="U22" i="7"/>
  <c r="V433" i="8"/>
  <c r="V436" i="8" s="1"/>
  <c r="V391" i="8"/>
  <c r="W247" i="7"/>
  <c r="W247" i="8"/>
  <c r="Q16" i="8"/>
  <c r="Q18" i="8" s="1"/>
  <c r="S283" i="7"/>
  <c r="Q391" i="7"/>
  <c r="Q433" i="7"/>
  <c r="Q436" i="7" s="1"/>
  <c r="W202" i="7"/>
  <c r="W205" i="7" s="1"/>
  <c r="W109" i="7" s="1"/>
  <c r="W202" i="8"/>
  <c r="W205" i="8" s="1"/>
  <c r="W109" i="8" s="1"/>
  <c r="U310" i="7"/>
  <c r="U310" i="8"/>
  <c r="R310" i="7"/>
  <c r="W268" i="7"/>
  <c r="U277" i="8"/>
  <c r="U279" i="8" s="1"/>
  <c r="U272" i="8"/>
  <c r="U275" i="8" s="1"/>
  <c r="S16" i="8"/>
  <c r="S18" i="8" s="1"/>
  <c r="T283" i="7"/>
  <c r="S50" i="8" l="1"/>
  <c r="S51" i="8" s="1"/>
  <c r="S53" i="8" s="1"/>
  <c r="S55" i="8" s="1"/>
  <c r="R55" i="8"/>
  <c r="W200" i="7"/>
  <c r="W200" i="8"/>
  <c r="Q80" i="8"/>
  <c r="Q84" i="8"/>
  <c r="V217" i="7"/>
  <c r="V217" i="8"/>
  <c r="V428" i="7"/>
  <c r="V373" i="7"/>
  <c r="V352" i="7" s="1"/>
  <c r="V356" i="7" s="1"/>
  <c r="V359" i="7" s="1"/>
  <c r="V304" i="7" s="1"/>
  <c r="V373" i="8"/>
  <c r="V352" i="8" s="1"/>
  <c r="V356" i="8" s="1"/>
  <c r="V359" i="8" s="1"/>
  <c r="V304" i="8" s="1"/>
  <c r="V42" i="8"/>
  <c r="V212" i="7"/>
  <c r="V282" i="7" s="1"/>
  <c r="V212" i="8"/>
  <c r="V282" i="8" s="1"/>
  <c r="W110" i="8"/>
  <c r="W21" i="8" s="1"/>
  <c r="W121" i="8"/>
  <c r="W122" i="8" s="1"/>
  <c r="U36" i="7"/>
  <c r="U37" i="7" s="1"/>
  <c r="U39" i="7" s="1"/>
  <c r="U43" i="7"/>
  <c r="U44" i="7" s="1"/>
  <c r="U46" i="7" s="1"/>
  <c r="U23" i="7"/>
  <c r="U25" i="7" s="1"/>
  <c r="V270" i="7"/>
  <c r="V207" i="7"/>
  <c r="V209" i="7" s="1"/>
  <c r="V428" i="8"/>
  <c r="V49" i="8"/>
  <c r="V35" i="8"/>
  <c r="U43" i="8"/>
  <c r="U44" i="8" s="1"/>
  <c r="U46" i="8" s="1"/>
  <c r="U23" i="8"/>
  <c r="U25" i="8" s="1"/>
  <c r="W213" i="8"/>
  <c r="W213" i="7"/>
  <c r="Q505" i="7"/>
  <c r="Q507" i="7" s="1"/>
  <c r="Q505" i="8"/>
  <c r="Q507" i="8" s="1"/>
  <c r="W125" i="7"/>
  <c r="W126" i="7" s="1"/>
  <c r="W117" i="7"/>
  <c r="W118" i="7" s="1"/>
  <c r="W106" i="7"/>
  <c r="W14" i="7" s="1"/>
  <c r="R50" i="7"/>
  <c r="R51" i="7" s="1"/>
  <c r="R53" i="7" s="1"/>
  <c r="R55" i="7" s="1"/>
  <c r="R43" i="7"/>
  <c r="R44" i="7" s="1"/>
  <c r="R46" i="7" s="1"/>
  <c r="R23" i="7"/>
  <c r="R25" i="7" s="1"/>
  <c r="T43" i="8"/>
  <c r="T44" i="8" s="1"/>
  <c r="T46" i="8" s="1"/>
  <c r="T23" i="8"/>
  <c r="T25" i="8" s="1"/>
  <c r="V504" i="7"/>
  <c r="V507" i="7" s="1"/>
  <c r="V504" i="8"/>
  <c r="V507" i="8" s="1"/>
  <c r="T50" i="8"/>
  <c r="T51" i="8" s="1"/>
  <c r="T53" i="8" s="1"/>
  <c r="T55" i="8" s="1"/>
  <c r="V219" i="8"/>
  <c r="V285" i="8" s="1"/>
  <c r="V219" i="7"/>
  <c r="V285" i="7" s="1"/>
  <c r="W121" i="7"/>
  <c r="W122" i="7" s="1"/>
  <c r="W110" i="7"/>
  <c r="W21" i="7" s="1"/>
  <c r="W158" i="7"/>
  <c r="W165" i="7" s="1"/>
  <c r="W167" i="7" s="1"/>
  <c r="W158" i="8"/>
  <c r="W165" i="8" s="1"/>
  <c r="W167" i="8" s="1"/>
  <c r="S36" i="7"/>
  <c r="S37" i="7" s="1"/>
  <c r="S39" i="7" s="1"/>
  <c r="T80" i="8"/>
  <c r="T84" i="8"/>
  <c r="R43" i="8"/>
  <c r="R44" i="8" s="1"/>
  <c r="R46" i="8" s="1"/>
  <c r="R23" i="8"/>
  <c r="R25" i="8" s="1"/>
  <c r="W409" i="7"/>
  <c r="W429" i="7" s="1"/>
  <c r="W409" i="8"/>
  <c r="W429" i="8" s="1"/>
  <c r="V172" i="7"/>
  <c r="V172" i="8"/>
  <c r="V207" i="8"/>
  <c r="V209" i="8" s="1"/>
  <c r="V270" i="8"/>
  <c r="T50" i="7"/>
  <c r="T51" i="7" s="1"/>
  <c r="T53" i="7" s="1"/>
  <c r="T55" i="7" s="1"/>
  <c r="T43" i="7"/>
  <c r="T44" i="7" s="1"/>
  <c r="T46" i="7" s="1"/>
  <c r="T23" i="7"/>
  <c r="T25" i="7" s="1"/>
  <c r="S80" i="8"/>
  <c r="S84" i="8"/>
  <c r="R36" i="8"/>
  <c r="R37" i="8" s="1"/>
  <c r="R39" i="8" s="1"/>
  <c r="V384" i="7"/>
  <c r="V429" i="7" s="1"/>
  <c r="V384" i="8"/>
  <c r="V429" i="8" s="1"/>
  <c r="T36" i="7"/>
  <c r="T37" i="7" s="1"/>
  <c r="T39" i="7" s="1"/>
  <c r="V42" i="7"/>
  <c r="S80" i="7"/>
  <c r="S84" i="7"/>
  <c r="S43" i="7"/>
  <c r="S44" i="7" s="1"/>
  <c r="S46" i="7" s="1"/>
  <c r="S23" i="7"/>
  <c r="S25" i="7" s="1"/>
  <c r="T80" i="7"/>
  <c r="T84" i="7"/>
  <c r="W243" i="7"/>
  <c r="W243" i="8"/>
  <c r="S43" i="8"/>
  <c r="S44" i="8" s="1"/>
  <c r="S46" i="8" s="1"/>
  <c r="S23" i="8"/>
  <c r="S25" i="8" s="1"/>
  <c r="U50" i="8"/>
  <c r="U51" i="8" s="1"/>
  <c r="U53" i="8" s="1"/>
  <c r="U55" i="8" s="1"/>
  <c r="Q428" i="8"/>
  <c r="Q430" i="8" s="1"/>
  <c r="Q385" i="8"/>
  <c r="Q306" i="8" s="1"/>
  <c r="V49" i="7"/>
  <c r="V35" i="7"/>
  <c r="U36" i="8"/>
  <c r="U37" i="8" s="1"/>
  <c r="U39" i="8" s="1"/>
  <c r="Q428" i="7"/>
  <c r="Q430" i="7" s="1"/>
  <c r="Q385" i="7"/>
  <c r="Q306" i="7" s="1"/>
  <c r="W117" i="8"/>
  <c r="W118" i="8" s="1"/>
  <c r="W125" i="8"/>
  <c r="W126" i="8" s="1"/>
  <c r="W106" i="8"/>
  <c r="W14" i="8" s="1"/>
  <c r="Q80" i="7"/>
  <c r="Q84" i="7"/>
  <c r="R36" i="7"/>
  <c r="R37" i="7" s="1"/>
  <c r="R39" i="7" s="1"/>
  <c r="U50" i="7"/>
  <c r="U51" i="7" s="1"/>
  <c r="U53" i="7" s="1"/>
  <c r="U55" i="7" s="1"/>
  <c r="W42" i="7" l="1"/>
  <c r="W23" i="7"/>
  <c r="W25" i="7" s="1"/>
  <c r="T81" i="8"/>
  <c r="T82" i="8" s="1"/>
  <c r="T85" i="8"/>
  <c r="T86" i="8" s="1"/>
  <c r="W212" i="8"/>
  <c r="W282" i="8" s="1"/>
  <c r="W212" i="7"/>
  <c r="W282" i="7" s="1"/>
  <c r="U81" i="7"/>
  <c r="U82" i="7" s="1"/>
  <c r="U85" i="7"/>
  <c r="U86" i="7" s="1"/>
  <c r="V15" i="8"/>
  <c r="Q22" i="8"/>
  <c r="Q312" i="8"/>
  <c r="Q314" i="8"/>
  <c r="Q310" i="8"/>
  <c r="S81" i="7"/>
  <c r="S82" i="7" s="1"/>
  <c r="S85" i="7"/>
  <c r="S86" i="7" s="1"/>
  <c r="W172" i="8"/>
  <c r="W172" i="7"/>
  <c r="V211" i="7"/>
  <c r="V281" i="7" s="1"/>
  <c r="V283" i="7" s="1"/>
  <c r="V211" i="8"/>
  <c r="V281" i="8" s="1"/>
  <c r="V283" i="8" s="1"/>
  <c r="R81" i="8"/>
  <c r="R82" i="8" s="1"/>
  <c r="R85" i="8"/>
  <c r="R86" i="8" s="1"/>
  <c r="W16" i="7"/>
  <c r="W18" i="7" s="1"/>
  <c r="W49" i="7"/>
  <c r="W35" i="7"/>
  <c r="W37" i="7" s="1"/>
  <c r="W39" i="7" s="1"/>
  <c r="W219" i="7"/>
  <c r="W285" i="7" s="1"/>
  <c r="W219" i="8"/>
  <c r="W285" i="8" s="1"/>
  <c r="V15" i="7"/>
  <c r="W217" i="8"/>
  <c r="W217" i="7"/>
  <c r="V171" i="8"/>
  <c r="V171" i="7"/>
  <c r="V385" i="8"/>
  <c r="V306" i="8" s="1"/>
  <c r="V314" i="8" s="1"/>
  <c r="W42" i="8"/>
  <c r="W23" i="8"/>
  <c r="W25" i="8" s="1"/>
  <c r="V385" i="7"/>
  <c r="V306" i="7" s="1"/>
  <c r="V310" i="7" s="1"/>
  <c r="V430" i="8"/>
  <c r="V430" i="7"/>
  <c r="W207" i="8"/>
  <c r="W209" i="8" s="1"/>
  <c r="W270" i="8"/>
  <c r="X408" i="7"/>
  <c r="X408" i="8"/>
  <c r="V216" i="7"/>
  <c r="V216" i="8"/>
  <c r="W270" i="7"/>
  <c r="W207" i="7"/>
  <c r="W209" i="7" s="1"/>
  <c r="V277" i="7"/>
  <c r="V279" i="7" s="1"/>
  <c r="V272" i="7"/>
  <c r="V275" i="7" s="1"/>
  <c r="Q312" i="7"/>
  <c r="Q22" i="7"/>
  <c r="Q310" i="7"/>
  <c r="Q314" i="7"/>
  <c r="T81" i="7"/>
  <c r="T82" i="7" s="1"/>
  <c r="T85" i="7"/>
  <c r="T86" i="7" s="1"/>
  <c r="W16" i="8"/>
  <c r="W18" i="8" s="1"/>
  <c r="W35" i="8"/>
  <c r="W37" i="8" s="1"/>
  <c r="W39" i="8" s="1"/>
  <c r="W49" i="8"/>
  <c r="S81" i="8"/>
  <c r="S82" i="8" s="1"/>
  <c r="S85" i="8"/>
  <c r="S86" i="8" s="1"/>
  <c r="V272" i="8"/>
  <c r="V275" i="8" s="1"/>
  <c r="V277" i="8"/>
  <c r="V279" i="8" s="1"/>
  <c r="R85" i="7"/>
  <c r="R86" i="7" s="1"/>
  <c r="R81" i="7"/>
  <c r="R82" i="7" s="1"/>
  <c r="U81" i="8"/>
  <c r="U82" i="8" s="1"/>
  <c r="U85" i="8"/>
  <c r="U86" i="8" s="1"/>
  <c r="V314" i="7" l="1"/>
  <c r="V310" i="8"/>
  <c r="Y408" i="7"/>
  <c r="Y408" i="8"/>
  <c r="W272" i="8"/>
  <c r="W275" i="8" s="1"/>
  <c r="W277" i="8"/>
  <c r="W279" i="8" s="1"/>
  <c r="W216" i="7"/>
  <c r="W216" i="8"/>
  <c r="W504" i="8"/>
  <c r="W504" i="7"/>
  <c r="V22" i="8"/>
  <c r="V50" i="8" s="1"/>
  <c r="V51" i="8" s="1"/>
  <c r="V53" i="8" s="1"/>
  <c r="V55" i="8" s="1"/>
  <c r="V312" i="8"/>
  <c r="V16" i="7"/>
  <c r="V18" i="7" s="1"/>
  <c r="W211" i="7"/>
  <c r="W281" i="7" s="1"/>
  <c r="W283" i="7" s="1"/>
  <c r="W211" i="8"/>
  <c r="W281" i="8" s="1"/>
  <c r="W283" i="8" s="1"/>
  <c r="W171" i="7"/>
  <c r="W171" i="8"/>
  <c r="V16" i="8"/>
  <c r="V18" i="8" s="1"/>
  <c r="V312" i="7"/>
  <c r="V22" i="7"/>
  <c r="V50" i="7" s="1"/>
  <c r="V51" i="7" s="1"/>
  <c r="V53" i="7" s="1"/>
  <c r="V55" i="7" s="1"/>
  <c r="W84" i="8"/>
  <c r="W80" i="8"/>
  <c r="W272" i="7"/>
  <c r="W275" i="7" s="1"/>
  <c r="W277" i="7"/>
  <c r="W279" i="7" s="1"/>
  <c r="Q43" i="8"/>
  <c r="Q44" i="8" s="1"/>
  <c r="Q46" i="8" s="1"/>
  <c r="Q23" i="8"/>
  <c r="Q25" i="8" s="1"/>
  <c r="Q50" i="8"/>
  <c r="Q51" i="8" s="1"/>
  <c r="Q53" i="8" s="1"/>
  <c r="Q55" i="8" s="1"/>
  <c r="Q36" i="8"/>
  <c r="Q37" i="8" s="1"/>
  <c r="Q39" i="8" s="1"/>
  <c r="W80" i="7"/>
  <c r="W84" i="7"/>
  <c r="Q23" i="7"/>
  <c r="Q25" i="7" s="1"/>
  <c r="Q43" i="7"/>
  <c r="Q44" i="7" s="1"/>
  <c r="Q46" i="7" s="1"/>
  <c r="Q50" i="7"/>
  <c r="Q51" i="7" s="1"/>
  <c r="Q53" i="7" s="1"/>
  <c r="Q55" i="7" s="1"/>
  <c r="Q36" i="7"/>
  <c r="Q37" i="7" s="1"/>
  <c r="Q39" i="7" s="1"/>
  <c r="V36" i="7" l="1"/>
  <c r="V37" i="7" s="1"/>
  <c r="V39" i="7" s="1"/>
  <c r="V43" i="8"/>
  <c r="V44" i="8" s="1"/>
  <c r="V46" i="8" s="1"/>
  <c r="V23" i="8"/>
  <c r="V25" i="8" s="1"/>
  <c r="Q81" i="8"/>
  <c r="Q82" i="8" s="1"/>
  <c r="Q85" i="8"/>
  <c r="Q86" i="8" s="1"/>
  <c r="V43" i="7"/>
  <c r="V44" i="7" s="1"/>
  <c r="V46" i="7" s="1"/>
  <c r="V23" i="7"/>
  <c r="V25" i="7" s="1"/>
  <c r="Z408" i="7"/>
  <c r="Z408" i="8"/>
  <c r="Q85" i="7"/>
  <c r="Q86" i="7" s="1"/>
  <c r="Q81" i="7"/>
  <c r="Q82" i="7" s="1"/>
  <c r="X409" i="7"/>
  <c r="X409" i="8"/>
  <c r="X383" i="7"/>
  <c r="X428" i="7" s="1"/>
  <c r="X383" i="8"/>
  <c r="X428" i="8" s="1"/>
  <c r="V84" i="8"/>
  <c r="V80" i="8"/>
  <c r="V84" i="7"/>
  <c r="V80" i="7"/>
  <c r="V36" i="8"/>
  <c r="V37" i="8" s="1"/>
  <c r="V39" i="8" s="1"/>
  <c r="AA408" i="7" l="1"/>
  <c r="AA408" i="8"/>
  <c r="Y409" i="8"/>
  <c r="Y409" i="7"/>
  <c r="Y383" i="8"/>
  <c r="Y428" i="8" s="1"/>
  <c r="Y383" i="7"/>
  <c r="Y428" i="7" s="1"/>
  <c r="V85" i="7"/>
  <c r="V86" i="7" s="1"/>
  <c r="V81" i="7"/>
  <c r="V82" i="7" s="1"/>
  <c r="V85" i="8"/>
  <c r="V86" i="8" s="1"/>
  <c r="V81" i="8"/>
  <c r="V82" i="8" s="1"/>
  <c r="Z409" i="7" l="1"/>
  <c r="Z409" i="8"/>
  <c r="Z383" i="8"/>
  <c r="Z428" i="8" s="1"/>
  <c r="Z383" i="7"/>
  <c r="Z428" i="7" s="1"/>
  <c r="AA409" i="7" l="1"/>
  <c r="AA409" i="8"/>
  <c r="AA383" i="7"/>
  <c r="AA428" i="7" s="1"/>
  <c r="AA383" i="8"/>
  <c r="AA428" i="8" s="1"/>
  <c r="W506" i="7" l="1"/>
  <c r="W506" i="8"/>
  <c r="X457" i="8" l="1"/>
  <c r="X457" i="7"/>
  <c r="X506" i="8"/>
  <c r="X506" i="7"/>
  <c r="AA506" i="7" l="1"/>
  <c r="AA506" i="8"/>
  <c r="X17" i="7"/>
  <c r="X470" i="8"/>
  <c r="X24" i="8" s="1"/>
  <c r="X45" i="8" s="1"/>
  <c r="X470" i="7"/>
  <c r="X24" i="7" s="1"/>
  <c r="X45" i="7" s="1"/>
  <c r="X17" i="8"/>
  <c r="Z506" i="8"/>
  <c r="Z506" i="7"/>
  <c r="Z457" i="7"/>
  <c r="Z457" i="8"/>
  <c r="AA457" i="7"/>
  <c r="AA457" i="8"/>
  <c r="AA470" i="8"/>
  <c r="AA24" i="8" s="1"/>
  <c r="AA45" i="8" s="1"/>
  <c r="AA470" i="7"/>
  <c r="AA24" i="7" s="1"/>
  <c r="AA45" i="7" s="1"/>
  <c r="AA17" i="7" l="1"/>
  <c r="AA480" i="7"/>
  <c r="Z470" i="7"/>
  <c r="Z24" i="7" s="1"/>
  <c r="Z45" i="7" s="1"/>
  <c r="Z470" i="8"/>
  <c r="Z24" i="8" s="1"/>
  <c r="Z45" i="8" s="1"/>
  <c r="X480" i="7"/>
  <c r="Y457" i="7"/>
  <c r="Y457" i="8"/>
  <c r="X38" i="7"/>
  <c r="X52" i="7"/>
  <c r="AA480" i="8"/>
  <c r="AA17" i="8"/>
  <c r="X480" i="8"/>
  <c r="Y506" i="7"/>
  <c r="Y506" i="8"/>
  <c r="X38" i="8"/>
  <c r="X52" i="8"/>
  <c r="Z17" i="8"/>
  <c r="Z17" i="7"/>
  <c r="Z480" i="8" l="1"/>
  <c r="Y17" i="8"/>
  <c r="AA38" i="8"/>
  <c r="AA52" i="8"/>
  <c r="Y17" i="7"/>
  <c r="AA38" i="7"/>
  <c r="AA52" i="7"/>
  <c r="Z480" i="7"/>
  <c r="Z38" i="7"/>
  <c r="Z52" i="7"/>
  <c r="Y470" i="8"/>
  <c r="Y24" i="8" s="1"/>
  <c r="Y45" i="8" s="1"/>
  <c r="Y470" i="7"/>
  <c r="Y24" i="7" s="1"/>
  <c r="Y45" i="7" s="1"/>
  <c r="Z38" i="8"/>
  <c r="Z52" i="8"/>
  <c r="Y480" i="7" l="1"/>
  <c r="Y480" i="8"/>
  <c r="Y38" i="7"/>
  <c r="Y52" i="7"/>
  <c r="Y38" i="8"/>
  <c r="Y52" i="8"/>
  <c r="W407" i="7" l="1"/>
  <c r="W407" i="8"/>
  <c r="W505" i="7" l="1"/>
  <c r="W507" i="7" s="1"/>
  <c r="W505" i="8"/>
  <c r="W507" i="8" s="1"/>
  <c r="W410" i="8"/>
  <c r="W308" i="8" s="1"/>
  <c r="W427" i="8"/>
  <c r="W430" i="8" s="1"/>
  <c r="W410" i="7"/>
  <c r="W308" i="7" s="1"/>
  <c r="W427" i="7"/>
  <c r="W430" i="7" s="1"/>
  <c r="W413" i="8"/>
  <c r="W413" i="7"/>
  <c r="W89" i="7"/>
  <c r="W89" i="8"/>
  <c r="W415" i="8"/>
  <c r="W435" i="8" s="1"/>
  <c r="W415" i="7"/>
  <c r="W435" i="7" s="1"/>
  <c r="W414" i="7"/>
  <c r="W434" i="7" s="1"/>
  <c r="W414" i="8"/>
  <c r="W434" i="8" s="1"/>
  <c r="W29" i="7" l="1"/>
  <c r="W312" i="7"/>
  <c r="W314" i="7"/>
  <c r="W29" i="8"/>
  <c r="W312" i="8"/>
  <c r="W314" i="8"/>
  <c r="W416" i="7"/>
  <c r="W433" i="7"/>
  <c r="W436" i="7" s="1"/>
  <c r="W416" i="8"/>
  <c r="W433" i="8"/>
  <c r="W436" i="8" s="1"/>
  <c r="W43" i="8" l="1"/>
  <c r="W44" i="8" s="1"/>
  <c r="W46" i="8" s="1"/>
  <c r="W50" i="8"/>
  <c r="W51" i="8" s="1"/>
  <c r="W53" i="8" s="1"/>
  <c r="W55" i="8" s="1"/>
  <c r="W30" i="8"/>
  <c r="W32" i="8" s="1"/>
  <c r="W43" i="7"/>
  <c r="W44" i="7" s="1"/>
  <c r="W46" i="7" s="1"/>
  <c r="W50" i="7"/>
  <c r="W51" i="7" s="1"/>
  <c r="W53" i="7" s="1"/>
  <c r="W55" i="7" s="1"/>
  <c r="W30" i="7"/>
  <c r="W32" i="7" s="1"/>
  <c r="W81" i="8" l="1"/>
  <c r="W82" i="8" s="1"/>
  <c r="W85" i="8"/>
  <c r="W86" i="8" s="1"/>
  <c r="W81" i="7"/>
  <c r="W82" i="7" s="1"/>
  <c r="W85" i="7"/>
  <c r="W86" i="7" s="1"/>
  <c r="X374" i="7" l="1"/>
  <c r="X374" i="8"/>
  <c r="X373" i="7" l="1"/>
  <c r="X352" i="7" s="1"/>
  <c r="X356" i="7" s="1"/>
  <c r="X359" i="7" s="1"/>
  <c r="X304" i="7" s="1"/>
  <c r="X373" i="8"/>
  <c r="X352" i="8" s="1"/>
  <c r="X356" i="8" s="1"/>
  <c r="X359" i="8" s="1"/>
  <c r="X304" i="8" s="1"/>
  <c r="Y374" i="7"/>
  <c r="Y374" i="8"/>
  <c r="X384" i="8"/>
  <c r="X429" i="8" s="1"/>
  <c r="X384" i="7"/>
  <c r="X429" i="7" s="1"/>
  <c r="Y384" i="7" l="1"/>
  <c r="Y429" i="7" s="1"/>
  <c r="Y384" i="8"/>
  <c r="Y429" i="8" s="1"/>
  <c r="Y373" i="7"/>
  <c r="Y352" i="7" s="1"/>
  <c r="Y356" i="7" s="1"/>
  <c r="Y359" i="7" s="1"/>
  <c r="Y304" i="7" s="1"/>
  <c r="Y373" i="8"/>
  <c r="Y352" i="8" s="1"/>
  <c r="Y356" i="8" s="1"/>
  <c r="Y359" i="8" s="1"/>
  <c r="Y304" i="8" s="1"/>
  <c r="X15" i="8"/>
  <c r="Z374" i="8"/>
  <c r="Z374" i="7"/>
  <c r="X15" i="7"/>
  <c r="Z373" i="8" l="1"/>
  <c r="Z352" i="8" s="1"/>
  <c r="Z356" i="8" s="1"/>
  <c r="Z359" i="8" s="1"/>
  <c r="Z304" i="8" s="1"/>
  <c r="Z373" i="7"/>
  <c r="Z352" i="7" s="1"/>
  <c r="Z356" i="7" s="1"/>
  <c r="Z359" i="7" s="1"/>
  <c r="Z304" i="7" s="1"/>
  <c r="Y15" i="8"/>
  <c r="Y15" i="7"/>
  <c r="Z384" i="8"/>
  <c r="Z429" i="8" s="1"/>
  <c r="Z384" i="7"/>
  <c r="Z429" i="7" s="1"/>
  <c r="AA374" i="8"/>
  <c r="AA374" i="7"/>
  <c r="AA384" i="7" l="1"/>
  <c r="AA429" i="7" s="1"/>
  <c r="AA384" i="8"/>
  <c r="AA429" i="8" s="1"/>
  <c r="Z15" i="7"/>
  <c r="AA373" i="7"/>
  <c r="AA352" i="7" s="1"/>
  <c r="AA356" i="7" s="1"/>
  <c r="AA359" i="7" s="1"/>
  <c r="AA304" i="7" s="1"/>
  <c r="AA373" i="8"/>
  <c r="AA352" i="8" s="1"/>
  <c r="AA356" i="8" s="1"/>
  <c r="AA359" i="8" s="1"/>
  <c r="AA304" i="8" s="1"/>
  <c r="Z15" i="8"/>
  <c r="AA15" i="8" l="1"/>
  <c r="AA15" i="7"/>
  <c r="X382" i="8" l="1"/>
  <c r="X382" i="7"/>
  <c r="X505" i="8"/>
  <c r="X505" i="7"/>
  <c r="X407" i="7"/>
  <c r="X410" i="7" s="1"/>
  <c r="X308" i="7" s="1"/>
  <c r="X29" i="7" s="1"/>
  <c r="X407" i="8"/>
  <c r="X410" i="8" s="1"/>
  <c r="X308" i="8" s="1"/>
  <c r="X29" i="8" s="1"/>
  <c r="Y505" i="8" l="1"/>
  <c r="Y505" i="7"/>
  <c r="X388" i="8"/>
  <c r="X388" i="7"/>
  <c r="X413" i="7"/>
  <c r="X413" i="8"/>
  <c r="X416" i="8" s="1"/>
  <c r="Y382" i="7"/>
  <c r="Y382" i="8"/>
  <c r="X427" i="7"/>
  <c r="X430" i="7" s="1"/>
  <c r="X385" i="7"/>
  <c r="X306" i="7" s="1"/>
  <c r="X414" i="8"/>
  <c r="X414" i="7"/>
  <c r="X385" i="8"/>
  <c r="X306" i="8" s="1"/>
  <c r="X427" i="8"/>
  <c r="X430" i="8" s="1"/>
  <c r="X389" i="8"/>
  <c r="X389" i="7"/>
  <c r="Y407" i="8"/>
  <c r="Y410" i="8" s="1"/>
  <c r="Y308" i="8" s="1"/>
  <c r="Y29" i="8" s="1"/>
  <c r="Y407" i="7"/>
  <c r="Y410" i="7" s="1"/>
  <c r="Y308" i="7" s="1"/>
  <c r="Y29" i="7" s="1"/>
  <c r="X415" i="8"/>
  <c r="X415" i="7"/>
  <c r="X390" i="8"/>
  <c r="X390" i="7"/>
  <c r="X416" i="7" l="1"/>
  <c r="Y385" i="8"/>
  <c r="Y306" i="8" s="1"/>
  <c r="Y427" i="8"/>
  <c r="Y430" i="8" s="1"/>
  <c r="Z505" i="7"/>
  <c r="Z505" i="8"/>
  <c r="Y415" i="7"/>
  <c r="Y415" i="8"/>
  <c r="Y390" i="8"/>
  <c r="Y390" i="7"/>
  <c r="X433" i="7"/>
  <c r="X436" i="7" s="1"/>
  <c r="X391" i="7"/>
  <c r="X22" i="8"/>
  <c r="X312" i="8"/>
  <c r="X314" i="8"/>
  <c r="X310" i="8"/>
  <c r="Y385" i="7"/>
  <c r="Y306" i="7" s="1"/>
  <c r="Y427" i="7"/>
  <c r="Y430" i="7" s="1"/>
  <c r="X433" i="8"/>
  <c r="X391" i="8"/>
  <c r="Z407" i="7"/>
  <c r="Z410" i="7" s="1"/>
  <c r="Z308" i="7" s="1"/>
  <c r="Z29" i="7" s="1"/>
  <c r="Z407" i="8"/>
  <c r="Z410" i="8" s="1"/>
  <c r="Z308" i="8" s="1"/>
  <c r="Z29" i="8" s="1"/>
  <c r="Y388" i="8"/>
  <c r="Y388" i="7"/>
  <c r="Y413" i="7"/>
  <c r="Y413" i="8"/>
  <c r="X435" i="7"/>
  <c r="Z382" i="7"/>
  <c r="Z382" i="8"/>
  <c r="Y389" i="7"/>
  <c r="Y389" i="8"/>
  <c r="X434" i="7"/>
  <c r="X22" i="7"/>
  <c r="X312" i="7"/>
  <c r="X314" i="7"/>
  <c r="X310" i="7"/>
  <c r="X435" i="8"/>
  <c r="Y414" i="8"/>
  <c r="Y414" i="7"/>
  <c r="X434" i="8"/>
  <c r="Y435" i="8" l="1"/>
  <c r="Y435" i="7"/>
  <c r="AA407" i="7"/>
  <c r="AA410" i="7" s="1"/>
  <c r="AA308" i="7" s="1"/>
  <c r="AA29" i="7" s="1"/>
  <c r="AA407" i="8"/>
  <c r="AA410" i="8" s="1"/>
  <c r="AA308" i="8" s="1"/>
  <c r="AA29" i="8" s="1"/>
  <c r="X43" i="8"/>
  <c r="X50" i="8"/>
  <c r="X36" i="8"/>
  <c r="Z427" i="8"/>
  <c r="Z430" i="8" s="1"/>
  <c r="Z385" i="8"/>
  <c r="Z306" i="8" s="1"/>
  <c r="Z413" i="8"/>
  <c r="Z416" i="8" s="1"/>
  <c r="Z413" i="7"/>
  <c r="Z427" i="7"/>
  <c r="Z430" i="7" s="1"/>
  <c r="Z385" i="7"/>
  <c r="Z306" i="7" s="1"/>
  <c r="Y416" i="8"/>
  <c r="X436" i="8"/>
  <c r="X43" i="7"/>
  <c r="X36" i="7"/>
  <c r="X50" i="7"/>
  <c r="Z389" i="8"/>
  <c r="Z389" i="7"/>
  <c r="Z434" i="7" s="1"/>
  <c r="Y416" i="7"/>
  <c r="Y22" i="8"/>
  <c r="Y312" i="8"/>
  <c r="Y310" i="8"/>
  <c r="Y314" i="8"/>
  <c r="Z390" i="7"/>
  <c r="Z390" i="8"/>
  <c r="Y391" i="7"/>
  <c r="Y433" i="7"/>
  <c r="Y436" i="7" s="1"/>
  <c r="Y22" i="7"/>
  <c r="Y312" i="7"/>
  <c r="Y314" i="7"/>
  <c r="Y310" i="7"/>
  <c r="Y434" i="8"/>
  <c r="Z388" i="7"/>
  <c r="Z388" i="8"/>
  <c r="Y391" i="8"/>
  <c r="Y433" i="8"/>
  <c r="Z414" i="7"/>
  <c r="Z414" i="8"/>
  <c r="AA382" i="8"/>
  <c r="AA382" i="7"/>
  <c r="Y434" i="7"/>
  <c r="Z415" i="7"/>
  <c r="Z415" i="8"/>
  <c r="AA505" i="7"/>
  <c r="AA505" i="8"/>
  <c r="Z435" i="8" l="1"/>
  <c r="AA385" i="8"/>
  <c r="AA306" i="8" s="1"/>
  <c r="AA427" i="8"/>
  <c r="AA430" i="8" s="1"/>
  <c r="Y43" i="7"/>
  <c r="Y50" i="7"/>
  <c r="Y36" i="7"/>
  <c r="Z416" i="7"/>
  <c r="AA389" i="7"/>
  <c r="AA389" i="8"/>
  <c r="Z391" i="8"/>
  <c r="Z433" i="8"/>
  <c r="Y43" i="8"/>
  <c r="Y36" i="8"/>
  <c r="Y50" i="8"/>
  <c r="AA414" i="7"/>
  <c r="AA414" i="8"/>
  <c r="AA390" i="7"/>
  <c r="AA390" i="8"/>
  <c r="Z433" i="7"/>
  <c r="Z391" i="7"/>
  <c r="Z312" i="8"/>
  <c r="Z22" i="8"/>
  <c r="Z310" i="8"/>
  <c r="Z314" i="8"/>
  <c r="AA415" i="7"/>
  <c r="AA415" i="8"/>
  <c r="AA388" i="7"/>
  <c r="AA388" i="8"/>
  <c r="AA413" i="7"/>
  <c r="AA413" i="8"/>
  <c r="AA385" i="7"/>
  <c r="AA306" i="7" s="1"/>
  <c r="AA427" i="7"/>
  <c r="AA430" i="7" s="1"/>
  <c r="Z435" i="7"/>
  <c r="Z434" i="8"/>
  <c r="Z312" i="7"/>
  <c r="Z22" i="7"/>
  <c r="Z310" i="7"/>
  <c r="Z314" i="7"/>
  <c r="Y436" i="8"/>
  <c r="Z43" i="7" l="1"/>
  <c r="Z36" i="7"/>
  <c r="Z50" i="7"/>
  <c r="AA434" i="8"/>
  <c r="AA416" i="8"/>
  <c r="AA434" i="7"/>
  <c r="AA416" i="7"/>
  <c r="Z43" i="8"/>
  <c r="Z50" i="8"/>
  <c r="Z36" i="8"/>
  <c r="Z436" i="7"/>
  <c r="AA22" i="7"/>
  <c r="AA312" i="7"/>
  <c r="AA314" i="7"/>
  <c r="AA310" i="7"/>
  <c r="AA391" i="8"/>
  <c r="AA433" i="8"/>
  <c r="Z436" i="8"/>
  <c r="AA435" i="8"/>
  <c r="AA433" i="7"/>
  <c r="AA436" i="7" s="1"/>
  <c r="AA391" i="7"/>
  <c r="AA435" i="7"/>
  <c r="AA22" i="8"/>
  <c r="AA312" i="8"/>
  <c r="AA310" i="8"/>
  <c r="AA314" i="8"/>
  <c r="AA436" i="8" l="1"/>
  <c r="AA43" i="8"/>
  <c r="AA36" i="8"/>
  <c r="AA50" i="8"/>
  <c r="AA43" i="7"/>
  <c r="AA36" i="7"/>
  <c r="AA50" i="7"/>
  <c r="X202" i="7" l="1"/>
  <c r="X205" i="7" s="1"/>
  <c r="X109" i="7" s="1"/>
  <c r="X110" i="7" s="1"/>
  <c r="X21" i="7" s="1"/>
  <c r="X202" i="8"/>
  <c r="X205" i="8" s="1"/>
  <c r="X109" i="8" s="1"/>
  <c r="X110" i="8" s="1"/>
  <c r="X21" i="8" s="1"/>
  <c r="X23" i="7" l="1"/>
  <c r="X25" i="7" s="1"/>
  <c r="X200" i="8"/>
  <c r="X207" i="8" s="1"/>
  <c r="X209" i="8" s="1"/>
  <c r="X200" i="7"/>
  <c r="X207" i="7" s="1"/>
  <c r="X209" i="7" s="1"/>
  <c r="X213" i="7"/>
  <c r="X213" i="8"/>
  <c r="X23" i="8"/>
  <c r="X25" i="8" s="1"/>
  <c r="X219" i="7" l="1"/>
  <c r="X219" i="8"/>
  <c r="X233" i="7"/>
  <c r="X258" i="7" s="1"/>
  <c r="X233" i="8"/>
  <c r="X258" i="8" s="1"/>
  <c r="X237" i="8"/>
  <c r="X270" i="8" s="1"/>
  <c r="X272" i="8" s="1"/>
  <c r="X275" i="8" s="1"/>
  <c r="X237" i="7"/>
  <c r="X270" i="7" s="1"/>
  <c r="X272" i="7" s="1"/>
  <c r="X275" i="7" s="1"/>
  <c r="X211" i="7"/>
  <c r="X211" i="8"/>
  <c r="X217" i="8"/>
  <c r="X217" i="7"/>
  <c r="X212" i="7"/>
  <c r="X212" i="8"/>
  <c r="X241" i="7"/>
  <c r="X241" i="8"/>
  <c r="X266" i="8" l="1"/>
  <c r="X260" i="8"/>
  <c r="X504" i="7"/>
  <c r="X507" i="7" s="1"/>
  <c r="X504" i="8"/>
  <c r="X507" i="8" s="1"/>
  <c r="X260" i="7"/>
  <c r="X266" i="7"/>
  <c r="X235" i="7"/>
  <c r="X112" i="7" s="1"/>
  <c r="X235" i="8"/>
  <c r="X112" i="8" s="1"/>
  <c r="X245" i="7"/>
  <c r="X245" i="8"/>
  <c r="X160" i="8"/>
  <c r="X163" i="8" s="1"/>
  <c r="X105" i="8" s="1"/>
  <c r="X160" i="7"/>
  <c r="X163" i="7" s="1"/>
  <c r="X105" i="7" s="1"/>
  <c r="X216" i="8"/>
  <c r="X216" i="7"/>
  <c r="X268" i="7" l="1"/>
  <c r="X277" i="7"/>
  <c r="X279" i="7" s="1"/>
  <c r="X243" i="7"/>
  <c r="X281" i="7" s="1"/>
  <c r="X243" i="8"/>
  <c r="X281" i="8" s="1"/>
  <c r="X89" i="8"/>
  <c r="X89" i="7"/>
  <c r="Y160" i="7"/>
  <c r="Y163" i="7" s="1"/>
  <c r="Y105" i="7" s="1"/>
  <c r="Y160" i="8"/>
  <c r="Y163" i="8" s="1"/>
  <c r="Y105" i="8" s="1"/>
  <c r="X247" i="8"/>
  <c r="X285" i="8" s="1"/>
  <c r="X247" i="7"/>
  <c r="X285" i="7" s="1"/>
  <c r="X244" i="7"/>
  <c r="X282" i="7" s="1"/>
  <c r="X244" i="8"/>
  <c r="X282" i="8" s="1"/>
  <c r="X120" i="8"/>
  <c r="X124" i="8"/>
  <c r="X158" i="7"/>
  <c r="X165" i="7" s="1"/>
  <c r="X167" i="7" s="1"/>
  <c r="X158" i="8"/>
  <c r="X165" i="8" s="1"/>
  <c r="X167" i="8" s="1"/>
  <c r="X120" i="7"/>
  <c r="X124" i="7"/>
  <c r="X277" i="8"/>
  <c r="X279" i="8" s="1"/>
  <c r="X268" i="8"/>
  <c r="X117" i="7"/>
  <c r="X118" i="7" s="1"/>
  <c r="X106" i="7"/>
  <c r="X14" i="7" s="1"/>
  <c r="X239" i="7"/>
  <c r="X113" i="7" s="1"/>
  <c r="X121" i="7" s="1"/>
  <c r="X239" i="8"/>
  <c r="X113" i="8" s="1"/>
  <c r="X121" i="8" s="1"/>
  <c r="X106" i="8"/>
  <c r="X14" i="8" s="1"/>
  <c r="X117" i="8"/>
  <c r="X118" i="8" s="1"/>
  <c r="X122" i="8" l="1"/>
  <c r="X125" i="8"/>
  <c r="X126" i="8" s="1"/>
  <c r="X125" i="7"/>
  <c r="X126" i="7" s="1"/>
  <c r="X122" i="7"/>
  <c r="X16" i="7"/>
  <c r="X18" i="7" s="1"/>
  <c r="X35" i="7"/>
  <c r="X37" i="7" s="1"/>
  <c r="X39" i="7" s="1"/>
  <c r="X114" i="7"/>
  <c r="X28" i="7" s="1"/>
  <c r="Y106" i="8"/>
  <c r="Y14" i="8" s="1"/>
  <c r="X16" i="8"/>
  <c r="X18" i="8" s="1"/>
  <c r="X35" i="8"/>
  <c r="X37" i="8" s="1"/>
  <c r="X39" i="8" s="1"/>
  <c r="Y106" i="7"/>
  <c r="Y14" i="7" s="1"/>
  <c r="X283" i="8"/>
  <c r="Y202" i="8"/>
  <c r="Y205" i="8" s="1"/>
  <c r="Y109" i="8" s="1"/>
  <c r="Y117" i="8" s="1"/>
  <c r="Y118" i="8" s="1"/>
  <c r="Y202" i="7"/>
  <c r="Y205" i="7" s="1"/>
  <c r="Y109" i="7" s="1"/>
  <c r="Y158" i="8"/>
  <c r="Y165" i="8" s="1"/>
  <c r="Y167" i="8" s="1"/>
  <c r="Y158" i="7"/>
  <c r="Y165" i="7" s="1"/>
  <c r="Y167" i="7" s="1"/>
  <c r="X283" i="7"/>
  <c r="X172" i="7"/>
  <c r="X172" i="8"/>
  <c r="X114" i="8"/>
  <c r="X28" i="8" s="1"/>
  <c r="X49" i="8" s="1"/>
  <c r="X51" i="8" s="1"/>
  <c r="X53" i="8" s="1"/>
  <c r="X55" i="8" s="1"/>
  <c r="X30" i="7" l="1"/>
  <c r="X32" i="7" s="1"/>
  <c r="X42" i="7"/>
  <c r="X44" i="7" s="1"/>
  <c r="X46" i="7" s="1"/>
  <c r="Y233" i="7"/>
  <c r="Y258" i="7" s="1"/>
  <c r="Y233" i="8"/>
  <c r="Y258" i="8" s="1"/>
  <c r="Y110" i="8"/>
  <c r="Y21" i="8" s="1"/>
  <c r="Y35" i="8" s="1"/>
  <c r="Y37" i="8" s="1"/>
  <c r="Y39" i="8" s="1"/>
  <c r="Y172" i="7"/>
  <c r="Y172" i="8"/>
  <c r="Z160" i="8"/>
  <c r="Z163" i="8" s="1"/>
  <c r="Z105" i="8" s="1"/>
  <c r="Z160" i="7"/>
  <c r="Z163" i="7" s="1"/>
  <c r="Z105" i="7" s="1"/>
  <c r="X84" i="8"/>
  <c r="X80" i="8"/>
  <c r="X84" i="7"/>
  <c r="X80" i="7"/>
  <c r="Z202" i="7"/>
  <c r="Z205" i="7" s="1"/>
  <c r="Z109" i="7" s="1"/>
  <c r="Z202" i="8"/>
  <c r="Z205" i="8" s="1"/>
  <c r="Z109" i="8" s="1"/>
  <c r="Y241" i="8"/>
  <c r="Y241" i="7"/>
  <c r="Y213" i="7"/>
  <c r="Y213" i="8"/>
  <c r="Y200" i="7"/>
  <c r="Y200" i="8"/>
  <c r="Y16" i="8"/>
  <c r="Y18" i="8" s="1"/>
  <c r="Y16" i="7"/>
  <c r="Y18" i="7" s="1"/>
  <c r="Y237" i="7"/>
  <c r="Y237" i="8"/>
  <c r="Y117" i="7"/>
  <c r="Y118" i="7" s="1"/>
  <c r="Y110" i="7"/>
  <c r="Y21" i="7" s="1"/>
  <c r="Y35" i="7" s="1"/>
  <c r="Y37" i="7" s="1"/>
  <c r="Y39" i="7" s="1"/>
  <c r="X30" i="8"/>
  <c r="X32" i="8" s="1"/>
  <c r="X42" i="8"/>
  <c r="X44" i="8" s="1"/>
  <c r="X46" i="8" s="1"/>
  <c r="X49" i="7"/>
  <c r="X51" i="7" s="1"/>
  <c r="X53" i="7" s="1"/>
  <c r="X55" i="7" s="1"/>
  <c r="X171" i="7"/>
  <c r="X171" i="8"/>
  <c r="Y239" i="8" l="1"/>
  <c r="Y113" i="8" s="1"/>
  <c r="Y239" i="7"/>
  <c r="Y113" i="7" s="1"/>
  <c r="Y89" i="8"/>
  <c r="Y89" i="7"/>
  <c r="Y207" i="8"/>
  <c r="Y209" i="8" s="1"/>
  <c r="Y270" i="8"/>
  <c r="Y272" i="8" s="1"/>
  <c r="Y275" i="8" s="1"/>
  <c r="AA202" i="8"/>
  <c r="AA205" i="8" s="1"/>
  <c r="AA109" i="8" s="1"/>
  <c r="AA202" i="7"/>
  <c r="AA205" i="7" s="1"/>
  <c r="AA109" i="7" s="1"/>
  <c r="Y84" i="7"/>
  <c r="Y80" i="7"/>
  <c r="Y266" i="8"/>
  <c r="Y260" i="8"/>
  <c r="Y217" i="7"/>
  <c r="Y217" i="8"/>
  <c r="Y504" i="8"/>
  <c r="Y507" i="8" s="1"/>
  <c r="Y504" i="7"/>
  <c r="Y507" i="7" s="1"/>
  <c r="Z106" i="7"/>
  <c r="Z14" i="7" s="1"/>
  <c r="Z117" i="7"/>
  <c r="Z118" i="7" s="1"/>
  <c r="Y235" i="8"/>
  <c r="Y112" i="8" s="1"/>
  <c r="Y235" i="7"/>
  <c r="Y112" i="7" s="1"/>
  <c r="Z158" i="8"/>
  <c r="Z165" i="8" s="1"/>
  <c r="Z167" i="8" s="1"/>
  <c r="Z158" i="7"/>
  <c r="Z165" i="7" s="1"/>
  <c r="Z167" i="7" s="1"/>
  <c r="Y23" i="8"/>
  <c r="Y25" i="8" s="1"/>
  <c r="Z110" i="8"/>
  <c r="Z21" i="8" s="1"/>
  <c r="Z106" i="8"/>
  <c r="Z14" i="8" s="1"/>
  <c r="Z117" i="8"/>
  <c r="Z118" i="8" s="1"/>
  <c r="Z241" i="7"/>
  <c r="Z241" i="8"/>
  <c r="AA160" i="7"/>
  <c r="AA163" i="7" s="1"/>
  <c r="AA105" i="7" s="1"/>
  <c r="AA160" i="8"/>
  <c r="AA163" i="8" s="1"/>
  <c r="AA105" i="8" s="1"/>
  <c r="Y260" i="7"/>
  <c r="Y266" i="7"/>
  <c r="Y270" i="7"/>
  <c r="Y272" i="7" s="1"/>
  <c r="Y275" i="7" s="1"/>
  <c r="Y207" i="7"/>
  <c r="Y209" i="7" s="1"/>
  <c r="Y211" i="8"/>
  <c r="Y211" i="7"/>
  <c r="Y245" i="7"/>
  <c r="Y245" i="8"/>
  <c r="Z200" i="7"/>
  <c r="Z200" i="8"/>
  <c r="Z233" i="8"/>
  <c r="Z258" i="8" s="1"/>
  <c r="Z233" i="7"/>
  <c r="Z258" i="7" s="1"/>
  <c r="Z110" i="7"/>
  <c r="Z21" i="7" s="1"/>
  <c r="Z237" i="7"/>
  <c r="Z237" i="8"/>
  <c r="Y212" i="8"/>
  <c r="Y212" i="7"/>
  <c r="Y171" i="8"/>
  <c r="Y171" i="7"/>
  <c r="Y84" i="8"/>
  <c r="Y80" i="8"/>
  <c r="Z213" i="8"/>
  <c r="Z213" i="7"/>
  <c r="Y23" i="7"/>
  <c r="Y25" i="7" s="1"/>
  <c r="Y219" i="8"/>
  <c r="Y219" i="7"/>
  <c r="X85" i="7"/>
  <c r="X86" i="7" s="1"/>
  <c r="X81" i="7"/>
  <c r="X82" i="7" s="1"/>
  <c r="X85" i="8"/>
  <c r="X86" i="8" s="1"/>
  <c r="X81" i="8"/>
  <c r="X82" i="8" s="1"/>
  <c r="Z35" i="7" l="1"/>
  <c r="Z37" i="7" s="1"/>
  <c r="Z39" i="7" s="1"/>
  <c r="Z23" i="7"/>
  <c r="Z25" i="7" s="1"/>
  <c r="AA110" i="7"/>
  <c r="AA21" i="7" s="1"/>
  <c r="Y125" i="8"/>
  <c r="Y121" i="8"/>
  <c r="Y244" i="8"/>
  <c r="Y282" i="8" s="1"/>
  <c r="Y244" i="7"/>
  <c r="Y282" i="7" s="1"/>
  <c r="AA106" i="8"/>
  <c r="AA14" i="8" s="1"/>
  <c r="AA117" i="8"/>
  <c r="AA118" i="8" s="1"/>
  <c r="Z89" i="7"/>
  <c r="Z89" i="8"/>
  <c r="AA200" i="8"/>
  <c r="AA200" i="7"/>
  <c r="Z211" i="7"/>
  <c r="Z211" i="8"/>
  <c r="AA237" i="7"/>
  <c r="AA237" i="8"/>
  <c r="Y268" i="7"/>
  <c r="Y277" i="7"/>
  <c r="Y279" i="7" s="1"/>
  <c r="Z212" i="8"/>
  <c r="Z212" i="7"/>
  <c r="Z235" i="7"/>
  <c r="Z112" i="7" s="1"/>
  <c r="Z235" i="8"/>
  <c r="Z112" i="8" s="1"/>
  <c r="AA158" i="8"/>
  <c r="AA165" i="8" s="1"/>
  <c r="AA167" i="8" s="1"/>
  <c r="AA158" i="7"/>
  <c r="AA165" i="7" s="1"/>
  <c r="AA167" i="7" s="1"/>
  <c r="Z35" i="8"/>
  <c r="Z37" i="8" s="1"/>
  <c r="Z39" i="8" s="1"/>
  <c r="Z16" i="8"/>
  <c r="Z18" i="8" s="1"/>
  <c r="Y277" i="8"/>
  <c r="Y279" i="8" s="1"/>
  <c r="Y268" i="8"/>
  <c r="AA110" i="8"/>
  <c r="AA21" i="8" s="1"/>
  <c r="Z172" i="8"/>
  <c r="Z172" i="7"/>
  <c r="Z245" i="8"/>
  <c r="Z245" i="7"/>
  <c r="AA241" i="7"/>
  <c r="AA241" i="8"/>
  <c r="Z260" i="8"/>
  <c r="Z266" i="8"/>
  <c r="Z217" i="8"/>
  <c r="Z217" i="7"/>
  <c r="Y247" i="8"/>
  <c r="Y285" i="8" s="1"/>
  <c r="Y247" i="7"/>
  <c r="Y285" i="7" s="1"/>
  <c r="Z23" i="8"/>
  <c r="Z25" i="8" s="1"/>
  <c r="Y124" i="7"/>
  <c r="Y120" i="7"/>
  <c r="Y114" i="7"/>
  <c r="Y28" i="7" s="1"/>
  <c r="Y216" i="7"/>
  <c r="Y216" i="8"/>
  <c r="Z504" i="7"/>
  <c r="Z507" i="7" s="1"/>
  <c r="Z504" i="8"/>
  <c r="Z507" i="8" s="1"/>
  <c r="Z260" i="7"/>
  <c r="Z266" i="7"/>
  <c r="AA117" i="7"/>
  <c r="AA118" i="7" s="1"/>
  <c r="AA106" i="7"/>
  <c r="AA14" i="7" s="1"/>
  <c r="Z207" i="7"/>
  <c r="Z209" i="7" s="1"/>
  <c r="Z270" i="7"/>
  <c r="Z272" i="7" s="1"/>
  <c r="Z275" i="7" s="1"/>
  <c r="Z239" i="7"/>
  <c r="Z113" i="7" s="1"/>
  <c r="Z239" i="8"/>
  <c r="Z113" i="8" s="1"/>
  <c r="Y124" i="8"/>
  <c r="Y120" i="8"/>
  <c r="Y114" i="8"/>
  <c r="Y28" i="8" s="1"/>
  <c r="Z219" i="8"/>
  <c r="Z219" i="7"/>
  <c r="Z207" i="8"/>
  <c r="Z209" i="8" s="1"/>
  <c r="Z270" i="8"/>
  <c r="Z272" i="8" s="1"/>
  <c r="Z275" i="8" s="1"/>
  <c r="AA233" i="7"/>
  <c r="AA258" i="7" s="1"/>
  <c r="AA233" i="8"/>
  <c r="AA258" i="8" s="1"/>
  <c r="Y125" i="7"/>
  <c r="Y121" i="7"/>
  <c r="Z16" i="7"/>
  <c r="Z18" i="7" s="1"/>
  <c r="AA213" i="7"/>
  <c r="AA213" i="8"/>
  <c r="Y243" i="8"/>
  <c r="Y281" i="8" s="1"/>
  <c r="Y243" i="7"/>
  <c r="Y281" i="7" s="1"/>
  <c r="Y126" i="8" l="1"/>
  <c r="Y283" i="8"/>
  <c r="Y126" i="7"/>
  <c r="Y122" i="8"/>
  <c r="AA239" i="7"/>
  <c r="AA113" i="7" s="1"/>
  <c r="AA239" i="8"/>
  <c r="AA113" i="8" s="1"/>
  <c r="Z84" i="7"/>
  <c r="Z80" i="7"/>
  <c r="Z121" i="7"/>
  <c r="Z125" i="7"/>
  <c r="AA35" i="7"/>
  <c r="AA37" i="7" s="1"/>
  <c r="AA39" i="7" s="1"/>
  <c r="AA16" i="7"/>
  <c r="AA18" i="7" s="1"/>
  <c r="Z124" i="7"/>
  <c r="Z120" i="7"/>
  <c r="Z114" i="7"/>
  <c r="Z28" i="7" s="1"/>
  <c r="AA207" i="8"/>
  <c r="AA209" i="8" s="1"/>
  <c r="AA270" i="8"/>
  <c r="AA272" i="8" s="1"/>
  <c r="AA275" i="8" s="1"/>
  <c r="Y283" i="7"/>
  <c r="AA219" i="7"/>
  <c r="AA219" i="8"/>
  <c r="Y122" i="7"/>
  <c r="AA266" i="8"/>
  <c r="AA260" i="8"/>
  <c r="Y30" i="8"/>
  <c r="Y32" i="8" s="1"/>
  <c r="Y49" i="8"/>
  <c r="Y51" i="8" s="1"/>
  <c r="Y53" i="8" s="1"/>
  <c r="Y55" i="8" s="1"/>
  <c r="Y42" i="8"/>
  <c r="Y44" i="8" s="1"/>
  <c r="Y46" i="8" s="1"/>
  <c r="Y30" i="7"/>
  <c r="Y32" i="7" s="1"/>
  <c r="Y49" i="7"/>
  <c r="Y51" i="7" s="1"/>
  <c r="Y53" i="7" s="1"/>
  <c r="Y55" i="7" s="1"/>
  <c r="Y42" i="7"/>
  <c r="Y44" i="7" s="1"/>
  <c r="Y46" i="7" s="1"/>
  <c r="Z80" i="8"/>
  <c r="Z84" i="8"/>
  <c r="AA245" i="8"/>
  <c r="AA245" i="7"/>
  <c r="AA504" i="8"/>
  <c r="AA507" i="8" s="1"/>
  <c r="AA504" i="7"/>
  <c r="AA507" i="7" s="1"/>
  <c r="Z277" i="7"/>
  <c r="Z279" i="7" s="1"/>
  <c r="Z268" i="7"/>
  <c r="AA260" i="7"/>
  <c r="AA266" i="7"/>
  <c r="Z216" i="7"/>
  <c r="Z216" i="8"/>
  <c r="AA212" i="7"/>
  <c r="AA212" i="8"/>
  <c r="Z247" i="8"/>
  <c r="Z285" i="8" s="1"/>
  <c r="Z247" i="7"/>
  <c r="Z285" i="7" s="1"/>
  <c r="AA23" i="8"/>
  <c r="AA25" i="8" s="1"/>
  <c r="AA172" i="7"/>
  <c r="AA172" i="8"/>
  <c r="AA270" i="7"/>
  <c r="AA272" i="7" s="1"/>
  <c r="AA275" i="7" s="1"/>
  <c r="AA207" i="7"/>
  <c r="AA209" i="7" s="1"/>
  <c r="AA35" i="8"/>
  <c r="AA37" i="8" s="1"/>
  <c r="AA39" i="8" s="1"/>
  <c r="AA16" i="8"/>
  <c r="AA18" i="8" s="1"/>
  <c r="AA23" i="7"/>
  <c r="AA25" i="7" s="1"/>
  <c r="Z277" i="8"/>
  <c r="Z279" i="8" s="1"/>
  <c r="Z268" i="8"/>
  <c r="Z244" i="7"/>
  <c r="Z282" i="7" s="1"/>
  <c r="Z244" i="8"/>
  <c r="Z282" i="8" s="1"/>
  <c r="Z120" i="8"/>
  <c r="Z124" i="8"/>
  <c r="Z114" i="8"/>
  <c r="Z28" i="8" s="1"/>
  <c r="AA217" i="7"/>
  <c r="AA217" i="8"/>
  <c r="AA235" i="7"/>
  <c r="AA112" i="7" s="1"/>
  <c r="AA235" i="8"/>
  <c r="AA112" i="8" s="1"/>
  <c r="Z171" i="8"/>
  <c r="Z171" i="7"/>
  <c r="AA89" i="7"/>
  <c r="AA89" i="8"/>
  <c r="Z125" i="8"/>
  <c r="Z121" i="8"/>
  <c r="Z122" i="8" l="1"/>
  <c r="Z126" i="8"/>
  <c r="Y85" i="7"/>
  <c r="Y86" i="7" s="1"/>
  <c r="Y81" i="7"/>
  <c r="Y82" i="7" s="1"/>
  <c r="Z122" i="7"/>
  <c r="AA121" i="7"/>
  <c r="AA125" i="7"/>
  <c r="AA216" i="8"/>
  <c r="AA216" i="7"/>
  <c r="AA244" i="7"/>
  <c r="AA282" i="7" s="1"/>
  <c r="AA244" i="8"/>
  <c r="AA282" i="8" s="1"/>
  <c r="AA277" i="8"/>
  <c r="AA279" i="8" s="1"/>
  <c r="AA268" i="8"/>
  <c r="Z30" i="7"/>
  <c r="Z32" i="7" s="1"/>
  <c r="Z49" i="7"/>
  <c r="Z51" i="7" s="1"/>
  <c r="Z53" i="7" s="1"/>
  <c r="Z55" i="7" s="1"/>
  <c r="Z42" i="7"/>
  <c r="Z44" i="7" s="1"/>
  <c r="Z46" i="7" s="1"/>
  <c r="AA171" i="8"/>
  <c r="AA171" i="7"/>
  <c r="AA243" i="7"/>
  <c r="AA243" i="8"/>
  <c r="AA211" i="7"/>
  <c r="AA211" i="8"/>
  <c r="AA84" i="8"/>
  <c r="AA80" i="8"/>
  <c r="AA120" i="8"/>
  <c r="AA124" i="8"/>
  <c r="AA114" i="8"/>
  <c r="AA28" i="8" s="1"/>
  <c r="AA268" i="7"/>
  <c r="AA277" i="7"/>
  <c r="AA279" i="7" s="1"/>
  <c r="AA247" i="8"/>
  <c r="AA285" i="8" s="1"/>
  <c r="AA247" i="7"/>
  <c r="AA285" i="7" s="1"/>
  <c r="Y85" i="8"/>
  <c r="Y86" i="8" s="1"/>
  <c r="Y81" i="8"/>
  <c r="Y82" i="8" s="1"/>
  <c r="AA80" i="7"/>
  <c r="AA84" i="7"/>
  <c r="Z243" i="7"/>
  <c r="Z281" i="7" s="1"/>
  <c r="Z283" i="7" s="1"/>
  <c r="Z243" i="8"/>
  <c r="Z281" i="8" s="1"/>
  <c r="Z283" i="8" s="1"/>
  <c r="AA120" i="7"/>
  <c r="AA124" i="7"/>
  <c r="AA114" i="7"/>
  <c r="AA28" i="7" s="1"/>
  <c r="Z30" i="8"/>
  <c r="Z32" i="8" s="1"/>
  <c r="Z42" i="8"/>
  <c r="Z44" i="8" s="1"/>
  <c r="Z46" i="8" s="1"/>
  <c r="Z49" i="8"/>
  <c r="Z51" i="8" s="1"/>
  <c r="Z53" i="8" s="1"/>
  <c r="Z55" i="8" s="1"/>
  <c r="Z126" i="7"/>
  <c r="AA121" i="8"/>
  <c r="AA125" i="8"/>
  <c r="AA122" i="8" l="1"/>
  <c r="AA281" i="7"/>
  <c r="AA283" i="7" s="1"/>
  <c r="AA30" i="7"/>
  <c r="AA32" i="7" s="1"/>
  <c r="AA42" i="7"/>
  <c r="AA44" i="7" s="1"/>
  <c r="AA46" i="7" s="1"/>
  <c r="AA49" i="7"/>
  <c r="AA51" i="7" s="1"/>
  <c r="AA53" i="7" s="1"/>
  <c r="AA55" i="7" s="1"/>
  <c r="AA30" i="8"/>
  <c r="AA32" i="8" s="1"/>
  <c r="AA42" i="8"/>
  <c r="AA44" i="8" s="1"/>
  <c r="AA46" i="8" s="1"/>
  <c r="AA49" i="8"/>
  <c r="AA51" i="8" s="1"/>
  <c r="AA53" i="8" s="1"/>
  <c r="AA55" i="8" s="1"/>
  <c r="AA126" i="7"/>
  <c r="AA126" i="8"/>
  <c r="AA122" i="7"/>
  <c r="Z81" i="8"/>
  <c r="Z82" i="8" s="1"/>
  <c r="Z85" i="8"/>
  <c r="Z86" i="8" s="1"/>
  <c r="Z85" i="7"/>
  <c r="Z86" i="7" s="1"/>
  <c r="Z81" i="7"/>
  <c r="Z82" i="7" s="1"/>
  <c r="AA281" i="8"/>
  <c r="AA283" i="8" s="1"/>
  <c r="AA85" i="7" l="1"/>
  <c r="AA86" i="7" s="1"/>
  <c r="AA81" i="7"/>
  <c r="AA82" i="7" s="1"/>
  <c r="AA85" i="8"/>
  <c r="AA86" i="8" s="1"/>
  <c r="AA81" i="8"/>
  <c r="AA82" i="8" s="1"/>
  <c r="AB40" i="4" l="1"/>
  <c r="CB40" i="4" l="1"/>
  <c r="CB63" i="4" l="1"/>
  <c r="AB117" i="4" l="1"/>
  <c r="AB130" i="4" s="1"/>
  <c r="CB101" i="4"/>
  <c r="AB63" i="4" l="1"/>
  <c r="AB164" i="4" s="1"/>
  <c r="AB179" i="4" s="1"/>
  <c r="CB83" i="4" l="1"/>
  <c r="CB87" i="4" l="1"/>
  <c r="CB78" i="4" l="1"/>
  <c r="CB32" i="4"/>
  <c r="AB32" i="4" l="1"/>
  <c r="CB90" i="4"/>
  <c r="CB98" i="4"/>
  <c r="K19" i="10" l="1"/>
  <c r="K22" i="10" l="1"/>
  <c r="L44" i="13"/>
  <c r="L45" i="13" s="1"/>
  <c r="L19" i="13" s="1"/>
  <c r="K114" i="12" l="1"/>
  <c r="L114" i="12"/>
  <c r="M114" i="12"/>
  <c r="N114" i="12"/>
  <c r="O114" i="12"/>
  <c r="T114" i="12"/>
  <c r="U114" i="12"/>
  <c r="V114" i="12"/>
  <c r="S114" i="12"/>
  <c r="R114" i="12"/>
  <c r="Q114" i="12"/>
  <c r="P114" i="12"/>
  <c r="K105" i="12"/>
  <c r="M19" i="10" l="1"/>
  <c r="V19" i="10"/>
  <c r="U19" i="10"/>
  <c r="N19" i="10"/>
  <c r="Q105" i="12"/>
  <c r="Q19" i="10"/>
  <c r="R19" i="10"/>
  <c r="P105" i="12"/>
  <c r="P19" i="10"/>
  <c r="O19" i="10"/>
  <c r="L105" i="12"/>
  <c r="L19" i="10"/>
  <c r="O105" i="12"/>
  <c r="V105" i="12"/>
  <c r="U105" i="12"/>
  <c r="N105" i="12"/>
  <c r="M105" i="12"/>
  <c r="U22" i="10" l="1"/>
  <c r="O22" i="10"/>
  <c r="P22" i="10"/>
  <c r="R22" i="10"/>
  <c r="N22" i="10"/>
  <c r="Q22" i="10"/>
  <c r="L22" i="10"/>
  <c r="M22" i="10"/>
  <c r="R105" i="12"/>
  <c r="S19" i="10"/>
  <c r="S105" i="12"/>
  <c r="T19" i="10"/>
  <c r="T105" i="12"/>
  <c r="T22" i="10" l="1"/>
  <c r="S22" i="10"/>
  <c r="L136" i="4"/>
  <c r="L137" i="4" s="1"/>
  <c r="L109" i="13" l="1"/>
  <c r="M63" i="13" l="1"/>
  <c r="M83" i="13" s="1"/>
  <c r="N35" i="10"/>
  <c r="N63" i="13"/>
  <c r="N123" i="12"/>
  <c r="M123" i="12"/>
  <c r="L63" i="13" l="1"/>
  <c r="L83" i="13" s="1"/>
  <c r="O35" i="10"/>
  <c r="N83" i="13"/>
  <c r="O63" i="13"/>
  <c r="O83" i="13" s="1"/>
  <c r="N24" i="10"/>
  <c r="N124" i="12"/>
  <c r="N64" i="13"/>
  <c r="N84" i="13" s="1"/>
  <c r="M64" i="13"/>
  <c r="M124" i="12"/>
  <c r="M24" i="10"/>
  <c r="M35" i="10"/>
  <c r="O123" i="12"/>
  <c r="L123" i="12"/>
  <c r="O24" i="10" l="1"/>
  <c r="N85" i="13"/>
  <c r="K63" i="13"/>
  <c r="N65" i="13"/>
  <c r="P35" i="10"/>
  <c r="P63" i="13"/>
  <c r="P83" i="13" s="1"/>
  <c r="O64" i="13"/>
  <c r="O124" i="12"/>
  <c r="L64" i="13"/>
  <c r="L124" i="12"/>
  <c r="M29" i="10"/>
  <c r="M65" i="13"/>
  <c r="M84" i="13"/>
  <c r="M85" i="13" s="1"/>
  <c r="L24" i="10"/>
  <c r="L35" i="10"/>
  <c r="N29" i="10"/>
  <c r="K123" i="12"/>
  <c r="P123" i="12"/>
  <c r="O29" i="10" l="1"/>
  <c r="N39" i="10"/>
  <c r="P24" i="10"/>
  <c r="P29" i="10" s="1"/>
  <c r="M77" i="13"/>
  <c r="M23" i="13"/>
  <c r="N77" i="13"/>
  <c r="N23" i="13"/>
  <c r="J63" i="13"/>
  <c r="M39" i="10"/>
  <c r="K64" i="13"/>
  <c r="K84" i="13" s="1"/>
  <c r="K124" i="12"/>
  <c r="L65" i="13"/>
  <c r="L84" i="13"/>
  <c r="L85" i="13" s="1"/>
  <c r="O65" i="13"/>
  <c r="O84" i="13"/>
  <c r="O85" i="13" s="1"/>
  <c r="Q63" i="13"/>
  <c r="K83" i="13"/>
  <c r="K24" i="10"/>
  <c r="K35" i="10"/>
  <c r="L29" i="10"/>
  <c r="P124" i="12"/>
  <c r="P64" i="13"/>
  <c r="J123" i="12"/>
  <c r="Q123" i="12"/>
  <c r="K36" i="10" l="1"/>
  <c r="K37" i="10" s="1"/>
  <c r="O39" i="10"/>
  <c r="P39" i="10"/>
  <c r="L39" i="10"/>
  <c r="K65" i="13"/>
  <c r="K77" i="13" s="1"/>
  <c r="Q35" i="10"/>
  <c r="Q24" i="10"/>
  <c r="K85" i="13"/>
  <c r="K97" i="13" s="1"/>
  <c r="K99" i="13" s="1"/>
  <c r="R35" i="10"/>
  <c r="K27" i="10"/>
  <c r="K29" i="10"/>
  <c r="R63" i="13"/>
  <c r="P65" i="13"/>
  <c r="P84" i="13"/>
  <c r="P85" i="13" s="1"/>
  <c r="I24" i="10"/>
  <c r="I63" i="13"/>
  <c r="J64" i="13"/>
  <c r="J84" i="13" s="1"/>
  <c r="J124" i="12"/>
  <c r="Q64" i="13"/>
  <c r="Q84" i="13" s="1"/>
  <c r="Q124" i="12"/>
  <c r="Q83" i="13"/>
  <c r="J24" i="10"/>
  <c r="O23" i="13"/>
  <c r="O77" i="13"/>
  <c r="J83" i="13"/>
  <c r="J35" i="10"/>
  <c r="N25" i="13"/>
  <c r="N27" i="13"/>
  <c r="M25" i="13"/>
  <c r="M27" i="13"/>
  <c r="L23" i="13"/>
  <c r="L77" i="13"/>
  <c r="I123" i="12"/>
  <c r="R123" i="12"/>
  <c r="J36" i="10" l="1"/>
  <c r="J37" i="10" s="1"/>
  <c r="K32" i="10"/>
  <c r="K42" i="10" s="1"/>
  <c r="Q29" i="10"/>
  <c r="Q39" i="10" s="1"/>
  <c r="J85" i="13"/>
  <c r="J97" i="13" s="1"/>
  <c r="J99" i="13" s="1"/>
  <c r="K23" i="13"/>
  <c r="K25" i="13" s="1"/>
  <c r="K45" i="10"/>
  <c r="R24" i="10"/>
  <c r="K39" i="10"/>
  <c r="I27" i="10"/>
  <c r="I29" i="10"/>
  <c r="J29" i="10"/>
  <c r="J27" i="10"/>
  <c r="I124" i="12"/>
  <c r="I64" i="13"/>
  <c r="I84" i="13" s="1"/>
  <c r="L25" i="13"/>
  <c r="L27" i="13"/>
  <c r="M31" i="13"/>
  <c r="S64" i="13"/>
  <c r="S84" i="13" s="1"/>
  <c r="P23" i="13"/>
  <c r="P77" i="13"/>
  <c r="S63" i="13"/>
  <c r="Q85" i="13"/>
  <c r="Q65" i="13"/>
  <c r="N31" i="13"/>
  <c r="R83" i="13"/>
  <c r="H63" i="13"/>
  <c r="J65" i="13"/>
  <c r="O25" i="13"/>
  <c r="O27" i="13"/>
  <c r="I83" i="13"/>
  <c r="R64" i="13"/>
  <c r="R84" i="13" s="1"/>
  <c r="R124" i="12"/>
  <c r="I35" i="10"/>
  <c r="H123" i="12"/>
  <c r="S123" i="12"/>
  <c r="K48" i="10" l="1"/>
  <c r="R29" i="10"/>
  <c r="R39" i="10" s="1"/>
  <c r="I36" i="10"/>
  <c r="I37" i="10" s="1"/>
  <c r="J32" i="10"/>
  <c r="J42" i="10" s="1"/>
  <c r="I65" i="13"/>
  <c r="I77" i="13" s="1"/>
  <c r="K27" i="13"/>
  <c r="K29" i="13" s="1"/>
  <c r="K33" i="13" s="1"/>
  <c r="I85" i="13"/>
  <c r="I97" i="13" s="1"/>
  <c r="I99" i="13" s="1"/>
  <c r="J45" i="10"/>
  <c r="S124" i="12"/>
  <c r="R85" i="13"/>
  <c r="P25" i="13"/>
  <c r="P27" i="13"/>
  <c r="O31" i="13"/>
  <c r="T24" i="10"/>
  <c r="T63" i="13"/>
  <c r="J77" i="13"/>
  <c r="J23" i="13"/>
  <c r="Q77" i="13"/>
  <c r="Q23" i="13"/>
  <c r="L31" i="13"/>
  <c r="H64" i="13"/>
  <c r="H84" i="13" s="1"/>
  <c r="H124" i="12"/>
  <c r="G63" i="13"/>
  <c r="G24" i="10"/>
  <c r="H35" i="10"/>
  <c r="S65" i="13"/>
  <c r="S83" i="13"/>
  <c r="S85" i="13" s="1"/>
  <c r="H83" i="13"/>
  <c r="S24" i="10"/>
  <c r="J39" i="10"/>
  <c r="H24" i="10"/>
  <c r="S35" i="10"/>
  <c r="I39" i="10"/>
  <c r="I32" i="10"/>
  <c r="R65" i="13"/>
  <c r="T123" i="12"/>
  <c r="G123" i="12"/>
  <c r="I23" i="13" l="1"/>
  <c r="J48" i="10"/>
  <c r="H36" i="10"/>
  <c r="H37" i="10" s="1"/>
  <c r="K31" i="13"/>
  <c r="H65" i="13"/>
  <c r="H77" i="13" s="1"/>
  <c r="I42" i="10"/>
  <c r="I48" i="10"/>
  <c r="I45" i="10"/>
  <c r="H85" i="13"/>
  <c r="H97" i="13" s="1"/>
  <c r="H99" i="13" s="1"/>
  <c r="G29" i="10"/>
  <c r="G27" i="10"/>
  <c r="T29" i="10"/>
  <c r="U24" i="10"/>
  <c r="J25" i="13"/>
  <c r="J27" i="13"/>
  <c r="U63" i="13"/>
  <c r="G83" i="13"/>
  <c r="H29" i="10"/>
  <c r="H27" i="10"/>
  <c r="S29" i="10"/>
  <c r="T83" i="13"/>
  <c r="T35" i="10"/>
  <c r="S23" i="13"/>
  <c r="S77" i="13"/>
  <c r="T64" i="13"/>
  <c r="T84" i="13" s="1"/>
  <c r="T124" i="12"/>
  <c r="G64" i="13"/>
  <c r="G84" i="13" s="1"/>
  <c r="G124" i="12"/>
  <c r="I25" i="13"/>
  <c r="I27" i="13"/>
  <c r="P31" i="13"/>
  <c r="R77" i="13"/>
  <c r="R23" i="13"/>
  <c r="Q25" i="13"/>
  <c r="Q27" i="13"/>
  <c r="G35" i="10"/>
  <c r="U123" i="12"/>
  <c r="H32" i="10" l="1"/>
  <c r="G36" i="10"/>
  <c r="G37" i="10" s="1"/>
  <c r="G32" i="10"/>
  <c r="G42" i="10" s="1"/>
  <c r="H23" i="13"/>
  <c r="H25" i="13" s="1"/>
  <c r="H48" i="10"/>
  <c r="H45" i="10"/>
  <c r="T65" i="13"/>
  <c r="T77" i="13" s="1"/>
  <c r="U35" i="10"/>
  <c r="H39" i="10"/>
  <c r="T85" i="13"/>
  <c r="V63" i="13"/>
  <c r="H42" i="10"/>
  <c r="G65" i="13"/>
  <c r="Q31" i="13"/>
  <c r="G85" i="13"/>
  <c r="G97" i="13" s="1"/>
  <c r="G99" i="13" s="1"/>
  <c r="S25" i="13"/>
  <c r="S27" i="13"/>
  <c r="R25" i="13"/>
  <c r="R27" i="13"/>
  <c r="U83" i="13"/>
  <c r="U29" i="10"/>
  <c r="J29" i="13"/>
  <c r="J33" i="13" s="1"/>
  <c r="J31" i="13"/>
  <c r="S39" i="10"/>
  <c r="U64" i="13"/>
  <c r="U84" i="13" s="1"/>
  <c r="U124" i="12"/>
  <c r="I29" i="13"/>
  <c r="I33" i="13" s="1"/>
  <c r="I31" i="13"/>
  <c r="T39" i="10"/>
  <c r="G39" i="10"/>
  <c r="V123" i="12"/>
  <c r="G45" i="10" l="1"/>
  <c r="G48" i="10"/>
  <c r="H27" i="13"/>
  <c r="H31" i="13" s="1"/>
  <c r="T23" i="13"/>
  <c r="T27" i="13" s="1"/>
  <c r="U85" i="13"/>
  <c r="R31" i="13"/>
  <c r="S31" i="13"/>
  <c r="T25" i="13"/>
  <c r="G23" i="13"/>
  <c r="G77" i="13"/>
  <c r="V64" i="13"/>
  <c r="V84" i="13" s="1"/>
  <c r="V124" i="12"/>
  <c r="U39" i="10"/>
  <c r="H29" i="13"/>
  <c r="H33" i="13" s="1"/>
  <c r="V83" i="13"/>
  <c r="W63" i="13"/>
  <c r="V35" i="10"/>
  <c r="U65" i="13"/>
  <c r="V24" i="10"/>
  <c r="W123" i="12"/>
  <c r="W64" i="13" l="1"/>
  <c r="W124" i="12"/>
  <c r="V29" i="10"/>
  <c r="U77" i="13"/>
  <c r="U23" i="13"/>
  <c r="G25" i="13"/>
  <c r="G27" i="13"/>
  <c r="T31" i="13"/>
  <c r="W83" i="13"/>
  <c r="X63" i="13"/>
  <c r="X35" i="10"/>
  <c r="W35" i="10"/>
  <c r="V85" i="13"/>
  <c r="V65" i="13"/>
  <c r="X123" i="12"/>
  <c r="W65" i="13" l="1"/>
  <c r="W23" i="13" s="1"/>
  <c r="X83" i="13"/>
  <c r="Y35" i="10"/>
  <c r="Y63" i="13"/>
  <c r="G29" i="13"/>
  <c r="G33" i="13" s="1"/>
  <c r="G31" i="13"/>
  <c r="V77" i="13"/>
  <c r="V23" i="13"/>
  <c r="U25" i="13"/>
  <c r="U27" i="13"/>
  <c r="V39" i="10"/>
  <c r="X64" i="13"/>
  <c r="X124" i="12"/>
  <c r="Y123" i="12"/>
  <c r="W77" i="13" l="1"/>
  <c r="W25" i="13"/>
  <c r="U31" i="13"/>
  <c r="Y83" i="13"/>
  <c r="V25" i="13"/>
  <c r="V27" i="13"/>
  <c r="Y64" i="13"/>
  <c r="Y124" i="12"/>
  <c r="X65" i="13"/>
  <c r="Y65" i="13" l="1"/>
  <c r="Y23" i="13" s="1"/>
  <c r="V31" i="13"/>
  <c r="X23" i="13"/>
  <c r="X77" i="13"/>
  <c r="Y77" i="13" l="1"/>
  <c r="X25" i="13"/>
  <c r="Y25" i="13"/>
  <c r="Z35" i="10" l="1"/>
  <c r="Z63" i="13"/>
  <c r="Z123" i="12"/>
  <c r="AA63" i="13" l="1"/>
  <c r="Z83" i="13"/>
  <c r="Z64" i="13"/>
  <c r="Z124" i="12"/>
  <c r="AA123" i="12"/>
  <c r="Z65" i="13" l="1"/>
  <c r="Z77" i="13" s="1"/>
  <c r="AA124" i="12"/>
  <c r="AA64" i="13"/>
  <c r="AA83" i="13"/>
  <c r="AA35" i="10"/>
  <c r="Z23" i="13" l="1"/>
  <c r="Z25" i="13" s="1"/>
  <c r="AA65" i="13"/>
  <c r="AA77" i="13" l="1"/>
  <c r="AA23" i="13"/>
  <c r="AA25" i="13" l="1"/>
  <c r="AH45" i="11" l="1"/>
  <c r="DA133" i="4" l="1"/>
  <c r="CB24" i="4"/>
  <c r="AB114" i="4" l="1"/>
  <c r="CB57" i="4"/>
  <c r="CB59" i="4" s="1"/>
  <c r="CB27" i="4"/>
  <c r="CB28" i="4" s="1"/>
  <c r="AB115" i="4"/>
  <c r="CB34" i="4"/>
  <c r="CB99" i="4"/>
  <c r="AB116" i="4"/>
  <c r="CB35" i="4" l="1"/>
  <c r="CB42" i="4" s="1"/>
  <c r="CQ84" i="5"/>
  <c r="AA32" i="4" l="1"/>
  <c r="AA108" i="12"/>
  <c r="AA40" i="4" l="1"/>
  <c r="AG45" i="11" l="1"/>
  <c r="AA63" i="4" l="1"/>
  <c r="AA164" i="4" s="1"/>
  <c r="AA179" i="4" s="1"/>
  <c r="AC40" i="4" l="1"/>
  <c r="CC40" i="4" l="1"/>
  <c r="AB50" i="13"/>
  <c r="AB20" i="10"/>
  <c r="AD40" i="4" l="1"/>
  <c r="AB109" i="12"/>
  <c r="AB119" i="12"/>
  <c r="AE40" i="4" l="1"/>
  <c r="AF40" i="4" l="1"/>
  <c r="AG40" i="4" l="1"/>
  <c r="AH40" i="4" l="1"/>
  <c r="AH111" i="12" l="1"/>
  <c r="AH53" i="13" l="1"/>
  <c r="AH93" i="13" s="1"/>
  <c r="AH121" i="12"/>
  <c r="AF45" i="11" l="1"/>
  <c r="AC45" i="11"/>
  <c r="AE45" i="11"/>
  <c r="AD45" i="11"/>
  <c r="T27" i="11" l="1"/>
  <c r="T22" i="11"/>
  <c r="T29" i="11"/>
  <c r="T33" i="11"/>
  <c r="T18" i="11"/>
  <c r="T24" i="11"/>
  <c r="T19" i="11"/>
  <c r="T45" i="11"/>
  <c r="T17" i="11"/>
  <c r="K24" i="11"/>
  <c r="K32" i="11"/>
  <c r="K19" i="11"/>
  <c r="K28" i="11"/>
  <c r="K29" i="11"/>
  <c r="K17" i="11"/>
  <c r="K45" i="11"/>
  <c r="K27" i="11"/>
  <c r="K23" i="11"/>
  <c r="K18" i="11"/>
  <c r="K22" i="11"/>
  <c r="K33" i="11"/>
  <c r="O29" i="11"/>
  <c r="O17" i="11"/>
  <c r="O18" i="11"/>
  <c r="O33" i="11"/>
  <c r="O27" i="11"/>
  <c r="O19" i="11"/>
  <c r="O24" i="11"/>
  <c r="O45" i="11"/>
  <c r="O22" i="11"/>
  <c r="Z45" i="11"/>
  <c r="Z33" i="11"/>
  <c r="Z29" i="11"/>
  <c r="Z24" i="11"/>
  <c r="Z39" i="11" s="1"/>
  <c r="Z19" i="11"/>
  <c r="X45" i="11"/>
  <c r="X33" i="11"/>
  <c r="X24" i="11"/>
  <c r="X29" i="11"/>
  <c r="X19" i="11"/>
  <c r="P33" i="11"/>
  <c r="P17" i="11"/>
  <c r="P24" i="11"/>
  <c r="P39" i="11" s="1"/>
  <c r="P18" i="11"/>
  <c r="P45" i="11"/>
  <c r="P27" i="11"/>
  <c r="P22" i="11"/>
  <c r="P19" i="11"/>
  <c r="P29" i="11"/>
  <c r="I17" i="11"/>
  <c r="I23" i="11"/>
  <c r="I38" i="11" s="1"/>
  <c r="I18" i="11"/>
  <c r="I22" i="11"/>
  <c r="I32" i="11"/>
  <c r="I19" i="11"/>
  <c r="I27" i="11"/>
  <c r="I28" i="11"/>
  <c r="I45" i="11"/>
  <c r="I33" i="11"/>
  <c r="I29" i="11"/>
  <c r="I24" i="11"/>
  <c r="N29" i="11"/>
  <c r="N17" i="11"/>
  <c r="N24" i="11"/>
  <c r="N22" i="11"/>
  <c r="N33" i="11"/>
  <c r="N19" i="11"/>
  <c r="N18" i="11"/>
  <c r="N27" i="11"/>
  <c r="N45" i="11"/>
  <c r="G17" i="11"/>
  <c r="G32" i="11"/>
  <c r="G28" i="11"/>
  <c r="G29" i="11"/>
  <c r="G18" i="11"/>
  <c r="G45" i="11"/>
  <c r="G33" i="11"/>
  <c r="G19" i="11"/>
  <c r="G24" i="11"/>
  <c r="G39" i="11" s="1"/>
  <c r="G23" i="11"/>
  <c r="G38" i="11" s="1"/>
  <c r="G27" i="11"/>
  <c r="G22" i="11"/>
  <c r="H28" i="11"/>
  <c r="H24" i="11"/>
  <c r="H27" i="11"/>
  <c r="H45" i="11"/>
  <c r="H17" i="11"/>
  <c r="H33" i="11"/>
  <c r="H22" i="11"/>
  <c r="H23" i="11"/>
  <c r="H18" i="11"/>
  <c r="H19" i="11"/>
  <c r="H29" i="11"/>
  <c r="H32" i="11"/>
  <c r="J32" i="11"/>
  <c r="J29" i="11"/>
  <c r="J23" i="11"/>
  <c r="J24" i="11"/>
  <c r="J33" i="11"/>
  <c r="J45" i="11"/>
  <c r="J17" i="11"/>
  <c r="J27" i="11"/>
  <c r="J18" i="11"/>
  <c r="J19" i="11"/>
  <c r="J22" i="11"/>
  <c r="J28" i="11"/>
  <c r="W45" i="11"/>
  <c r="W33" i="11"/>
  <c r="W19" i="11"/>
  <c r="W29" i="11"/>
  <c r="W24" i="11"/>
  <c r="AB45" i="11"/>
  <c r="AB29" i="11"/>
  <c r="AB19" i="11"/>
  <c r="AB24" i="11"/>
  <c r="AB39" i="11" s="1"/>
  <c r="AB18" i="11"/>
  <c r="V24" i="11"/>
  <c r="V33" i="11"/>
  <c r="V27" i="11"/>
  <c r="V45" i="11"/>
  <c r="V22" i="11"/>
  <c r="V19" i="11"/>
  <c r="V29" i="11"/>
  <c r="V17" i="11"/>
  <c r="Q18" i="11"/>
  <c r="Q29" i="11"/>
  <c r="Q45" i="11"/>
  <c r="Q17" i="11"/>
  <c r="Q27" i="11"/>
  <c r="Q22" i="11"/>
  <c r="Q24" i="11"/>
  <c r="Q33" i="11"/>
  <c r="Q19" i="11"/>
  <c r="R17" i="11"/>
  <c r="R33" i="11"/>
  <c r="R22" i="11"/>
  <c r="R24" i="11"/>
  <c r="R18" i="11"/>
  <c r="R19" i="11"/>
  <c r="R45" i="11"/>
  <c r="R29" i="11"/>
  <c r="R27" i="11"/>
  <c r="S24" i="11"/>
  <c r="S19" i="11"/>
  <c r="S33" i="11"/>
  <c r="S27" i="11"/>
  <c r="S18" i="11"/>
  <c r="S29" i="11"/>
  <c r="S17" i="11"/>
  <c r="S22" i="11"/>
  <c r="S45" i="11"/>
  <c r="M45" i="11"/>
  <c r="M22" i="11"/>
  <c r="M27" i="11"/>
  <c r="M18" i="11"/>
  <c r="M24" i="11"/>
  <c r="M19" i="11"/>
  <c r="M29" i="11"/>
  <c r="M33" i="11"/>
  <c r="M17" i="11"/>
  <c r="AA29" i="11"/>
  <c r="AA33" i="11"/>
  <c r="AA19" i="11"/>
  <c r="AA45" i="11"/>
  <c r="AA24" i="11"/>
  <c r="AA39" i="11" s="1"/>
  <c r="Y29" i="11"/>
  <c r="Y24" i="11"/>
  <c r="Y45" i="11"/>
  <c r="Y33" i="11"/>
  <c r="Y19" i="11"/>
  <c r="U27" i="11"/>
  <c r="U29" i="11"/>
  <c r="U22" i="11"/>
  <c r="U17" i="11"/>
  <c r="U19" i="11"/>
  <c r="U45" i="11"/>
  <c r="U33" i="11"/>
  <c r="U24" i="11"/>
  <c r="U18" i="11"/>
  <c r="L24" i="11"/>
  <c r="L39" i="11" s="1"/>
  <c r="L17" i="11"/>
  <c r="L27" i="11"/>
  <c r="L18" i="11"/>
  <c r="L45" i="11"/>
  <c r="L33" i="11"/>
  <c r="L22" i="11"/>
  <c r="L29" i="11"/>
  <c r="L19" i="11"/>
  <c r="J34" i="11" l="1"/>
  <c r="J35" i="11" s="1"/>
  <c r="S39" i="11"/>
  <c r="V39" i="11"/>
  <c r="I39" i="11"/>
  <c r="R20" i="11"/>
  <c r="T39" i="11"/>
  <c r="Y39" i="11"/>
  <c r="W39" i="11"/>
  <c r="H20" i="11"/>
  <c r="G20" i="11"/>
  <c r="K20" i="11"/>
  <c r="O39" i="11"/>
  <c r="O20" i="11"/>
  <c r="J30" i="11"/>
  <c r="J43" i="11" s="1"/>
  <c r="H34" i="11"/>
  <c r="H35" i="11" s="1"/>
  <c r="S20" i="11"/>
  <c r="M20" i="11"/>
  <c r="R37" i="11"/>
  <c r="Q20" i="11"/>
  <c r="G34" i="11"/>
  <c r="G35" i="11" s="1"/>
  <c r="N39" i="11"/>
  <c r="I30" i="11"/>
  <c r="N20" i="11"/>
  <c r="P37" i="11"/>
  <c r="U20" i="11"/>
  <c r="S37" i="11"/>
  <c r="X39" i="11"/>
  <c r="O37" i="11"/>
  <c r="L20" i="11"/>
  <c r="J20" i="11"/>
  <c r="H30" i="11"/>
  <c r="I37" i="11"/>
  <c r="I25" i="11"/>
  <c r="H39" i="11"/>
  <c r="K25" i="11"/>
  <c r="K37" i="11"/>
  <c r="Q39" i="11"/>
  <c r="I34" i="11"/>
  <c r="I35" i="11" s="1"/>
  <c r="K34" i="11"/>
  <c r="K35" i="11" s="1"/>
  <c r="U37" i="11"/>
  <c r="M39" i="11"/>
  <c r="L37" i="11"/>
  <c r="U39" i="11"/>
  <c r="Q37" i="11"/>
  <c r="J39" i="11"/>
  <c r="H38" i="11"/>
  <c r="G25" i="11"/>
  <c r="G37" i="11"/>
  <c r="I20" i="11"/>
  <c r="P20" i="11"/>
  <c r="K38" i="11"/>
  <c r="K39" i="11"/>
  <c r="T37" i="11"/>
  <c r="M37" i="11"/>
  <c r="R39" i="11"/>
  <c r="V37" i="11"/>
  <c r="J25" i="11"/>
  <c r="J37" i="11"/>
  <c r="J38" i="11"/>
  <c r="H25" i="11"/>
  <c r="H37" i="11"/>
  <c r="G30" i="11"/>
  <c r="N37" i="11"/>
  <c r="K30" i="11"/>
  <c r="T20" i="11"/>
  <c r="G40" i="11" l="1"/>
  <c r="J40" i="11"/>
  <c r="I40" i="11"/>
  <c r="J46" i="11"/>
  <c r="H40" i="11"/>
  <c r="I43" i="11"/>
  <c r="I46" i="11"/>
  <c r="K43" i="11"/>
  <c r="K46" i="11"/>
  <c r="H46" i="11"/>
  <c r="H43" i="11"/>
  <c r="G43" i="11"/>
  <c r="G46" i="11"/>
  <c r="K40" i="11"/>
  <c r="AB24" i="4" l="1"/>
  <c r="BX95" i="4" l="1"/>
  <c r="BX53" i="4"/>
  <c r="BX104" i="4"/>
  <c r="BY104" i="4"/>
  <c r="BY53" i="4"/>
  <c r="BY95" i="4"/>
  <c r="BW99" i="4"/>
  <c r="W116" i="4"/>
  <c r="W129" i="4" s="1"/>
  <c r="W79" i="4"/>
  <c r="X116" i="4"/>
  <c r="X129" i="4" s="1"/>
  <c r="BX99" i="4"/>
  <c r="Z115" i="4"/>
  <c r="Z128" i="4" s="1"/>
  <c r="BZ34" i="4"/>
  <c r="W114" i="4"/>
  <c r="BW27" i="4"/>
  <c r="BW28" i="4" s="1"/>
  <c r="BW57" i="4"/>
  <c r="BW59" i="4" s="1"/>
  <c r="Z116" i="4"/>
  <c r="Z129" i="4" s="1"/>
  <c r="BZ99" i="4"/>
  <c r="BW104" i="4"/>
  <c r="BW95" i="4"/>
  <c r="BW53" i="4"/>
  <c r="Y114" i="4"/>
  <c r="BY57" i="4"/>
  <c r="BY59" i="4" s="1"/>
  <c r="BY27" i="4"/>
  <c r="BY28" i="4" s="1"/>
  <c r="BY35" i="4" s="1"/>
  <c r="BZ53" i="4"/>
  <c r="BZ104" i="4"/>
  <c r="BZ95" i="4"/>
  <c r="CY133" i="4"/>
  <c r="BX57" i="4"/>
  <c r="BX59" i="4" s="1"/>
  <c r="X114" i="4"/>
  <c r="BX27" i="4"/>
  <c r="BX28" i="4" s="1"/>
  <c r="BX35" i="4" s="1"/>
  <c r="Y115" i="4"/>
  <c r="Y128" i="4" s="1"/>
  <c r="BY34" i="4"/>
  <c r="CZ133" i="4"/>
  <c r="BW34" i="4"/>
  <c r="W115" i="4"/>
  <c r="W128" i="4" s="1"/>
  <c r="AA114" i="4"/>
  <c r="CA27" i="4"/>
  <c r="CA28" i="4" s="1"/>
  <c r="Z114" i="4"/>
  <c r="BZ27" i="4"/>
  <c r="BZ28" i="4" s="1"/>
  <c r="BZ57" i="4"/>
  <c r="BZ59" i="4" s="1"/>
  <c r="BX34" i="4"/>
  <c r="X115" i="4"/>
  <c r="X128" i="4" s="1"/>
  <c r="V114" i="4"/>
  <c r="BV27" i="4"/>
  <c r="BV28" i="4" s="1"/>
  <c r="BV99" i="4"/>
  <c r="V79" i="4"/>
  <c r="V116" i="4"/>
  <c r="V129" i="4" s="1"/>
  <c r="BY99" i="4"/>
  <c r="Y116" i="4"/>
  <c r="Y129" i="4" s="1"/>
  <c r="W50" i="13"/>
  <c r="W90" i="13" s="1"/>
  <c r="W20" i="10"/>
  <c r="X20" i="10"/>
  <c r="X50" i="13"/>
  <c r="X90" i="13" s="1"/>
  <c r="Z20" i="10"/>
  <c r="Z50" i="13"/>
  <c r="Z90" i="13" s="1"/>
  <c r="V20" i="10"/>
  <c r="V50" i="13"/>
  <c r="V90" i="13" s="1"/>
  <c r="Y50" i="13"/>
  <c r="Y90" i="13" s="1"/>
  <c r="Y20" i="10"/>
  <c r="BW35" i="4" l="1"/>
  <c r="DG28" i="4" s="1"/>
  <c r="BZ35" i="4"/>
  <c r="BZ42" i="4" s="1"/>
  <c r="V127" i="4"/>
  <c r="AA127" i="4"/>
  <c r="B113" i="9"/>
  <c r="BY42" i="4"/>
  <c r="DI28" i="4"/>
  <c r="BX42" i="4"/>
  <c r="DH28" i="4"/>
  <c r="CM84" i="5"/>
  <c r="X127" i="4"/>
  <c r="Y127" i="4"/>
  <c r="CN84" i="5"/>
  <c r="CL84" i="5"/>
  <c r="W127" i="4"/>
  <c r="V18" i="11"/>
  <c r="V20" i="11" s="1"/>
  <c r="V22" i="10"/>
  <c r="BW64" i="4"/>
  <c r="W73" i="4"/>
  <c r="W113" i="4"/>
  <c r="BY64" i="4"/>
  <c r="Y113" i="4"/>
  <c r="W24" i="10"/>
  <c r="W44" i="13"/>
  <c r="AA27" i="4"/>
  <c r="AA161" i="4"/>
  <c r="AA176" i="4" s="1"/>
  <c r="Z44" i="13"/>
  <c r="Z24" i="10"/>
  <c r="Z18" i="11"/>
  <c r="X18" i="11"/>
  <c r="Y24" i="10"/>
  <c r="Y44" i="13"/>
  <c r="W18" i="11"/>
  <c r="BX64" i="4"/>
  <c r="X113" i="4"/>
  <c r="CO84" i="5"/>
  <c r="Z127" i="4"/>
  <c r="X24" i="10"/>
  <c r="X44" i="13"/>
  <c r="Y18" i="11"/>
  <c r="AB168" i="4"/>
  <c r="Z113" i="4"/>
  <c r="BZ64" i="4"/>
  <c r="Y109" i="12"/>
  <c r="V119" i="12"/>
  <c r="Z119" i="12"/>
  <c r="W109" i="12"/>
  <c r="W119" i="12"/>
  <c r="Y119" i="12"/>
  <c r="Z109" i="12"/>
  <c r="X119" i="12"/>
  <c r="V109" i="12"/>
  <c r="X109" i="12"/>
  <c r="X114" i="12"/>
  <c r="X19" i="10"/>
  <c r="Y114" i="12"/>
  <c r="Y19" i="10"/>
  <c r="W19" i="10"/>
  <c r="W114" i="12"/>
  <c r="Z114" i="12"/>
  <c r="Z19" i="10"/>
  <c r="Y136" i="4"/>
  <c r="W136" i="4"/>
  <c r="X136" i="4"/>
  <c r="Z136" i="4"/>
  <c r="BW42" i="4" l="1"/>
  <c r="DJ28" i="4"/>
  <c r="BW65" i="4"/>
  <c r="AA28" i="4"/>
  <c r="BX65" i="4"/>
  <c r="W76" i="4"/>
  <c r="W75" i="4" s="1"/>
  <c r="W118" i="4"/>
  <c r="W126" i="4"/>
  <c r="W131" i="4" s="1"/>
  <c r="W141" i="4" s="1"/>
  <c r="DG27" i="4"/>
  <c r="Z144" i="4"/>
  <c r="Z145" i="4"/>
  <c r="BZ92" i="4"/>
  <c r="Z139" i="4"/>
  <c r="BY92" i="4"/>
  <c r="Y144" i="4"/>
  <c r="Y145" i="4"/>
  <c r="Y139" i="4"/>
  <c r="B127" i="9"/>
  <c r="G113" i="9"/>
  <c r="B115" i="9"/>
  <c r="B129" i="9" s="1"/>
  <c r="W17" i="11"/>
  <c r="W20" i="11" s="1"/>
  <c r="W22" i="10"/>
  <c r="W29" i="10"/>
  <c r="W39" i="10" s="1"/>
  <c r="Y29" i="10"/>
  <c r="Y39" i="10" s="1"/>
  <c r="Y17" i="11"/>
  <c r="Y20" i="11" s="1"/>
  <c r="Y22" i="10"/>
  <c r="CA104" i="4"/>
  <c r="CA53" i="4"/>
  <c r="AA113" i="4" s="1"/>
  <c r="CA95" i="4"/>
  <c r="X22" i="10"/>
  <c r="X17" i="11"/>
  <c r="X20" i="11" s="1"/>
  <c r="X29" i="10"/>
  <c r="X39" i="10" s="1"/>
  <c r="X45" i="13"/>
  <c r="X84" i="13"/>
  <c r="X85" i="13" s="1"/>
  <c r="Z22" i="11"/>
  <c r="W84" i="13"/>
  <c r="W85" i="13" s="1"/>
  <c r="W45" i="13"/>
  <c r="BZ65" i="4"/>
  <c r="X22" i="11"/>
  <c r="Y45" i="13"/>
  <c r="Y84" i="13"/>
  <c r="Y85" i="13" s="1"/>
  <c r="Z84" i="13"/>
  <c r="Z85" i="13" s="1"/>
  <c r="Z45" i="13"/>
  <c r="W22" i="11"/>
  <c r="W145" i="4"/>
  <c r="BW92" i="4"/>
  <c r="W139" i="4"/>
  <c r="W144" i="4"/>
  <c r="BV34" i="4"/>
  <c r="V115" i="4"/>
  <c r="BV57" i="4"/>
  <c r="BV59" i="4" s="1"/>
  <c r="BV64" i="4" s="1"/>
  <c r="X118" i="4"/>
  <c r="DH27" i="4"/>
  <c r="X76" i="4"/>
  <c r="X75" i="4" s="1"/>
  <c r="X126" i="4"/>
  <c r="X131" i="4" s="1"/>
  <c r="X141" i="4" s="1"/>
  <c r="CA34" i="4"/>
  <c r="AA115" i="4"/>
  <c r="CA57" i="4"/>
  <c r="Z22" i="10"/>
  <c r="Z29" i="10"/>
  <c r="Z17" i="11"/>
  <c r="Z20" i="11" s="1"/>
  <c r="Z118" i="4"/>
  <c r="Z76" i="4"/>
  <c r="Z75" i="4" s="1"/>
  <c r="DJ27" i="4"/>
  <c r="Z126" i="4"/>
  <c r="Z131" i="4" s="1"/>
  <c r="Z141" i="4" s="1"/>
  <c r="Y22" i="11"/>
  <c r="Y118" i="4"/>
  <c r="Y126" i="4"/>
  <c r="Y131" i="4" s="1"/>
  <c r="Y141" i="4" s="1"/>
  <c r="DI27" i="4"/>
  <c r="Y76" i="4"/>
  <c r="Y75" i="4" s="1"/>
  <c r="BY65" i="4"/>
  <c r="X144" i="4"/>
  <c r="X139" i="4"/>
  <c r="X145" i="4"/>
  <c r="BX92" i="4"/>
  <c r="Z105" i="12"/>
  <c r="W105" i="12"/>
  <c r="Y105" i="12"/>
  <c r="X105" i="12"/>
  <c r="X109" i="13"/>
  <c r="W109" i="13"/>
  <c r="Z109" i="13"/>
  <c r="Y109" i="13"/>
  <c r="AA53" i="4"/>
  <c r="AA160" i="4" s="1"/>
  <c r="BV35" i="4" l="1"/>
  <c r="BV42" i="4" s="1"/>
  <c r="V145" i="4" s="1"/>
  <c r="CA35" i="4"/>
  <c r="CA42" i="4" s="1"/>
  <c r="AA145" i="4" s="1"/>
  <c r="Y137" i="4"/>
  <c r="X137" i="4"/>
  <c r="CA59" i="4"/>
  <c r="CA64" i="4" s="1"/>
  <c r="W137" i="4"/>
  <c r="DH30" i="4"/>
  <c r="DH31" i="4" s="1"/>
  <c r="X142" i="4"/>
  <c r="AA76" i="4"/>
  <c r="AA75" i="4" s="1"/>
  <c r="AA126" i="4"/>
  <c r="G127" i="9"/>
  <c r="G115" i="9"/>
  <c r="G129" i="9" s="1"/>
  <c r="V128" i="4"/>
  <c r="V131" i="4" s="1"/>
  <c r="V118" i="4"/>
  <c r="CK84" i="5"/>
  <c r="X19" i="13"/>
  <c r="AA175" i="4"/>
  <c r="CB53" i="4"/>
  <c r="CB104" i="4"/>
  <c r="CB95" i="4"/>
  <c r="Z19" i="13"/>
  <c r="X27" i="11"/>
  <c r="X37" i="11" s="1"/>
  <c r="AA24" i="10"/>
  <c r="AA44" i="13"/>
  <c r="W19" i="13"/>
  <c r="Y27" i="11"/>
  <c r="Y37" i="11" s="1"/>
  <c r="AA128" i="4"/>
  <c r="CP84" i="5"/>
  <c r="CA99" i="4"/>
  <c r="AA116" i="4"/>
  <c r="AA129" i="4" s="1"/>
  <c r="AB170" i="4"/>
  <c r="AB128" i="4"/>
  <c r="Z142" i="4"/>
  <c r="DJ30" i="4"/>
  <c r="DJ31" i="4" s="1"/>
  <c r="W27" i="11"/>
  <c r="W37" i="11" s="1"/>
  <c r="AA34" i="4"/>
  <c r="AA162" i="4"/>
  <c r="AA177" i="4" s="1"/>
  <c r="AA57" i="4"/>
  <c r="DI30" i="4"/>
  <c r="DI31" i="4" s="1"/>
  <c r="Y142" i="4"/>
  <c r="Y19" i="13"/>
  <c r="Z137" i="4"/>
  <c r="W142" i="4"/>
  <c r="DG30" i="4"/>
  <c r="DG31" i="4" s="1"/>
  <c r="Z27" i="11"/>
  <c r="Z37" i="11" s="1"/>
  <c r="Z39" i="10"/>
  <c r="AA114" i="12"/>
  <c r="AA19" i="10"/>
  <c r="AB69" i="13"/>
  <c r="AA20" i="10"/>
  <c r="AA50" i="13"/>
  <c r="AA90" i="13" s="1"/>
  <c r="V136" i="4"/>
  <c r="AA163" i="4"/>
  <c r="AA178" i="4" s="1"/>
  <c r="V144" i="4" l="1"/>
  <c r="V139" i="4"/>
  <c r="BV92" i="4"/>
  <c r="AA144" i="4"/>
  <c r="CA92" i="4"/>
  <c r="AA139" i="4"/>
  <c r="V141" i="4"/>
  <c r="BV65" i="4"/>
  <c r="CA65" i="4"/>
  <c r="V137" i="4"/>
  <c r="AA35" i="4"/>
  <c r="AA42" i="4" s="1"/>
  <c r="AA136" i="4"/>
  <c r="V142" i="4"/>
  <c r="W27" i="13"/>
  <c r="W31" i="13" s="1"/>
  <c r="X27" i="13"/>
  <c r="X31" i="13" s="1"/>
  <c r="Y27" i="13"/>
  <c r="Y31" i="13" s="1"/>
  <c r="AA22" i="11"/>
  <c r="AB113" i="4"/>
  <c r="CB64" i="4"/>
  <c r="CB65" i="4" s="1"/>
  <c r="AA118" i="4"/>
  <c r="AA84" i="13"/>
  <c r="AA85" i="13" s="1"/>
  <c r="AA45" i="13"/>
  <c r="AA165" i="4"/>
  <c r="AA131" i="4"/>
  <c r="AA141" i="4" s="1"/>
  <c r="AA180" i="4"/>
  <c r="AB34" i="4"/>
  <c r="AB162" i="4"/>
  <c r="AB177" i="4" s="1"/>
  <c r="AB171" i="4"/>
  <c r="AB129" i="4"/>
  <c r="AA29" i="10"/>
  <c r="AA17" i="11"/>
  <c r="AA22" i="10"/>
  <c r="AA18" i="11"/>
  <c r="AA59" i="4"/>
  <c r="AA64" i="4" s="1"/>
  <c r="Z27" i="13"/>
  <c r="Z31" i="13" s="1"/>
  <c r="AA105" i="12"/>
  <c r="AA119" i="12"/>
  <c r="AA109" i="12"/>
  <c r="AB128" i="12"/>
  <c r="AC170" i="4"/>
  <c r="V109" i="13"/>
  <c r="AB70" i="13"/>
  <c r="AB90" i="13" s="1"/>
  <c r="AB163" i="4"/>
  <c r="AB53" i="4"/>
  <c r="AB160" i="4" s="1"/>
  <c r="AA65" i="4" l="1"/>
  <c r="AA20" i="11"/>
  <c r="AA137" i="4"/>
  <c r="AA109" i="13"/>
  <c r="AA142" i="4"/>
  <c r="AA27" i="11"/>
  <c r="AA37" i="11" s="1"/>
  <c r="AA19" i="13"/>
  <c r="AB44" i="13"/>
  <c r="AB45" i="13" s="1"/>
  <c r="AB178" i="4"/>
  <c r="AB175" i="4"/>
  <c r="AB126" i="4"/>
  <c r="AB118" i="4"/>
  <c r="AB76" i="4"/>
  <c r="AB75" i="4" s="1"/>
  <c r="AA39" i="10"/>
  <c r="AB129" i="12"/>
  <c r="AB19" i="10"/>
  <c r="AB114" i="12"/>
  <c r="AC69" i="13"/>
  <c r="AD170" i="4"/>
  <c r="AA27" i="13" l="1"/>
  <c r="AA31" i="13" s="1"/>
  <c r="CC34" i="4"/>
  <c r="AC115" i="4"/>
  <c r="AC128" i="4" s="1"/>
  <c r="AB17" i="11"/>
  <c r="AB20" i="11" s="1"/>
  <c r="AB22" i="10"/>
  <c r="AB19" i="13"/>
  <c r="AC128" i="12"/>
  <c r="AB105" i="12"/>
  <c r="AD69" i="13"/>
  <c r="AE170" i="4"/>
  <c r="AC171" i="4"/>
  <c r="CD34" i="4" l="1"/>
  <c r="AD115" i="4"/>
  <c r="AD128" i="4" s="1"/>
  <c r="AC34" i="4"/>
  <c r="AC162" i="4"/>
  <c r="AC177" i="4" s="1"/>
  <c r="AD128" i="12"/>
  <c r="AF170" i="4"/>
  <c r="AE69" i="13"/>
  <c r="AC70" i="13"/>
  <c r="AD171" i="4"/>
  <c r="AD34" i="4" l="1"/>
  <c r="AD162" i="4"/>
  <c r="AD177" i="4" s="1"/>
  <c r="CE34" i="4"/>
  <c r="AE115" i="4"/>
  <c r="AE128" i="4" s="1"/>
  <c r="AC129" i="12"/>
  <c r="AE128" i="12"/>
  <c r="AF69" i="13"/>
  <c r="AG170" i="4"/>
  <c r="AE171" i="4"/>
  <c r="AD70" i="13"/>
  <c r="AF115" i="4" l="1"/>
  <c r="AF128" i="4" s="1"/>
  <c r="CF34" i="4"/>
  <c r="AE34" i="4"/>
  <c r="AE162" i="4"/>
  <c r="AE177" i="4" s="1"/>
  <c r="AF128" i="12"/>
  <c r="AD129" i="12"/>
  <c r="AG69" i="13"/>
  <c r="AE70" i="13"/>
  <c r="AF171" i="4"/>
  <c r="AG115" i="4" l="1"/>
  <c r="AG128" i="4" s="1"/>
  <c r="CG34" i="4"/>
  <c r="AF162" i="4"/>
  <c r="AF177" i="4" s="1"/>
  <c r="AF34" i="4"/>
  <c r="AH170" i="4"/>
  <c r="AG128" i="12"/>
  <c r="AE129" i="12"/>
  <c r="AF70" i="13"/>
  <c r="AG171" i="4"/>
  <c r="AG34" i="4" l="1"/>
  <c r="AG162" i="4"/>
  <c r="AG177" i="4" s="1"/>
  <c r="AH115" i="4"/>
  <c r="AH128" i="4" s="1"/>
  <c r="CH34" i="4"/>
  <c r="AF129" i="12"/>
  <c r="AG70" i="13"/>
  <c r="AH34" i="4" l="1"/>
  <c r="AH162" i="4"/>
  <c r="AH177" i="4" s="1"/>
  <c r="AH128" i="12"/>
  <c r="AH69" i="13"/>
  <c r="AH171" i="4"/>
  <c r="AG129" i="12"/>
  <c r="AH49" i="13" l="1"/>
  <c r="AH89" i="13" s="1"/>
  <c r="AH118" i="12" l="1"/>
  <c r="AH70" i="13"/>
  <c r="AH129" i="12"/>
  <c r="CF40" i="4" l="1"/>
  <c r="CD40" i="4"/>
  <c r="CC63" i="4"/>
  <c r="AC117" i="4" l="1"/>
  <c r="AC130" i="4" s="1"/>
  <c r="CC101" i="4"/>
  <c r="CE40" i="4"/>
  <c r="CF63" i="4"/>
  <c r="AF117" i="4" s="1"/>
  <c r="AF130" i="4" s="1"/>
  <c r="CG40" i="4"/>
  <c r="AC63" i="4"/>
  <c r="AC164" i="4" s="1"/>
  <c r="AC179" i="4" s="1"/>
  <c r="CE63" i="4" l="1"/>
  <c r="AE117" i="4" s="1"/>
  <c r="AE130" i="4" s="1"/>
  <c r="CF101" i="4"/>
  <c r="CH40" i="4"/>
  <c r="AE63" i="4"/>
  <c r="AE164" i="4" s="1"/>
  <c r="AE179" i="4" s="1"/>
  <c r="CD63" i="4"/>
  <c r="AF63" i="4"/>
  <c r="AF164" i="4" s="1"/>
  <c r="AF179" i="4" s="1"/>
  <c r="AD117" i="4" l="1"/>
  <c r="AD130" i="4" s="1"/>
  <c r="CD101" i="4"/>
  <c r="CE101" i="4"/>
  <c r="AD63" i="4"/>
  <c r="AD164" i="4" s="1"/>
  <c r="AD179" i="4" s="1"/>
  <c r="CG63" i="4"/>
  <c r="AG63" i="4"/>
  <c r="AG164" i="4" s="1"/>
  <c r="AG179" i="4" s="1"/>
  <c r="AG117" i="4" l="1"/>
  <c r="AG130" i="4" s="1"/>
  <c r="CG101" i="4"/>
  <c r="CH63" i="4" l="1"/>
  <c r="AH63" i="4" l="1"/>
  <c r="AH164" i="4" s="1"/>
  <c r="AH179" i="4" s="1"/>
  <c r="AH117" i="4"/>
  <c r="AH130" i="4" s="1"/>
  <c r="CH101" i="4"/>
  <c r="AH52" i="13" l="1"/>
  <c r="AH120" i="12"/>
  <c r="AH26" i="10"/>
  <c r="AH21" i="10"/>
  <c r="AH19" i="11" l="1"/>
  <c r="AH31" i="10"/>
  <c r="AH29" i="11" s="1"/>
  <c r="AH110" i="12"/>
  <c r="AH24" i="11"/>
  <c r="AH55" i="13"/>
  <c r="AH92" i="13"/>
  <c r="AH95" i="13" s="1"/>
  <c r="AH41" i="10" l="1"/>
  <c r="AH39" i="11"/>
  <c r="AB161" i="4" l="1"/>
  <c r="AB57" i="4"/>
  <c r="AB59" i="4" s="1"/>
  <c r="AB64" i="4" s="1"/>
  <c r="AB27" i="4"/>
  <c r="AB28" i="4" s="1"/>
  <c r="AB35" i="4" s="1"/>
  <c r="AB42" i="4" s="1"/>
  <c r="AB127" i="4"/>
  <c r="AB131" i="4" s="1"/>
  <c r="AB169" i="4"/>
  <c r="AB172" i="4" s="1"/>
  <c r="AB124" i="4"/>
  <c r="AB136" i="4"/>
  <c r="AB139" i="4" l="1"/>
  <c r="CB92" i="4"/>
  <c r="AB145" i="4"/>
  <c r="AB144" i="4"/>
  <c r="AB141" i="4"/>
  <c r="AB142" i="4"/>
  <c r="AB65" i="4"/>
  <c r="AB137" i="4"/>
  <c r="AB176" i="4"/>
  <c r="AB180" i="4" s="1"/>
  <c r="AB165" i="4"/>
  <c r="AB109" i="13"/>
  <c r="AC116" i="4" l="1"/>
  <c r="AC129" i="4" s="1"/>
  <c r="CC99" i="4"/>
  <c r="AC163" i="4"/>
  <c r="AC178" i="4" s="1"/>
  <c r="AC50" i="13"/>
  <c r="AC90" i="13" s="1"/>
  <c r="AD116" i="4" l="1"/>
  <c r="AD129" i="4" s="1"/>
  <c r="CD99" i="4"/>
  <c r="AC109" i="12"/>
  <c r="AC119" i="12"/>
  <c r="AD50" i="13"/>
  <c r="AD90" i="13" s="1"/>
  <c r="AD163" i="4"/>
  <c r="AD178" i="4" s="1"/>
  <c r="AE116" i="4" l="1"/>
  <c r="AE129" i="4" s="1"/>
  <c r="CE99" i="4"/>
  <c r="AD119" i="12"/>
  <c r="AD109" i="12"/>
  <c r="AE163" i="4"/>
  <c r="AE178" i="4" s="1"/>
  <c r="AE50" i="13"/>
  <c r="AE90" i="13" s="1"/>
  <c r="CF99" i="4" l="1"/>
  <c r="AF116" i="4"/>
  <c r="AF129" i="4" s="1"/>
  <c r="AE109" i="12"/>
  <c r="AE119" i="12"/>
  <c r="AF50" i="13"/>
  <c r="AF90" i="13" s="1"/>
  <c r="AF163" i="4"/>
  <c r="AF178" i="4" s="1"/>
  <c r="AG116" i="4" l="1"/>
  <c r="AG129" i="4" s="1"/>
  <c r="CG99" i="4"/>
  <c r="AF109" i="12"/>
  <c r="AF119" i="12"/>
  <c r="AG50" i="13"/>
  <c r="AG90" i="13" s="1"/>
  <c r="AG163" i="4"/>
  <c r="AG178" i="4" s="1"/>
  <c r="AH163" i="4" l="1"/>
  <c r="AH178" i="4" s="1"/>
  <c r="AG119" i="12"/>
  <c r="AG109" i="12"/>
  <c r="AH109" i="12" l="1"/>
  <c r="CH99" i="4"/>
  <c r="AH116" i="4"/>
  <c r="AH129" i="4" s="1"/>
  <c r="AH119" i="12" l="1"/>
  <c r="AH50" i="13"/>
  <c r="AH90" i="13" s="1"/>
  <c r="CC57" i="4" l="1"/>
  <c r="CC59" i="4" s="1"/>
  <c r="AC114" i="4"/>
  <c r="CC27" i="4"/>
  <c r="CC28" i="4" s="1"/>
  <c r="CD27" i="4" l="1"/>
  <c r="CD28" i="4" s="1"/>
  <c r="CD57" i="4"/>
  <c r="CD59" i="4" s="1"/>
  <c r="AD114" i="4"/>
  <c r="CS84" i="5" s="1"/>
  <c r="CR84" i="5"/>
  <c r="AC127" i="4"/>
  <c r="AC169" i="4"/>
  <c r="AC57" i="4"/>
  <c r="AC59" i="4" s="1"/>
  <c r="AC161" i="4"/>
  <c r="AC27" i="4"/>
  <c r="AC28" i="4" s="1"/>
  <c r="CE27" i="4" l="1"/>
  <c r="CE28" i="4" s="1"/>
  <c r="CE57" i="4"/>
  <c r="CE59" i="4" s="1"/>
  <c r="AE114" i="4"/>
  <c r="CT84" i="5" s="1"/>
  <c r="AD57" i="4"/>
  <c r="AD59" i="4" s="1"/>
  <c r="AD27" i="4"/>
  <c r="AD28" i="4" s="1"/>
  <c r="AD161" i="4"/>
  <c r="AD127" i="4"/>
  <c r="AD169" i="4"/>
  <c r="AC176" i="4"/>
  <c r="AD176" i="4" l="1"/>
  <c r="CF57" i="4"/>
  <c r="CF59" i="4" s="1"/>
  <c r="AF114" i="4"/>
  <c r="CF27" i="4"/>
  <c r="CF28" i="4" s="1"/>
  <c r="AE57" i="4"/>
  <c r="AE59" i="4" s="1"/>
  <c r="AE161" i="4"/>
  <c r="AE27" i="4"/>
  <c r="AE28" i="4" s="1"/>
  <c r="AE169" i="4"/>
  <c r="AE127" i="4"/>
  <c r="AF127" i="4" l="1"/>
  <c r="AF169" i="4"/>
  <c r="AE176" i="4"/>
  <c r="CU84" i="5"/>
  <c r="AF27" i="4"/>
  <c r="AF28" i="4" s="1"/>
  <c r="AF57" i="4"/>
  <c r="AF59" i="4" s="1"/>
  <c r="AF161" i="4"/>
  <c r="AF176" i="4" s="1"/>
  <c r="AG114" i="4"/>
  <c r="CG57" i="4"/>
  <c r="CG59" i="4" s="1"/>
  <c r="CG27" i="4"/>
  <c r="CG28" i="4" s="1"/>
  <c r="AG27" i="4" l="1"/>
  <c r="AG28" i="4" s="1"/>
  <c r="AG161" i="4"/>
  <c r="AG57" i="4"/>
  <c r="AG59" i="4" s="1"/>
  <c r="AG169" i="4"/>
  <c r="AG127" i="4"/>
  <c r="CV84" i="5"/>
  <c r="AH48" i="13"/>
  <c r="AH46" i="13" l="1"/>
  <c r="CH27" i="4"/>
  <c r="CH28" i="4" s="1"/>
  <c r="CH57" i="4"/>
  <c r="CH59" i="4" s="1"/>
  <c r="AH114" i="4"/>
  <c r="AH161" i="4"/>
  <c r="AH27" i="4"/>
  <c r="AH28" i="4" s="1"/>
  <c r="AH57" i="4"/>
  <c r="AH59" i="4" s="1"/>
  <c r="AG176" i="4"/>
  <c r="AH47" i="13"/>
  <c r="CW84" i="5" l="1"/>
  <c r="AH127" i="4"/>
  <c r="AH169" i="4"/>
  <c r="AH176" i="4" s="1"/>
  <c r="AH51" i="13"/>
  <c r="AH20" i="13" s="1"/>
  <c r="AH115" i="12"/>
  <c r="AH116" i="12"/>
  <c r="AH117" i="12"/>
  <c r="CC53" i="4" l="1"/>
  <c r="CC104" i="4"/>
  <c r="CC64" i="4" l="1"/>
  <c r="AC113" i="4"/>
  <c r="AH68" i="13"/>
  <c r="AH88" i="13" s="1"/>
  <c r="AH127" i="12"/>
  <c r="AH125" i="12"/>
  <c r="AH66" i="13"/>
  <c r="AH25" i="10"/>
  <c r="AH67" i="13"/>
  <c r="AH87" i="13" s="1"/>
  <c r="AH126" i="12"/>
  <c r="AH71" i="13" l="1"/>
  <c r="AH24" i="13" s="1"/>
  <c r="AH28" i="13" s="1"/>
  <c r="AH32" i="13" s="1"/>
  <c r="AH86" i="13"/>
  <c r="AH91" i="13" s="1"/>
  <c r="AC124" i="4"/>
  <c r="AC168" i="4"/>
  <c r="AC172" i="4" s="1"/>
  <c r="AC118" i="4"/>
  <c r="AC126" i="4"/>
  <c r="AC131" i="4" s="1"/>
  <c r="AC76" i="4"/>
  <c r="AH23" i="11"/>
  <c r="AC44" i="13"/>
  <c r="AC45" i="13" s="1"/>
  <c r="AC136" i="4"/>
  <c r="AC137" i="4" l="1"/>
  <c r="AC19" i="13"/>
  <c r="AC142" i="4"/>
  <c r="CC24" i="4"/>
  <c r="AC75" i="4" s="1"/>
  <c r="CC95" i="4"/>
  <c r="DB133" i="4"/>
  <c r="AC19" i="10"/>
  <c r="AC53" i="4"/>
  <c r="CD24" i="4"/>
  <c r="AC24" i="4"/>
  <c r="AC109" i="13"/>
  <c r="AC64" i="4" l="1"/>
  <c r="AC160" i="4"/>
  <c r="AC17" i="11"/>
  <c r="AC114" i="12"/>
  <c r="AD24" i="4"/>
  <c r="AD53" i="4"/>
  <c r="CD95" i="4" l="1"/>
  <c r="DC133" i="4"/>
  <c r="CD104" i="4"/>
  <c r="CD53" i="4"/>
  <c r="CE24" i="4"/>
  <c r="AC165" i="4"/>
  <c r="AC175" i="4"/>
  <c r="AC180" i="4" s="1"/>
  <c r="AD64" i="4"/>
  <c r="AD160" i="4"/>
  <c r="AC105" i="12"/>
  <c r="AE24" i="4"/>
  <c r="CE95" i="4"/>
  <c r="AE53" i="4"/>
  <c r="AD44" i="13" l="1"/>
  <c r="AD45" i="13" s="1"/>
  <c r="AE160" i="4"/>
  <c r="AE64" i="4"/>
  <c r="AD168" i="4"/>
  <c r="AD172" i="4" s="1"/>
  <c r="AD124" i="4"/>
  <c r="CF24" i="4"/>
  <c r="CE104" i="4"/>
  <c r="CE53" i="4"/>
  <c r="DD133" i="4"/>
  <c r="CD64" i="4"/>
  <c r="AD113" i="4"/>
  <c r="AD165" i="4"/>
  <c r="AD114" i="12"/>
  <c r="AD19" i="10"/>
  <c r="AF53" i="4"/>
  <c r="AD136" i="4"/>
  <c r="AF24" i="4"/>
  <c r="AF160" i="4" l="1"/>
  <c r="AF64" i="4"/>
  <c r="AE124" i="4"/>
  <c r="AE168" i="4"/>
  <c r="AE172" i="4" s="1"/>
  <c r="AD175" i="4"/>
  <c r="AD180" i="4" s="1"/>
  <c r="CF104" i="4"/>
  <c r="DE133" i="4"/>
  <c r="CF53" i="4"/>
  <c r="AE165" i="4"/>
  <c r="CE64" i="4"/>
  <c r="AE113" i="4"/>
  <c r="AE44" i="13"/>
  <c r="AE45" i="13" s="1"/>
  <c r="AD17" i="11"/>
  <c r="AD126" i="4"/>
  <c r="AD131" i="4" s="1"/>
  <c r="AD76" i="4"/>
  <c r="AD75" i="4" s="1"/>
  <c r="AD118" i="4"/>
  <c r="CG24" i="4"/>
  <c r="CF95" i="4"/>
  <c r="AD19" i="13"/>
  <c r="AD105" i="12"/>
  <c r="AE114" i="12"/>
  <c r="AE19" i="10"/>
  <c r="AD109" i="13"/>
  <c r="AG53" i="4"/>
  <c r="AE136" i="4"/>
  <c r="AG24" i="4"/>
  <c r="AE17" i="11" l="1"/>
  <c r="AD142" i="4"/>
  <c r="AE19" i="13"/>
  <c r="AF168" i="4"/>
  <c r="AF172" i="4" s="1"/>
  <c r="AF124" i="4"/>
  <c r="AE175" i="4"/>
  <c r="AE180" i="4" s="1"/>
  <c r="AE126" i="4"/>
  <c r="AE131" i="4" s="1"/>
  <c r="AE137" i="4" s="1"/>
  <c r="AE118" i="4"/>
  <c r="AE76" i="4"/>
  <c r="AE75" i="4" s="1"/>
  <c r="AF44" i="13"/>
  <c r="AF45" i="13" s="1"/>
  <c r="AD137" i="4"/>
  <c r="DF133" i="4"/>
  <c r="CG104" i="4"/>
  <c r="CG53" i="4"/>
  <c r="CG95" i="4"/>
  <c r="AG64" i="4"/>
  <c r="AG160" i="4"/>
  <c r="AF113" i="4"/>
  <c r="CF64" i="4"/>
  <c r="AF165" i="4"/>
  <c r="AE105" i="12"/>
  <c r="AF114" i="12"/>
  <c r="AF19" i="10"/>
  <c r="AF136" i="4"/>
  <c r="AE109" i="13"/>
  <c r="AF175" i="4" l="1"/>
  <c r="AF180" i="4" s="1"/>
  <c r="AF126" i="4"/>
  <c r="AF131" i="4" s="1"/>
  <c r="AF137" i="4" s="1"/>
  <c r="AF118" i="4"/>
  <c r="AF76" i="4"/>
  <c r="AF75" i="4" s="1"/>
  <c r="CH24" i="4"/>
  <c r="CH95" i="4"/>
  <c r="AG44" i="13"/>
  <c r="AG45" i="13" s="1"/>
  <c r="AG124" i="4"/>
  <c r="AG168" i="4"/>
  <c r="AG172" i="4" s="1"/>
  <c r="AH24" i="4"/>
  <c r="AF17" i="11"/>
  <c r="AG165" i="4"/>
  <c r="AH53" i="4"/>
  <c r="AG113" i="4"/>
  <c r="CG64" i="4"/>
  <c r="AF19" i="13"/>
  <c r="AE142" i="4"/>
  <c r="AH136" i="4"/>
  <c r="AF105" i="12"/>
  <c r="AG114" i="12"/>
  <c r="AG19" i="10"/>
  <c r="AF109" i="13"/>
  <c r="AG136" i="4"/>
  <c r="AF142" i="4" l="1"/>
  <c r="AG126" i="4"/>
  <c r="AG131" i="4" s="1"/>
  <c r="AG118" i="4"/>
  <c r="AG76" i="4"/>
  <c r="AG75" i="4" s="1"/>
  <c r="AG17" i="11"/>
  <c r="AH160" i="4"/>
  <c r="AH64" i="4"/>
  <c r="DG133" i="4"/>
  <c r="CH53" i="4"/>
  <c r="CH104" i="4"/>
  <c r="AG175" i="4"/>
  <c r="AG180" i="4" s="1"/>
  <c r="AG19" i="13"/>
  <c r="AH124" i="4"/>
  <c r="AH168" i="4"/>
  <c r="AH172" i="4" s="1"/>
  <c r="AG105" i="12"/>
  <c r="AG109" i="13"/>
  <c r="AG142" i="4" l="1"/>
  <c r="AH114" i="12"/>
  <c r="AH175" i="4"/>
  <c r="AH180" i="4" s="1"/>
  <c r="AH165" i="4"/>
  <c r="AH113" i="4"/>
  <c r="CH64" i="4"/>
  <c r="AG137" i="4"/>
  <c r="AH109" i="13"/>
  <c r="AH44" i="13"/>
  <c r="AH45" i="13" s="1"/>
  <c r="AH34" i="10"/>
  <c r="AH32" i="11" l="1"/>
  <c r="AH19" i="13"/>
  <c r="AH57" i="13"/>
  <c r="AH118" i="4"/>
  <c r="AH126" i="4"/>
  <c r="AH131" i="4" s="1"/>
  <c r="AH76" i="4"/>
  <c r="AH75" i="4" s="1"/>
  <c r="AH19" i="10"/>
  <c r="AH105" i="12"/>
  <c r="AH137" i="4" l="1"/>
  <c r="AH17" i="11"/>
  <c r="AH21" i="13"/>
  <c r="AH142" i="4"/>
  <c r="AA121" i="12" l="1"/>
  <c r="AA120" i="12" l="1"/>
  <c r="AA111" i="12"/>
  <c r="AA110" i="12" l="1"/>
  <c r="AC53" i="13" l="1"/>
  <c r="AC93" i="13" s="1"/>
  <c r="AC121" i="12" l="1"/>
  <c r="AE53" i="13"/>
  <c r="AE93" i="13" s="1"/>
  <c r="AC52" i="13" l="1"/>
  <c r="AC26" i="10"/>
  <c r="AC111" i="12"/>
  <c r="AE121" i="12"/>
  <c r="AC120" i="12"/>
  <c r="AF53" i="13"/>
  <c r="AF93" i="13" s="1"/>
  <c r="AC21" i="10"/>
  <c r="AC31" i="10" l="1"/>
  <c r="AC29" i="11" s="1"/>
  <c r="AC19" i="11"/>
  <c r="AC24" i="11"/>
  <c r="AC55" i="13"/>
  <c r="AC92" i="13"/>
  <c r="AC95" i="13" s="1"/>
  <c r="AF121" i="12"/>
  <c r="AE111" i="12"/>
  <c r="AC110" i="12"/>
  <c r="AD53" i="13"/>
  <c r="AD93" i="13" s="1"/>
  <c r="AC41" i="10" l="1"/>
  <c r="AC39" i="11"/>
  <c r="AF26" i="10"/>
  <c r="AF52" i="13"/>
  <c r="AE52" i="13"/>
  <c r="AE26" i="10"/>
  <c r="AF111" i="12"/>
  <c r="AD121" i="12"/>
  <c r="AF120" i="12"/>
  <c r="AE120" i="12"/>
  <c r="AG53" i="13"/>
  <c r="AG93" i="13" s="1"/>
  <c r="AE21" i="10"/>
  <c r="AF21" i="10"/>
  <c r="AF31" i="10" l="1"/>
  <c r="AF29" i="11" s="1"/>
  <c r="AF19" i="11"/>
  <c r="AD26" i="10"/>
  <c r="AD52" i="13"/>
  <c r="AE24" i="11"/>
  <c r="AE55" i="13"/>
  <c r="AE92" i="13"/>
  <c r="AE95" i="13" s="1"/>
  <c r="AE31" i="10"/>
  <c r="AE29" i="11" s="1"/>
  <c r="AE19" i="11"/>
  <c r="AF92" i="13"/>
  <c r="AF95" i="13" s="1"/>
  <c r="AF55" i="13"/>
  <c r="AF24" i="11"/>
  <c r="AE110" i="12"/>
  <c r="AD111" i="12"/>
  <c r="AF110" i="12"/>
  <c r="AD120" i="12"/>
  <c r="AG121" i="12"/>
  <c r="AD21" i="10"/>
  <c r="AF41" i="10" l="1"/>
  <c r="AE41" i="10"/>
  <c r="AF39" i="11"/>
  <c r="AE39" i="11"/>
  <c r="AG52" i="13"/>
  <c r="AG26" i="10"/>
  <c r="AD92" i="13"/>
  <c r="AD95" i="13" s="1"/>
  <c r="AD55" i="13"/>
  <c r="AD24" i="11"/>
  <c r="AD31" i="10"/>
  <c r="AD29" i="11" s="1"/>
  <c r="AD19" i="11"/>
  <c r="AG111" i="12"/>
  <c r="AD110" i="12"/>
  <c r="AG120" i="12"/>
  <c r="AG21" i="10"/>
  <c r="AD41" i="10" l="1"/>
  <c r="AD39" i="11"/>
  <c r="AG19" i="11"/>
  <c r="AG31" i="10"/>
  <c r="AG29" i="11" s="1"/>
  <c r="AG24" i="11"/>
  <c r="AG92" i="13"/>
  <c r="AG95" i="13" s="1"/>
  <c r="AG55" i="13"/>
  <c r="AG110" i="12"/>
  <c r="AG41" i="10" l="1"/>
  <c r="AG39" i="11"/>
  <c r="AB47" i="13" l="1"/>
  <c r="AB48" i="13"/>
  <c r="AB46" i="13" l="1"/>
  <c r="AB117" i="12"/>
  <c r="AB116" i="12"/>
  <c r="AB115" i="12"/>
  <c r="X47" i="13" l="1"/>
  <c r="X87" i="13" s="1"/>
  <c r="X48" i="13"/>
  <c r="X88" i="13" s="1"/>
  <c r="Y47" i="13"/>
  <c r="Y87" i="13" s="1"/>
  <c r="Y48" i="13"/>
  <c r="Y88" i="13" s="1"/>
  <c r="V47" i="13"/>
  <c r="V87" i="13" s="1"/>
  <c r="V48" i="13"/>
  <c r="V88" i="13" s="1"/>
  <c r="Z47" i="13"/>
  <c r="Z87" i="13" s="1"/>
  <c r="Z48" i="13"/>
  <c r="Z88" i="13" s="1"/>
  <c r="W47" i="13"/>
  <c r="W87" i="13" s="1"/>
  <c r="W48" i="13"/>
  <c r="W88" i="13" s="1"/>
  <c r="AA47" i="13"/>
  <c r="AA87" i="13" s="1"/>
  <c r="AA48" i="13"/>
  <c r="AA88" i="13" s="1"/>
  <c r="W46" i="13" l="1"/>
  <c r="Y46" i="13"/>
  <c r="X46" i="13"/>
  <c r="Z46" i="13"/>
  <c r="AA46" i="13"/>
  <c r="V46" i="13"/>
  <c r="V115" i="12"/>
  <c r="V117" i="12"/>
  <c r="V116" i="12"/>
  <c r="V86" i="13" l="1"/>
  <c r="X86" i="13"/>
  <c r="Y86" i="13"/>
  <c r="AA86" i="13"/>
  <c r="Z86" i="13"/>
  <c r="W86" i="13"/>
  <c r="AB67" i="13"/>
  <c r="AB87" i="13" s="1"/>
  <c r="AB68" i="13"/>
  <c r="AB88" i="13" s="1"/>
  <c r="AB66" i="13"/>
  <c r="AB71" i="13" l="1"/>
  <c r="AB24" i="13" s="1"/>
  <c r="AB86" i="13"/>
  <c r="AB125" i="12"/>
  <c r="AB127" i="12"/>
  <c r="AB126" i="12"/>
  <c r="AC67" i="13" l="1"/>
  <c r="AC66" i="13"/>
  <c r="AC68" i="13"/>
  <c r="AC48" i="13"/>
  <c r="AC47" i="13"/>
  <c r="AC87" i="13" s="1"/>
  <c r="AC46" i="13" l="1"/>
  <c r="AC88" i="13"/>
  <c r="AC71" i="13"/>
  <c r="AC24" i="13" s="1"/>
  <c r="AC117" i="12"/>
  <c r="AC116" i="12"/>
  <c r="AD47" i="13"/>
  <c r="AD48" i="13"/>
  <c r="AC127" i="12"/>
  <c r="AC125" i="12"/>
  <c r="AD68" i="13"/>
  <c r="AD66" i="13"/>
  <c r="AD67" i="13"/>
  <c r="AC115" i="12"/>
  <c r="AC126" i="12"/>
  <c r="AD46" i="13" l="1"/>
  <c r="AD88" i="13"/>
  <c r="AD71" i="13"/>
  <c r="AD24" i="13" s="1"/>
  <c r="AD87" i="13"/>
  <c r="AC86" i="13"/>
  <c r="AD116" i="12"/>
  <c r="AD127" i="12"/>
  <c r="AE67" i="13"/>
  <c r="AE68" i="13"/>
  <c r="AE66" i="13"/>
  <c r="AD117" i="12"/>
  <c r="AD115" i="12"/>
  <c r="AE48" i="13"/>
  <c r="AE47" i="13"/>
  <c r="AD126" i="12"/>
  <c r="AD125" i="12"/>
  <c r="AE88" i="13" l="1"/>
  <c r="AE71" i="13"/>
  <c r="AE24" i="13" s="1"/>
  <c r="AE87" i="13"/>
  <c r="AE46" i="13"/>
  <c r="AD86" i="13"/>
  <c r="AE115" i="12"/>
  <c r="AE125" i="12"/>
  <c r="AE116" i="12"/>
  <c r="AE127" i="12"/>
  <c r="AE126" i="12"/>
  <c r="AE117" i="12"/>
  <c r="AF48" i="13"/>
  <c r="AF47" i="13"/>
  <c r="AF67" i="13"/>
  <c r="AF66" i="13"/>
  <c r="AF68" i="13"/>
  <c r="AF87" i="13" l="1"/>
  <c r="AF88" i="13"/>
  <c r="AF46" i="13"/>
  <c r="AE86" i="13"/>
  <c r="AF71" i="13"/>
  <c r="AF24" i="13" s="1"/>
  <c r="AG67" i="13"/>
  <c r="AG66" i="13"/>
  <c r="AG68" i="13"/>
  <c r="AF125" i="12"/>
  <c r="AF126" i="12"/>
  <c r="AF115" i="12"/>
  <c r="AG48" i="13"/>
  <c r="AG47" i="13"/>
  <c r="AF116" i="12"/>
  <c r="AF117" i="12"/>
  <c r="AF127" i="12"/>
  <c r="AG87" i="13" l="1"/>
  <c r="AG88" i="13"/>
  <c r="AG71" i="13"/>
  <c r="AG24" i="13" s="1"/>
  <c r="AG46" i="13"/>
  <c r="AF86" i="13"/>
  <c r="AG127" i="12"/>
  <c r="AG125" i="12"/>
  <c r="AG116" i="12"/>
  <c r="AG115" i="12"/>
  <c r="AG117" i="12"/>
  <c r="AG126" i="12"/>
  <c r="AG86" i="13" l="1"/>
  <c r="CC87" i="4" l="1"/>
  <c r="CC83" i="4"/>
  <c r="CD83" i="4" l="1"/>
  <c r="AC20" i="10"/>
  <c r="CD87" i="4"/>
  <c r="CC32" i="4" l="1"/>
  <c r="CC78" i="4"/>
  <c r="AC18" i="11"/>
  <c r="AC20" i="11" s="1"/>
  <c r="AC22" i="10"/>
  <c r="CE83" i="4"/>
  <c r="AD20" i="10"/>
  <c r="CE87" i="4"/>
  <c r="CD78" i="4" l="1"/>
  <c r="CD32" i="4"/>
  <c r="AD18" i="11"/>
  <c r="AD20" i="11" s="1"/>
  <c r="AD22" i="10"/>
  <c r="CC98" i="4"/>
  <c r="CC90" i="4"/>
  <c r="CC35" i="4"/>
  <c r="CC42" i="4" s="1"/>
  <c r="CF83" i="4"/>
  <c r="AE20" i="10"/>
  <c r="CF87" i="4"/>
  <c r="AE18" i="11" l="1"/>
  <c r="AE20" i="11" s="1"/>
  <c r="AE22" i="10"/>
  <c r="CC92" i="4"/>
  <c r="AC144" i="4"/>
  <c r="AC145" i="4"/>
  <c r="CC65" i="4"/>
  <c r="AC139" i="4"/>
  <c r="AC141" i="4"/>
  <c r="CE32" i="4"/>
  <c r="CE78" i="4"/>
  <c r="CD98" i="4"/>
  <c r="CD90" i="4"/>
  <c r="CD35" i="4"/>
  <c r="CD42" i="4" s="1"/>
  <c r="AF20" i="10"/>
  <c r="CG83" i="4"/>
  <c r="CG87" i="4"/>
  <c r="CE98" i="4" l="1"/>
  <c r="CE90" i="4"/>
  <c r="CE35" i="4"/>
  <c r="CE42" i="4" s="1"/>
  <c r="CH87" i="4"/>
  <c r="AF18" i="11"/>
  <c r="AF20" i="11" s="1"/>
  <c r="AF22" i="10"/>
  <c r="CD92" i="4"/>
  <c r="AD144" i="4"/>
  <c r="AD145" i="4"/>
  <c r="AD139" i="4"/>
  <c r="CD65" i="4"/>
  <c r="AD141" i="4"/>
  <c r="CF78" i="4"/>
  <c r="CF32" i="4"/>
  <c r="AH20" i="10"/>
  <c r="AG20" i="10"/>
  <c r="CG78" i="4" l="1"/>
  <c r="CG32" i="4"/>
  <c r="AG18" i="11"/>
  <c r="AG20" i="11" s="1"/>
  <c r="AG22" i="10"/>
  <c r="CF98" i="4"/>
  <c r="CF90" i="4"/>
  <c r="CF35" i="4"/>
  <c r="CF42" i="4" s="1"/>
  <c r="AH18" i="11"/>
  <c r="AH20" i="11" s="1"/>
  <c r="AH30" i="10"/>
  <c r="AH22" i="10"/>
  <c r="CH78" i="4"/>
  <c r="CE92" i="4"/>
  <c r="AE145" i="4"/>
  <c r="AE144" i="4"/>
  <c r="CE65" i="4"/>
  <c r="AE139" i="4"/>
  <c r="AE141" i="4"/>
  <c r="CH83" i="4"/>
  <c r="CH32" i="4" l="1"/>
  <c r="CH90" i="4" s="1"/>
  <c r="CF92" i="4"/>
  <c r="AF144" i="4"/>
  <c r="AF145" i="4"/>
  <c r="AF139" i="4"/>
  <c r="CF65" i="4"/>
  <c r="AF141" i="4"/>
  <c r="CG98" i="4"/>
  <c r="CG90" i="4"/>
  <c r="CG35" i="4"/>
  <c r="CG42" i="4" s="1"/>
  <c r="AH28" i="11"/>
  <c r="AH38" i="11" s="1"/>
  <c r="AH40" i="10"/>
  <c r="CH35" i="4" l="1"/>
  <c r="CH42" i="4" s="1"/>
  <c r="CH98" i="4"/>
  <c r="AH145" i="4"/>
  <c r="AH144" i="4"/>
  <c r="CH92" i="4"/>
  <c r="AH139" i="4"/>
  <c r="CH65" i="4"/>
  <c r="AH141" i="4"/>
  <c r="CG92" i="4"/>
  <c r="AG144" i="4"/>
  <c r="AG145" i="4"/>
  <c r="AG139" i="4"/>
  <c r="CG65" i="4"/>
  <c r="AG141" i="4"/>
  <c r="AD32" i="4" l="1"/>
  <c r="AD35" i="4" s="1"/>
  <c r="AD42" i="4" s="1"/>
  <c r="AE32" i="4"/>
  <c r="AE35" i="4" s="1"/>
  <c r="AE42" i="4" s="1"/>
  <c r="AE65" i="4" l="1"/>
  <c r="AD65" i="4"/>
  <c r="AD108" i="12"/>
  <c r="AF32" i="4"/>
  <c r="AF35" i="4" s="1"/>
  <c r="AF42" i="4" s="1"/>
  <c r="AE108" i="12"/>
  <c r="AF65" i="4" l="1"/>
  <c r="AG32" i="4"/>
  <c r="AG35" i="4" s="1"/>
  <c r="AG42" i="4" s="1"/>
  <c r="AH32" i="4"/>
  <c r="AH35" i="4" s="1"/>
  <c r="AH42" i="4" s="1"/>
  <c r="AF108" i="12"/>
  <c r="AG108" i="12"/>
  <c r="AG65" i="4" l="1"/>
  <c r="AH65" i="4"/>
  <c r="AC32" i="4"/>
  <c r="AC35" i="4" s="1"/>
  <c r="AC42" i="4" s="1"/>
  <c r="AC65" i="4" l="1"/>
  <c r="AH108" i="12"/>
  <c r="AC108" i="12"/>
  <c r="AB64" i="13" l="1"/>
  <c r="AB84" i="13" s="1"/>
  <c r="AB63" i="13" l="1"/>
  <c r="AB35" i="10"/>
  <c r="AB33" i="11" s="1"/>
  <c r="AB24" i="10"/>
  <c r="AB124" i="12"/>
  <c r="AC64" i="13"/>
  <c r="AC84" i="13" s="1"/>
  <c r="AB123" i="12"/>
  <c r="AC63" i="13" l="1"/>
  <c r="AC35" i="10"/>
  <c r="AC33" i="11" s="1"/>
  <c r="AC24" i="10"/>
  <c r="AB22" i="11"/>
  <c r="AB29" i="10"/>
  <c r="AB39" i="10" s="1"/>
  <c r="AB65" i="13"/>
  <c r="AB83" i="13"/>
  <c r="AB85" i="13" s="1"/>
  <c r="AC124" i="12"/>
  <c r="AD64" i="13"/>
  <c r="AD84" i="13" s="1"/>
  <c r="AC123" i="12"/>
  <c r="AB23" i="13" l="1"/>
  <c r="AB77" i="13"/>
  <c r="AB27" i="11"/>
  <c r="AB37" i="11" s="1"/>
  <c r="AC22" i="11"/>
  <c r="AC29" i="10"/>
  <c r="AC39" i="10" s="1"/>
  <c r="AD35" i="10"/>
  <c r="AD33" i="11" s="1"/>
  <c r="AD63" i="13"/>
  <c r="AD24" i="10"/>
  <c r="AC83" i="13"/>
  <c r="AC85" i="13" s="1"/>
  <c r="AC65" i="13"/>
  <c r="AD124" i="12"/>
  <c r="AE64" i="13"/>
  <c r="AE84" i="13" s="1"/>
  <c r="AD123" i="12"/>
  <c r="AE63" i="13" l="1"/>
  <c r="AE35" i="10"/>
  <c r="AE33" i="11" s="1"/>
  <c r="AE24" i="10"/>
  <c r="AC77" i="13"/>
  <c r="AC23" i="13"/>
  <c r="AD22" i="11"/>
  <c r="AD29" i="10"/>
  <c r="AD83" i="13"/>
  <c r="AD85" i="13" s="1"/>
  <c r="AD65" i="13"/>
  <c r="AC27" i="11"/>
  <c r="AC37" i="11" s="1"/>
  <c r="AB25" i="13"/>
  <c r="AB27" i="13"/>
  <c r="AB31" i="13" s="1"/>
  <c r="AE124" i="12"/>
  <c r="AF64" i="13"/>
  <c r="AF84" i="13" s="1"/>
  <c r="AE123" i="12"/>
  <c r="AC25" i="13" l="1"/>
  <c r="AC27" i="13"/>
  <c r="AC31" i="13" s="1"/>
  <c r="AD23" i="13"/>
  <c r="AD77" i="13"/>
  <c r="AE22" i="11"/>
  <c r="AE29" i="10"/>
  <c r="AE39" i="10" s="1"/>
  <c r="AF63" i="13"/>
  <c r="AF35" i="10"/>
  <c r="AF33" i="11" s="1"/>
  <c r="AF24" i="10"/>
  <c r="AD39" i="10"/>
  <c r="AD27" i="11"/>
  <c r="AD37" i="11" s="1"/>
  <c r="AE65" i="13"/>
  <c r="AE83" i="13"/>
  <c r="AE85" i="13" s="1"/>
  <c r="AF124" i="12"/>
  <c r="AG64" i="13"/>
  <c r="AG84" i="13" s="1"/>
  <c r="AF123" i="12"/>
  <c r="AG63" i="13" l="1"/>
  <c r="AG35" i="10"/>
  <c r="AG33" i="11" s="1"/>
  <c r="AG24" i="10"/>
  <c r="AE23" i="13"/>
  <c r="AE77" i="13"/>
  <c r="AF22" i="11"/>
  <c r="AF29" i="10"/>
  <c r="AF39" i="10" s="1"/>
  <c r="AD25" i="13"/>
  <c r="AD27" i="13"/>
  <c r="AD31" i="13" s="1"/>
  <c r="AF65" i="13"/>
  <c r="AF83" i="13"/>
  <c r="AF85" i="13" s="1"/>
  <c r="AE27" i="11"/>
  <c r="AE37" i="11" s="1"/>
  <c r="AG124" i="12"/>
  <c r="AG123" i="12"/>
  <c r="AH124" i="12" l="1"/>
  <c r="AH64" i="13"/>
  <c r="AH84" i="13" s="1"/>
  <c r="AG22" i="11"/>
  <c r="AG29" i="10"/>
  <c r="AF77" i="13"/>
  <c r="AF23" i="13"/>
  <c r="AE25" i="13"/>
  <c r="AE27" i="13"/>
  <c r="AE31" i="13" s="1"/>
  <c r="AH63" i="13"/>
  <c r="AH35" i="10"/>
  <c r="AH24" i="10"/>
  <c r="AF27" i="11"/>
  <c r="AF37" i="11" s="1"/>
  <c r="AG65" i="13"/>
  <c r="AG83" i="13"/>
  <c r="AG85" i="13" s="1"/>
  <c r="AH123" i="12"/>
  <c r="AF25" i="13" l="1"/>
  <c r="AF27" i="13"/>
  <c r="AF31" i="13" s="1"/>
  <c r="AH22" i="11"/>
  <c r="AH27" i="10"/>
  <c r="AH29" i="10"/>
  <c r="AH65" i="13"/>
  <c r="AH83" i="13"/>
  <c r="AH85" i="13" s="1"/>
  <c r="AH97" i="13" s="1"/>
  <c r="AG27" i="11"/>
  <c r="AG37" i="11" s="1"/>
  <c r="AH33" i="11"/>
  <c r="AH34" i="11" s="1"/>
  <c r="AH35" i="11" s="1"/>
  <c r="AH36" i="10"/>
  <c r="AH37" i="10" s="1"/>
  <c r="AG39" i="10"/>
  <c r="AG77" i="13"/>
  <c r="AG23" i="13"/>
  <c r="AH23" i="13" l="1"/>
  <c r="AH77" i="13"/>
  <c r="AH99" i="13"/>
  <c r="AH110" i="13"/>
  <c r="AH39" i="10"/>
  <c r="AH27" i="11"/>
  <c r="AH30" i="11" s="1"/>
  <c r="AH32" i="10"/>
  <c r="AH42" i="10" s="1"/>
  <c r="AH25" i="11"/>
  <c r="AG25" i="13"/>
  <c r="AG27" i="13"/>
  <c r="AG31" i="13" s="1"/>
  <c r="AH40" i="11" l="1"/>
  <c r="AH48" i="10"/>
  <c r="AH45" i="10"/>
  <c r="AH46" i="11"/>
  <c r="AH43" i="11"/>
  <c r="AH37" i="11"/>
  <c r="AH25" i="13"/>
  <c r="AH27" i="13"/>
  <c r="AH29" i="13" l="1"/>
  <c r="AH33" i="13" s="1"/>
  <c r="AH31" i="13"/>
  <c r="M34" i="10" l="1"/>
  <c r="M25" i="10"/>
  <c r="M49" i="13"/>
  <c r="L25" i="10"/>
  <c r="L34" i="10"/>
  <c r="L49" i="13"/>
  <c r="L118" i="12"/>
  <c r="P116" i="12"/>
  <c r="P117" i="12"/>
  <c r="P115" i="12"/>
  <c r="M118" i="12"/>
  <c r="P25" i="10" l="1"/>
  <c r="P49" i="13"/>
  <c r="P34" i="10"/>
  <c r="L89" i="13"/>
  <c r="L91" i="13" s="1"/>
  <c r="L97" i="13" s="1"/>
  <c r="L51" i="13"/>
  <c r="L36" i="10"/>
  <c r="L37" i="10" s="1"/>
  <c r="L32" i="11"/>
  <c r="L34" i="11" s="1"/>
  <c r="L35" i="11" s="1"/>
  <c r="L23" i="11"/>
  <c r="L30" i="10"/>
  <c r="L40" i="10" s="1"/>
  <c r="L27" i="10"/>
  <c r="M51" i="13"/>
  <c r="M89" i="13"/>
  <c r="M91" i="13" s="1"/>
  <c r="M97" i="13" s="1"/>
  <c r="N49" i="13"/>
  <c r="N34" i="10"/>
  <c r="N25" i="10"/>
  <c r="Q25" i="10"/>
  <c r="Q34" i="10"/>
  <c r="Q49" i="13"/>
  <c r="M23" i="11"/>
  <c r="M27" i="10"/>
  <c r="M30" i="10"/>
  <c r="M40" i="10" s="1"/>
  <c r="R49" i="13"/>
  <c r="R25" i="10"/>
  <c r="R34" i="10"/>
  <c r="O34" i="10"/>
  <c r="O49" i="13"/>
  <c r="O25" i="10"/>
  <c r="M36" i="10"/>
  <c r="M37" i="10" s="1"/>
  <c r="M32" i="11"/>
  <c r="M34" i="11" s="1"/>
  <c r="M35" i="11" s="1"/>
  <c r="R118" i="12"/>
  <c r="N118" i="12"/>
  <c r="S115" i="12"/>
  <c r="S117" i="12"/>
  <c r="S116" i="12"/>
  <c r="Q118" i="12"/>
  <c r="O118" i="12"/>
  <c r="P118" i="12"/>
  <c r="N23" i="11" l="1"/>
  <c r="N27" i="10"/>
  <c r="N30" i="10"/>
  <c r="N40" i="10" s="1"/>
  <c r="L25" i="11"/>
  <c r="M32" i="10"/>
  <c r="M28" i="11"/>
  <c r="M30" i="11" s="1"/>
  <c r="N36" i="10"/>
  <c r="N37" i="10" s="1"/>
  <c r="N32" i="11"/>
  <c r="N34" i="11" s="1"/>
  <c r="N35" i="11" s="1"/>
  <c r="O89" i="13"/>
  <c r="O91" i="13" s="1"/>
  <c r="O97" i="13" s="1"/>
  <c r="O51" i="13"/>
  <c r="P36" i="10"/>
  <c r="P37" i="10" s="1"/>
  <c r="P32" i="11"/>
  <c r="P34" i="11" s="1"/>
  <c r="P35" i="11" s="1"/>
  <c r="R89" i="13"/>
  <c r="R91" i="13" s="1"/>
  <c r="R97" i="13" s="1"/>
  <c r="R51" i="13"/>
  <c r="N89" i="13"/>
  <c r="N91" i="13" s="1"/>
  <c r="N97" i="13" s="1"/>
  <c r="N51" i="13"/>
  <c r="L57" i="13"/>
  <c r="L20" i="13"/>
  <c r="L99" i="13"/>
  <c r="L110" i="13"/>
  <c r="O36" i="10"/>
  <c r="O37" i="10" s="1"/>
  <c r="O32" i="11"/>
  <c r="O34" i="11" s="1"/>
  <c r="O35" i="11" s="1"/>
  <c r="Q51" i="13"/>
  <c r="Q89" i="13"/>
  <c r="Q91" i="13" s="1"/>
  <c r="Q97" i="13" s="1"/>
  <c r="R36" i="10"/>
  <c r="R37" i="10" s="1"/>
  <c r="R32" i="11"/>
  <c r="R34" i="11" s="1"/>
  <c r="R35" i="11" s="1"/>
  <c r="Q32" i="11"/>
  <c r="Q34" i="11" s="1"/>
  <c r="Q35" i="11" s="1"/>
  <c r="Q36" i="10"/>
  <c r="Q37" i="10" s="1"/>
  <c r="P89" i="13"/>
  <c r="P91" i="13" s="1"/>
  <c r="P97" i="13" s="1"/>
  <c r="P51" i="13"/>
  <c r="O23" i="11"/>
  <c r="O30" i="10"/>
  <c r="O40" i="10" s="1"/>
  <c r="O27" i="10"/>
  <c r="M99" i="13"/>
  <c r="M110" i="13"/>
  <c r="M25" i="11"/>
  <c r="M20" i="13"/>
  <c r="M57" i="13"/>
  <c r="R23" i="11"/>
  <c r="R27" i="10"/>
  <c r="R30" i="10"/>
  <c r="Q23" i="11"/>
  <c r="Q30" i="10"/>
  <c r="Q40" i="10" s="1"/>
  <c r="Q27" i="10"/>
  <c r="L32" i="10"/>
  <c r="L42" i="10" s="1"/>
  <c r="L28" i="11"/>
  <c r="L30" i="11" s="1"/>
  <c r="P23" i="11"/>
  <c r="P27" i="10"/>
  <c r="P30" i="10"/>
  <c r="L38" i="11" l="1"/>
  <c r="M40" i="11"/>
  <c r="P32" i="10"/>
  <c r="P42" i="10" s="1"/>
  <c r="P28" i="11"/>
  <c r="P30" i="11" s="1"/>
  <c r="R99" i="13"/>
  <c r="R110" i="13"/>
  <c r="M43" i="11"/>
  <c r="M46" i="11"/>
  <c r="Q25" i="11"/>
  <c r="R40" i="10"/>
  <c r="R32" i="10"/>
  <c r="R28" i="11"/>
  <c r="R30" i="11" s="1"/>
  <c r="M48" i="10"/>
  <c r="M45" i="10"/>
  <c r="P25" i="11"/>
  <c r="L40" i="11"/>
  <c r="O32" i="10"/>
  <c r="O28" i="11"/>
  <c r="O30" i="11" s="1"/>
  <c r="O110" i="13"/>
  <c r="O99" i="13"/>
  <c r="M21" i="13"/>
  <c r="M28" i="13"/>
  <c r="M29" i="13" s="1"/>
  <c r="O25" i="11"/>
  <c r="Q110" i="13"/>
  <c r="Q99" i="13"/>
  <c r="N57" i="13"/>
  <c r="N20" i="13"/>
  <c r="M42" i="10"/>
  <c r="N32" i="10"/>
  <c r="N28" i="11"/>
  <c r="N30" i="11" s="1"/>
  <c r="L43" i="11"/>
  <c r="L46" i="11"/>
  <c r="R25" i="11"/>
  <c r="O42" i="10"/>
  <c r="L28" i="13"/>
  <c r="L29" i="13" s="1"/>
  <c r="L21" i="13"/>
  <c r="O57" i="13"/>
  <c r="O20" i="13"/>
  <c r="L48" i="10"/>
  <c r="L45" i="10"/>
  <c r="P57" i="13"/>
  <c r="P20" i="13"/>
  <c r="Q57" i="13"/>
  <c r="Q20" i="13"/>
  <c r="N110" i="13"/>
  <c r="N99" i="13"/>
  <c r="P40" i="10"/>
  <c r="Q32" i="10"/>
  <c r="Q28" i="11"/>
  <c r="Q30" i="11" s="1"/>
  <c r="M38" i="11"/>
  <c r="P99" i="13"/>
  <c r="P110" i="13"/>
  <c r="R20" i="13"/>
  <c r="R57" i="13"/>
  <c r="N25" i="11"/>
  <c r="L33" i="13" l="1"/>
  <c r="P38" i="11"/>
  <c r="N38" i="11"/>
  <c r="P40" i="11"/>
  <c r="M32" i="13"/>
  <c r="M33" i="13"/>
  <c r="N40" i="11"/>
  <c r="Q46" i="11"/>
  <c r="Q43" i="11"/>
  <c r="N42" i="10"/>
  <c r="N48" i="10"/>
  <c r="N45" i="10"/>
  <c r="Q40" i="11"/>
  <c r="P28" i="13"/>
  <c r="P29" i="13" s="1"/>
  <c r="P21" i="13"/>
  <c r="Q38" i="11"/>
  <c r="N21" i="13"/>
  <c r="N28" i="13"/>
  <c r="N29" i="13" s="1"/>
  <c r="Q42" i="10"/>
  <c r="Q45" i="10"/>
  <c r="Q48" i="10"/>
  <c r="R40" i="11"/>
  <c r="O46" i="11"/>
  <c r="O43" i="11"/>
  <c r="R42" i="10"/>
  <c r="R45" i="10"/>
  <c r="R48" i="10"/>
  <c r="R38" i="11"/>
  <c r="O40" i="11"/>
  <c r="O45" i="10"/>
  <c r="O48" i="10"/>
  <c r="P46" i="11"/>
  <c r="P43" i="11"/>
  <c r="R46" i="11"/>
  <c r="R43" i="11"/>
  <c r="O28" i="13"/>
  <c r="O29" i="13" s="1"/>
  <c r="O21" i="13"/>
  <c r="R21" i="13"/>
  <c r="R28" i="13"/>
  <c r="R29" i="13" s="1"/>
  <c r="Q28" i="13"/>
  <c r="Q29" i="13" s="1"/>
  <c r="Q21" i="13"/>
  <c r="L32" i="13"/>
  <c r="N46" i="11"/>
  <c r="N43" i="11"/>
  <c r="O38" i="11"/>
  <c r="P48" i="10"/>
  <c r="P45" i="10"/>
  <c r="R33" i="13" l="1"/>
  <c r="P33" i="13"/>
  <c r="R32" i="13"/>
  <c r="N32" i="13"/>
  <c r="O33" i="13"/>
  <c r="Q33" i="13"/>
  <c r="Q32" i="13"/>
  <c r="N33" i="13"/>
  <c r="T49" i="13"/>
  <c r="T34" i="10"/>
  <c r="T25" i="10"/>
  <c r="O32" i="13"/>
  <c r="P32" i="13"/>
  <c r="T30" i="10" l="1"/>
  <c r="T40" i="10" s="1"/>
  <c r="T23" i="11"/>
  <c r="T27" i="10"/>
  <c r="T36" i="10"/>
  <c r="T37" i="10" s="1"/>
  <c r="T32" i="11"/>
  <c r="T34" i="11" s="1"/>
  <c r="T35" i="11" s="1"/>
  <c r="S49" i="13"/>
  <c r="S25" i="10"/>
  <c r="S34" i="10"/>
  <c r="T118" i="12"/>
  <c r="T89" i="13"/>
  <c r="T91" i="13" s="1"/>
  <c r="T97" i="13" s="1"/>
  <c r="T51" i="13"/>
  <c r="U25" i="10"/>
  <c r="U34" i="10"/>
  <c r="U49" i="13"/>
  <c r="S118" i="12"/>
  <c r="U118" i="12"/>
  <c r="U89" i="13" l="1"/>
  <c r="U91" i="13" s="1"/>
  <c r="U97" i="13" s="1"/>
  <c r="U51" i="13"/>
  <c r="S23" i="11"/>
  <c r="S27" i="10"/>
  <c r="S30" i="10"/>
  <c r="U23" i="11"/>
  <c r="U30" i="10"/>
  <c r="U27" i="10"/>
  <c r="U32" i="11"/>
  <c r="U34" i="11" s="1"/>
  <c r="U35" i="11" s="1"/>
  <c r="U36" i="10"/>
  <c r="U37" i="10" s="1"/>
  <c r="S51" i="13"/>
  <c r="S89" i="13"/>
  <c r="S91" i="13" s="1"/>
  <c r="S97" i="13" s="1"/>
  <c r="T25" i="11"/>
  <c r="T57" i="13"/>
  <c r="T20" i="13"/>
  <c r="T99" i="13"/>
  <c r="T110" i="13"/>
  <c r="S36" i="10"/>
  <c r="S37" i="10" s="1"/>
  <c r="S32" i="11"/>
  <c r="S34" i="11" s="1"/>
  <c r="S35" i="11" s="1"/>
  <c r="T28" i="11"/>
  <c r="T30" i="11" s="1"/>
  <c r="T32" i="10"/>
  <c r="T38" i="11" l="1"/>
  <c r="T46" i="11"/>
  <c r="T43" i="11"/>
  <c r="T40" i="11"/>
  <c r="U32" i="10"/>
  <c r="U42" i="10" s="1"/>
  <c r="U28" i="11"/>
  <c r="U30" i="11" s="1"/>
  <c r="T48" i="10"/>
  <c r="T45" i="10"/>
  <c r="U25" i="11"/>
  <c r="S99" i="13"/>
  <c r="S110" i="13"/>
  <c r="S40" i="10"/>
  <c r="S32" i="10"/>
  <c r="S28" i="11"/>
  <c r="S30" i="11" s="1"/>
  <c r="T42" i="10"/>
  <c r="S57" i="13"/>
  <c r="S20" i="13"/>
  <c r="S25" i="11"/>
  <c r="U20" i="13"/>
  <c r="U57" i="13"/>
  <c r="T28" i="13"/>
  <c r="T29" i="13" s="1"/>
  <c r="T21" i="13"/>
  <c r="U40" i="10"/>
  <c r="U110" i="13"/>
  <c r="U99" i="13"/>
  <c r="U38" i="11" l="1"/>
  <c r="U21" i="13"/>
  <c r="U28" i="13"/>
  <c r="U29" i="13" s="1"/>
  <c r="S43" i="11"/>
  <c r="S46" i="11"/>
  <c r="S48" i="10"/>
  <c r="S45" i="10"/>
  <c r="U43" i="11"/>
  <c r="U46" i="11"/>
  <c r="S40" i="11"/>
  <c r="U48" i="10"/>
  <c r="U45" i="10"/>
  <c r="S38" i="11"/>
  <c r="T32" i="13"/>
  <c r="S42" i="10"/>
  <c r="T33" i="13"/>
  <c r="S28" i="13"/>
  <c r="S29" i="13" s="1"/>
  <c r="S21" i="13"/>
  <c r="S33" i="13" s="1"/>
  <c r="U40" i="11"/>
  <c r="S32" i="13" l="1"/>
  <c r="U32" i="13"/>
  <c r="U33" i="13"/>
  <c r="AB49" i="13" l="1"/>
  <c r="AB34" i="10"/>
  <c r="AB25" i="10"/>
  <c r="AB36" i="10" l="1"/>
  <c r="AB37" i="10" s="1"/>
  <c r="AB32" i="11"/>
  <c r="AB34" i="11" s="1"/>
  <c r="AB35" i="11" s="1"/>
  <c r="AB23" i="11"/>
  <c r="AB30" i="10"/>
  <c r="AB27" i="10"/>
  <c r="AB89" i="13"/>
  <c r="AB91" i="13" s="1"/>
  <c r="AB97" i="13" s="1"/>
  <c r="AB51" i="13"/>
  <c r="AB25" i="11" l="1"/>
  <c r="AB99" i="13"/>
  <c r="AB110" i="13"/>
  <c r="AB28" i="11"/>
  <c r="AB30" i="11" s="1"/>
  <c r="AB32" i="10"/>
  <c r="AB20" i="13"/>
  <c r="AB57" i="13"/>
  <c r="AB40" i="10"/>
  <c r="AB45" i="10" l="1"/>
  <c r="AB48" i="10"/>
  <c r="AB43" i="11"/>
  <c r="AB46" i="11"/>
  <c r="AB40" i="11"/>
  <c r="AB28" i="13"/>
  <c r="AB29" i="13" s="1"/>
  <c r="AB32" i="13"/>
  <c r="AB21" i="13"/>
  <c r="AB42" i="10"/>
  <c r="AB38" i="11"/>
  <c r="AB33" i="13" l="1"/>
  <c r="X117" i="12"/>
  <c r="X115" i="12"/>
  <c r="X116" i="12"/>
  <c r="W116" i="12"/>
  <c r="W115" i="12"/>
  <c r="W117" i="12"/>
  <c r="Y115" i="12"/>
  <c r="Y116" i="12"/>
  <c r="Y117" i="12"/>
  <c r="Z117" i="12"/>
  <c r="Z115" i="12"/>
  <c r="Z116" i="12"/>
  <c r="W49" i="13" l="1"/>
  <c r="W25" i="10"/>
  <c r="W34" i="10"/>
  <c r="X49" i="13"/>
  <c r="X34" i="10"/>
  <c r="X25" i="10"/>
  <c r="Z49" i="13"/>
  <c r="Z25" i="10"/>
  <c r="Z34" i="10"/>
  <c r="Y49" i="13"/>
  <c r="Y25" i="10"/>
  <c r="Y34" i="10"/>
  <c r="X118" i="12"/>
  <c r="Z118" i="12"/>
  <c r="Y118" i="12"/>
  <c r="Z23" i="11" l="1"/>
  <c r="Z30" i="10"/>
  <c r="Z27" i="10"/>
  <c r="X36" i="10"/>
  <c r="X37" i="10" s="1"/>
  <c r="X32" i="11"/>
  <c r="X34" i="11" s="1"/>
  <c r="X35" i="11" s="1"/>
  <c r="Y23" i="11"/>
  <c r="Y30" i="10"/>
  <c r="Y40" i="10" s="1"/>
  <c r="Y27" i="10"/>
  <c r="W36" i="10"/>
  <c r="W37" i="10" s="1"/>
  <c r="W32" i="11"/>
  <c r="W34" i="11" s="1"/>
  <c r="W35" i="11" s="1"/>
  <c r="Z89" i="13"/>
  <c r="Z91" i="13" s="1"/>
  <c r="Z97" i="13" s="1"/>
  <c r="Z51" i="13"/>
  <c r="Y36" i="10"/>
  <c r="Y37" i="10" s="1"/>
  <c r="Y32" i="11"/>
  <c r="Y34" i="11" s="1"/>
  <c r="Y35" i="11" s="1"/>
  <c r="Y89" i="13"/>
  <c r="Y91" i="13" s="1"/>
  <c r="Y97" i="13" s="1"/>
  <c r="Y51" i="13"/>
  <c r="W23" i="11"/>
  <c r="W30" i="10"/>
  <c r="W27" i="10"/>
  <c r="X23" i="11"/>
  <c r="X30" i="10"/>
  <c r="X27" i="10"/>
  <c r="W118" i="12"/>
  <c r="X89" i="13"/>
  <c r="X91" i="13" s="1"/>
  <c r="X97" i="13" s="1"/>
  <c r="X51" i="13"/>
  <c r="Z32" i="11"/>
  <c r="Z34" i="11" s="1"/>
  <c r="Z35" i="11" s="1"/>
  <c r="Z36" i="10"/>
  <c r="Z37" i="10" s="1"/>
  <c r="W89" i="13"/>
  <c r="W91" i="13" s="1"/>
  <c r="W97" i="13" s="1"/>
  <c r="W51" i="13"/>
  <c r="W20" i="13" l="1"/>
  <c r="W57" i="13"/>
  <c r="Y99" i="13"/>
  <c r="Y110" i="13"/>
  <c r="Y28" i="11"/>
  <c r="Y30" i="11" s="1"/>
  <c r="Y32" i="10"/>
  <c r="W99" i="13"/>
  <c r="W110" i="13"/>
  <c r="Z20" i="13"/>
  <c r="Z57" i="13"/>
  <c r="Z99" i="13"/>
  <c r="Z110" i="13"/>
  <c r="Y25" i="11"/>
  <c r="X25" i="11"/>
  <c r="W40" i="10"/>
  <c r="W28" i="11"/>
  <c r="W30" i="11" s="1"/>
  <c r="W32" i="10"/>
  <c r="X99" i="13"/>
  <c r="X110" i="13"/>
  <c r="W25" i="11"/>
  <c r="Z40" i="10"/>
  <c r="Z28" i="11"/>
  <c r="Z30" i="11" s="1"/>
  <c r="Z32" i="10"/>
  <c r="Z42" i="10" s="1"/>
  <c r="X40" i="10"/>
  <c r="X28" i="11"/>
  <c r="X30" i="11" s="1"/>
  <c r="X32" i="10"/>
  <c r="X20" i="13"/>
  <c r="X57" i="13"/>
  <c r="Y20" i="13"/>
  <c r="Y57" i="13"/>
  <c r="Z25" i="11"/>
  <c r="AA115" i="12"/>
  <c r="AA117" i="12"/>
  <c r="AA116" i="12"/>
  <c r="Y40" i="11" l="1"/>
  <c r="Y38" i="11"/>
  <c r="Y42" i="10"/>
  <c r="Y45" i="10"/>
  <c r="Y48" i="10"/>
  <c r="AA49" i="13"/>
  <c r="AA25" i="10"/>
  <c r="AA34" i="10"/>
  <c r="Z40" i="11"/>
  <c r="W48" i="10"/>
  <c r="W45" i="10"/>
  <c r="Y46" i="11"/>
  <c r="Y43" i="11"/>
  <c r="X45" i="10"/>
  <c r="X48" i="10"/>
  <c r="X43" i="11"/>
  <c r="X46" i="11"/>
  <c r="Z43" i="11"/>
  <c r="Z46" i="11"/>
  <c r="X42" i="10"/>
  <c r="V49" i="13"/>
  <c r="V34" i="10"/>
  <c r="V25" i="10"/>
  <c r="Y28" i="13"/>
  <c r="Y29" i="13" s="1"/>
  <c r="Y21" i="13"/>
  <c r="W42" i="10"/>
  <c r="X40" i="11"/>
  <c r="Z28" i="13"/>
  <c r="Z29" i="13" s="1"/>
  <c r="Z21" i="13"/>
  <c r="Z38" i="11"/>
  <c r="Z48" i="10"/>
  <c r="Z45" i="10"/>
  <c r="W43" i="11"/>
  <c r="W46" i="11"/>
  <c r="W40" i="11"/>
  <c r="X28" i="13"/>
  <c r="X29" i="13" s="1"/>
  <c r="X21" i="13"/>
  <c r="W38" i="11"/>
  <c r="X38" i="11"/>
  <c r="W28" i="13"/>
  <c r="W29" i="13" s="1"/>
  <c r="W21" i="13"/>
  <c r="AB118" i="12"/>
  <c r="AA118" i="12"/>
  <c r="V118" i="12"/>
  <c r="X32" i="13" l="1"/>
  <c r="Z33" i="13"/>
  <c r="Z32" i="13"/>
  <c r="X33" i="13"/>
  <c r="W33" i="13"/>
  <c r="W32" i="13"/>
  <c r="Y33" i="13"/>
  <c r="V23" i="11"/>
  <c r="V27" i="10"/>
  <c r="V30" i="10"/>
  <c r="V40" i="10" s="1"/>
  <c r="Y32" i="13"/>
  <c r="AA36" i="10"/>
  <c r="AA37" i="10" s="1"/>
  <c r="AA32" i="11"/>
  <c r="AA34" i="11" s="1"/>
  <c r="AA35" i="11" s="1"/>
  <c r="AA23" i="11"/>
  <c r="AA27" i="10"/>
  <c r="AA30" i="10"/>
  <c r="AA40" i="10" s="1"/>
  <c r="V32" i="11"/>
  <c r="V34" i="11" s="1"/>
  <c r="V35" i="11" s="1"/>
  <c r="V36" i="10"/>
  <c r="V37" i="10" s="1"/>
  <c r="V89" i="13"/>
  <c r="V91" i="13" s="1"/>
  <c r="V97" i="13" s="1"/>
  <c r="V51" i="13"/>
  <c r="AA89" i="13"/>
  <c r="AA91" i="13" s="1"/>
  <c r="AA97" i="13" s="1"/>
  <c r="AA51" i="13"/>
  <c r="V20" i="13" l="1"/>
  <c r="V57" i="13"/>
  <c r="V32" i="10"/>
  <c r="V42" i="10" s="1"/>
  <c r="V28" i="11"/>
  <c r="V30" i="11" s="1"/>
  <c r="V25" i="11"/>
  <c r="V99" i="13"/>
  <c r="V110" i="13"/>
  <c r="AA28" i="11"/>
  <c r="AA30" i="11" s="1"/>
  <c r="AA32" i="10"/>
  <c r="AA42" i="10" s="1"/>
  <c r="AA20" i="13"/>
  <c r="AA57" i="13"/>
  <c r="AA99" i="13"/>
  <c r="AA110" i="13"/>
  <c r="AA25" i="11"/>
  <c r="V38" i="11" l="1"/>
  <c r="V40" i="11"/>
  <c r="AA40" i="11"/>
  <c r="V45" i="10"/>
  <c r="V48" i="10"/>
  <c r="AC49" i="13"/>
  <c r="AC25" i="10"/>
  <c r="AC34" i="10"/>
  <c r="AA28" i="13"/>
  <c r="AA29" i="13" s="1"/>
  <c r="AA21" i="13"/>
  <c r="V46" i="11"/>
  <c r="V43" i="11"/>
  <c r="AA48" i="10"/>
  <c r="AA45" i="10"/>
  <c r="AA46" i="11"/>
  <c r="AA43" i="11"/>
  <c r="AA38" i="11"/>
  <c r="V21" i="13"/>
  <c r="V28" i="13"/>
  <c r="V29" i="13" s="1"/>
  <c r="AC118" i="12"/>
  <c r="V32" i="13" l="1"/>
  <c r="AA32" i="13"/>
  <c r="V33" i="13"/>
  <c r="AA33" i="13"/>
  <c r="AC36" i="10"/>
  <c r="AC37" i="10" s="1"/>
  <c r="AC32" i="11"/>
  <c r="AC34" i="11" s="1"/>
  <c r="AC35" i="11" s="1"/>
  <c r="AD49" i="13"/>
  <c r="AD25" i="10"/>
  <c r="AD34" i="10"/>
  <c r="AC23" i="11"/>
  <c r="AC30" i="10"/>
  <c r="AC40" i="10" s="1"/>
  <c r="AC27" i="10"/>
  <c r="AC89" i="13"/>
  <c r="AC91" i="13" s="1"/>
  <c r="AC97" i="13" s="1"/>
  <c r="AC51" i="13"/>
  <c r="AD118" i="12"/>
  <c r="AC28" i="11" l="1"/>
  <c r="AC30" i="11" s="1"/>
  <c r="AC32" i="10"/>
  <c r="AC38" i="11"/>
  <c r="AC25" i="11"/>
  <c r="AC40" i="11" s="1"/>
  <c r="AC20" i="13"/>
  <c r="AC57" i="13"/>
  <c r="AE49" i="13"/>
  <c r="AE25" i="10"/>
  <c r="AE34" i="10"/>
  <c r="AD23" i="11"/>
  <c r="AD30" i="10"/>
  <c r="AD27" i="10"/>
  <c r="AD89" i="13"/>
  <c r="AD91" i="13" s="1"/>
  <c r="AD97" i="13" s="1"/>
  <c r="AD51" i="13"/>
  <c r="AC99" i="13"/>
  <c r="AC110" i="13"/>
  <c r="AD36" i="10"/>
  <c r="AD37" i="10" s="1"/>
  <c r="AD32" i="11"/>
  <c r="AD34" i="11" s="1"/>
  <c r="AD35" i="11" s="1"/>
  <c r="AC42" i="10"/>
  <c r="AE118" i="12"/>
  <c r="AF49" i="13" l="1"/>
  <c r="AF25" i="10"/>
  <c r="AF34" i="10"/>
  <c r="AE23" i="11"/>
  <c r="AE30" i="10"/>
  <c r="AE27" i="10"/>
  <c r="AD20" i="13"/>
  <c r="AD57" i="13"/>
  <c r="AE89" i="13"/>
  <c r="AE91" i="13" s="1"/>
  <c r="AE97" i="13" s="1"/>
  <c r="AE51" i="13"/>
  <c r="AD99" i="13"/>
  <c r="AD110" i="13"/>
  <c r="AC28" i="13"/>
  <c r="AC29" i="13" s="1"/>
  <c r="AC21" i="13"/>
  <c r="AD28" i="11"/>
  <c r="AD30" i="11" s="1"/>
  <c r="AD32" i="10"/>
  <c r="AD42" i="10" s="1"/>
  <c r="AD40" i="10"/>
  <c r="AD25" i="11"/>
  <c r="AC45" i="10"/>
  <c r="AC48" i="10"/>
  <c r="AE36" i="10"/>
  <c r="AE37" i="10" s="1"/>
  <c r="AE32" i="11"/>
  <c r="AE34" i="11" s="1"/>
  <c r="AE35" i="11" s="1"/>
  <c r="AC43" i="11"/>
  <c r="AC46" i="11"/>
  <c r="AF118" i="12"/>
  <c r="AC32" i="13" l="1"/>
  <c r="AD40" i="11"/>
  <c r="AD38" i="11"/>
  <c r="AC33" i="13"/>
  <c r="AD28" i="13"/>
  <c r="AD29" i="13" s="1"/>
  <c r="AD21" i="13"/>
  <c r="AD33" i="13" s="1"/>
  <c r="AF36" i="10"/>
  <c r="AF37" i="10" s="1"/>
  <c r="AF32" i="11"/>
  <c r="AF34" i="11" s="1"/>
  <c r="AF35" i="11" s="1"/>
  <c r="AE99" i="13"/>
  <c r="AE110" i="13"/>
  <c r="AF23" i="11"/>
  <c r="AF30" i="10"/>
  <c r="AF27" i="10"/>
  <c r="AE28" i="11"/>
  <c r="AE30" i="11" s="1"/>
  <c r="AE32" i="10"/>
  <c r="AE40" i="10"/>
  <c r="AG49" i="13"/>
  <c r="AG34" i="10"/>
  <c r="AG25" i="10"/>
  <c r="AE25" i="11"/>
  <c r="AE20" i="13"/>
  <c r="AE57" i="13"/>
  <c r="AD48" i="10"/>
  <c r="AD45" i="10"/>
  <c r="AD43" i="11"/>
  <c r="AD46" i="11"/>
  <c r="AF89" i="13"/>
  <c r="AF91" i="13" s="1"/>
  <c r="AF97" i="13" s="1"/>
  <c r="AF51" i="13"/>
  <c r="AG118" i="12"/>
  <c r="AD32" i="13" l="1"/>
  <c r="AE40" i="11"/>
  <c r="AG89" i="13"/>
  <c r="AG91" i="13" s="1"/>
  <c r="AG97" i="13" s="1"/>
  <c r="AG51" i="13"/>
  <c r="AF40" i="10"/>
  <c r="AF28" i="11"/>
  <c r="AF30" i="11" s="1"/>
  <c r="AF32" i="10"/>
  <c r="AG23" i="11"/>
  <c r="AG30" i="10"/>
  <c r="AG40" i="10" s="1"/>
  <c r="AG27" i="10"/>
  <c r="AF25" i="11"/>
  <c r="AE45" i="10"/>
  <c r="AE48" i="10"/>
  <c r="AE28" i="13"/>
  <c r="AE29" i="13" s="1"/>
  <c r="AE21" i="13"/>
  <c r="AE46" i="11"/>
  <c r="AE43" i="11"/>
  <c r="AE42" i="10"/>
  <c r="AF20" i="13"/>
  <c r="AF57" i="13"/>
  <c r="AF99" i="13"/>
  <c r="AF110" i="13"/>
  <c r="AE38" i="11"/>
  <c r="AG36" i="10"/>
  <c r="AG37" i="10" s="1"/>
  <c r="AG32" i="11"/>
  <c r="AG34" i="11" s="1"/>
  <c r="AG35" i="11" s="1"/>
  <c r="AE33" i="13" l="1"/>
  <c r="AE32" i="13"/>
  <c r="AF38" i="11"/>
  <c r="AG25" i="11"/>
  <c r="AG28" i="11"/>
  <c r="AG30" i="11" s="1"/>
  <c r="AG32" i="10"/>
  <c r="AG42" i="10" s="1"/>
  <c r="AF42" i="10"/>
  <c r="AF45" i="10"/>
  <c r="AF48" i="10"/>
  <c r="AF28" i="13"/>
  <c r="AF29" i="13" s="1"/>
  <c r="AF21" i="13"/>
  <c r="AF43" i="11"/>
  <c r="AF46" i="11"/>
  <c r="AF40" i="11"/>
  <c r="AG20" i="13"/>
  <c r="AG57" i="13"/>
  <c r="AG99" i="13"/>
  <c r="AG110" i="13"/>
  <c r="AG28" i="13" l="1"/>
  <c r="AG29" i="13" s="1"/>
  <c r="AG32" i="13"/>
  <c r="AG21" i="13"/>
  <c r="AG33" i="13" s="1"/>
  <c r="AG43" i="11"/>
  <c r="AG46" i="11"/>
  <c r="AF33" i="13"/>
  <c r="AG40" i="11"/>
  <c r="AG45" i="10"/>
  <c r="AG48" i="10"/>
  <c r="AF32" i="13"/>
  <c r="AG38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Aerbiz</author>
  </authors>
  <commentList>
    <comment ref="DS42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From Feb 2011 included in GicoDigitale Market Share</t>
        </r>
      </text>
    </comment>
  </commentList>
</comments>
</file>

<file path=xl/sharedStrings.xml><?xml version="1.0" encoding="utf-8"?>
<sst xmlns="http://schemas.openxmlformats.org/spreadsheetml/2006/main" count="2672" uniqueCount="967">
  <si>
    <t>All Poker Turnover by Operator</t>
  </si>
  <si>
    <t>Casino Turnover by Operator</t>
  </si>
  <si>
    <t>SNAI</t>
  </si>
  <si>
    <t>SISAL</t>
  </si>
  <si>
    <t>Scommettendo</t>
  </si>
  <si>
    <t>Agile</t>
  </si>
  <si>
    <t>Bwin Italia</t>
  </si>
  <si>
    <t>Fivebet</t>
  </si>
  <si>
    <t>GILUPI</t>
  </si>
  <si>
    <t>Scommesse Italia</t>
  </si>
  <si>
    <t>Best in Game</t>
  </si>
  <si>
    <t>Totoit Online</t>
  </si>
  <si>
    <t>Gaming VC</t>
  </si>
  <si>
    <t>Finecom</t>
  </si>
  <si>
    <t>Soggera</t>
  </si>
  <si>
    <t>Betpoint</t>
  </si>
  <si>
    <t>Winga</t>
  </si>
  <si>
    <t>Virtual Marketing</t>
  </si>
  <si>
    <t>Bwin (Party)</t>
  </si>
  <si>
    <t>Gioca Live</t>
  </si>
  <si>
    <t>Remote Gambling Gros Win</t>
  </si>
  <si>
    <t>Italy Onshore Remote Margin</t>
  </si>
  <si>
    <t>Remote Gambling Margin</t>
  </si>
  <si>
    <t>Reel Italy (PokerStars)</t>
  </si>
  <si>
    <t>People (Microgame)</t>
  </si>
  <si>
    <t>Peoples (Microgame)</t>
  </si>
  <si>
    <t>Abruzzo</t>
  </si>
  <si>
    <t xml:space="preserve">Basilicata </t>
  </si>
  <si>
    <t xml:space="preserve">Calabria </t>
  </si>
  <si>
    <t xml:space="preserve">Campania </t>
  </si>
  <si>
    <t xml:space="preserve">Emilia Romagna </t>
  </si>
  <si>
    <t xml:space="preserve">Friuli Venezia Giulia </t>
  </si>
  <si>
    <t xml:space="preserve">Lazio </t>
  </si>
  <si>
    <t xml:space="preserve">Liguria </t>
  </si>
  <si>
    <t xml:space="preserve">Lombardia </t>
  </si>
  <si>
    <t xml:space="preserve">Marche </t>
  </si>
  <si>
    <t xml:space="preserve">Molise </t>
  </si>
  <si>
    <t xml:space="preserve">Piemonte </t>
  </si>
  <si>
    <t xml:space="preserve">Puglia </t>
  </si>
  <si>
    <t xml:space="preserve">Sardegna </t>
  </si>
  <si>
    <t xml:space="preserve">Sicilia </t>
  </si>
  <si>
    <t xml:space="preserve">Toscana </t>
  </si>
  <si>
    <t xml:space="preserve">Trentino Alto Adige </t>
  </si>
  <si>
    <t xml:space="preserve">Umbria </t>
  </si>
  <si>
    <t xml:space="preserve">Valle d'Aosta </t>
  </si>
  <si>
    <t xml:space="preserve">Veneto </t>
  </si>
  <si>
    <t>Remote</t>
  </si>
  <si>
    <t>Remote Sportsbetting Turnover by Sport</t>
  </si>
  <si>
    <t>Agency Sportsbetting Turnover by Sport</t>
  </si>
  <si>
    <t>Bingo Turnover by Operator</t>
  </si>
  <si>
    <t>Lottomaica</t>
  </si>
  <si>
    <t>Tombola</t>
  </si>
  <si>
    <t>Ellepi</t>
  </si>
  <si>
    <t>Gioca24</t>
  </si>
  <si>
    <t>King.com</t>
  </si>
  <si>
    <t>Unibet</t>
  </si>
  <si>
    <t>PB</t>
  </si>
  <si>
    <t>All Sportsbetting Turnover by Sport</t>
  </si>
  <si>
    <t>La Multipla</t>
    <phoneticPr fontId="20" type="noConversion"/>
  </si>
  <si>
    <t>Gioca Live</t>
    <phoneticPr fontId="20" type="noConversion"/>
  </si>
  <si>
    <t>Glaming</t>
    <phoneticPr fontId="20" type="noConversion"/>
  </si>
  <si>
    <t>Aycons</t>
    <phoneticPr fontId="20" type="noConversion"/>
  </si>
  <si>
    <t>Punto Match</t>
    <phoneticPr fontId="20" type="noConversion"/>
  </si>
  <si>
    <t>Merkur</t>
    <phoneticPr fontId="20" type="noConversion"/>
  </si>
  <si>
    <t>Replatz</t>
    <phoneticPr fontId="20" type="noConversion"/>
  </si>
  <si>
    <t>Best in Game</t>
    <phoneticPr fontId="20" type="noConversion"/>
  </si>
  <si>
    <t>Intralot</t>
    <phoneticPr fontId="20" type="noConversion"/>
  </si>
  <si>
    <t>Bingobet</t>
    <phoneticPr fontId="20" type="noConversion"/>
  </si>
  <si>
    <t>Peoples</t>
    <phoneticPr fontId="20" type="noConversion"/>
  </si>
  <si>
    <t>Lottomatica/Totosi</t>
    <phoneticPr fontId="20" type="noConversion"/>
  </si>
  <si>
    <t>Intralot</t>
    <phoneticPr fontId="20" type="noConversion"/>
  </si>
  <si>
    <t>* Includes Terminals in Shops?</t>
    <phoneticPr fontId="20" type="noConversion"/>
  </si>
  <si>
    <t>Playtech</t>
    <phoneticPr fontId="20" type="noConversion"/>
  </si>
  <si>
    <t>% of Total</t>
    <phoneticPr fontId="20" type="noConversion"/>
  </si>
  <si>
    <t xml:space="preserve"> Live Betting</t>
    <phoneticPr fontId="20" type="noConversion"/>
  </si>
  <si>
    <t xml:space="preserve"> Bingo</t>
    <phoneticPr fontId="20" type="noConversion"/>
  </si>
  <si>
    <t>Total Offshore</t>
    <phoneticPr fontId="20" type="noConversion"/>
  </si>
  <si>
    <t>SuperEnalotto</t>
    <phoneticPr fontId="20" type="noConversion"/>
  </si>
  <si>
    <t xml:space="preserve"> International Horseracing (4 March 2008)</t>
    <phoneticPr fontId="20" type="noConversion"/>
  </si>
  <si>
    <t>Eventi Cronaca e Costume</t>
  </si>
  <si>
    <t>Internet Market Shares March 2010</t>
    <phoneticPr fontId="20" type="noConversion"/>
  </si>
  <si>
    <t>Party</t>
    <phoneticPr fontId="20" type="noConversion"/>
  </si>
  <si>
    <t>Total Betting</t>
    <phoneticPr fontId="20" type="noConversion"/>
  </si>
  <si>
    <t>Percentage of GDP lost to Gambling</t>
  </si>
  <si>
    <t>Internet Sportsbetting Market Shares July 2011</t>
  </si>
  <si>
    <t>September</t>
  </si>
  <si>
    <t>Inc Cash</t>
  </si>
  <si>
    <t>Remote Market Shares September 2011</t>
  </si>
  <si>
    <t>Casino</t>
  </si>
  <si>
    <t>%</t>
  </si>
  <si>
    <t>Bwin</t>
  </si>
  <si>
    <t>William Hill</t>
  </si>
  <si>
    <t>Bwin/GD</t>
  </si>
  <si>
    <t>Tournaments</t>
  </si>
  <si>
    <t>RG</t>
  </si>
  <si>
    <t>September 11 Turnover</t>
  </si>
  <si>
    <t>September 11 Gross Win</t>
  </si>
  <si>
    <t>Internet Poker Market Shares RGs September 2011</t>
  </si>
  <si>
    <t>Internet Poker Market Shares All Gross RevenuesSeptember 2011</t>
  </si>
  <si>
    <t>Internet Poker Market Shares Turnover September 2011</t>
  </si>
  <si>
    <t xml:space="preserve"> Casino Games</t>
  </si>
  <si>
    <t>Interactive Gaming (Poker/SG/Casino)</t>
  </si>
  <si>
    <t xml:space="preserve">  Poker - Tournaments / Skill</t>
  </si>
  <si>
    <t xml:space="preserve">  Poker - Cash</t>
  </si>
  <si>
    <t>Total Poker / Skill / Casino</t>
  </si>
  <si>
    <t>Italy Onshore Remote Gross Win</t>
  </si>
  <si>
    <t xml:space="preserve">  Casino Games</t>
  </si>
  <si>
    <t>Italy Gambling Turnover</t>
  </si>
  <si>
    <t>Internet Poker Market Shares  September 2011</t>
  </si>
  <si>
    <t>Poker</t>
  </si>
  <si>
    <t>Betting</t>
  </si>
  <si>
    <t>Total Betting and Gaming</t>
  </si>
  <si>
    <t>Gross Win (€m)</t>
  </si>
  <si>
    <t>bwin.party</t>
  </si>
  <si>
    <t>Poker Stars</t>
  </si>
  <si>
    <t>All Remote Gambling Gross Win September 2011</t>
  </si>
  <si>
    <t xml:space="preserve">Italy Remote Taxation </t>
  </si>
  <si>
    <t>Ante Post Sportsbetting Turnover by Operator</t>
  </si>
  <si>
    <t>MatchPoint (SISAL)</t>
  </si>
  <si>
    <t>Bwin/Gioco Digitale</t>
  </si>
  <si>
    <t>Leonard Service Provider</t>
  </si>
  <si>
    <t>Pianeta Scommesse</t>
  </si>
  <si>
    <t>TotoInternet</t>
  </si>
  <si>
    <t>BetPoint</t>
  </si>
  <si>
    <t>Toto2000</t>
  </si>
  <si>
    <t>Live Sportsbetting Turnover by Operator</t>
  </si>
  <si>
    <t>Total Sportsbetting Turnover by Operator</t>
  </si>
  <si>
    <t>Tournament Poker Turnover by Operator</t>
  </si>
  <si>
    <t>Cash Poker Turnover by Operator</t>
  </si>
  <si>
    <t>TOTAL</t>
  </si>
  <si>
    <t xml:space="preserve"> Lotterie (Instants)</t>
  </si>
  <si>
    <t xml:space="preserve"> Bingo</t>
    <phoneticPr fontId="20" type="noConversion"/>
  </si>
  <si>
    <t>Bwin/GD</t>
    <phoneticPr fontId="20" type="noConversion"/>
  </si>
  <si>
    <t>Internet Market Shares February 2010</t>
    <phoneticPr fontId="20" type="noConversion"/>
  </si>
  <si>
    <t>Percentage of Italian Interactive Onshore</t>
    <phoneticPr fontId="20" type="noConversion"/>
  </si>
  <si>
    <t>Italian Adult Population (millions)</t>
    <phoneticPr fontId="20" type="noConversion"/>
  </si>
  <si>
    <t>Poker</t>
    <phoneticPr fontId="20" type="noConversion"/>
  </si>
  <si>
    <t>Percentage of GDP Lost on Domestic Gambling</t>
    <phoneticPr fontId="20" type="noConversion"/>
  </si>
  <si>
    <t>Average Gambling Loss Per Italian Adult (On/Offshore) (€)</t>
    <phoneticPr fontId="20" type="noConversion"/>
  </si>
  <si>
    <t xml:space="preserve"> Traditional Betting</t>
    <phoneticPr fontId="20" type="noConversion"/>
  </si>
  <si>
    <t xml:space="preserve"> FO HR</t>
    <phoneticPr fontId="20" type="noConversion"/>
  </si>
  <si>
    <t>Italy Total Gambling Monthly Gross Turnover (Excluding Land Based Casinos)</t>
    <phoneticPr fontId="20" type="noConversion"/>
  </si>
  <si>
    <t xml:space="preserve"> Bingo</t>
    <phoneticPr fontId="20" type="noConversion"/>
  </si>
  <si>
    <t>Gross Profits All Sportsbetting</t>
    <phoneticPr fontId="20" type="noConversion"/>
  </si>
  <si>
    <t>Margin</t>
    <phoneticPr fontId="20" type="noConversion"/>
  </si>
  <si>
    <t>Poker</t>
    <phoneticPr fontId="20" type="noConversion"/>
  </si>
  <si>
    <t>Poker Only</t>
    <phoneticPr fontId="20" type="noConversion"/>
  </si>
  <si>
    <t>Licensed Onshore Activity</t>
    <phoneticPr fontId="20" type="noConversion"/>
  </si>
  <si>
    <t>H2 Gambling Capital</t>
    <phoneticPr fontId="20" type="noConversion"/>
  </si>
  <si>
    <t>Italy</t>
    <phoneticPr fontId="20" type="noConversion"/>
  </si>
  <si>
    <t>€m</t>
  </si>
  <si>
    <t xml:space="preserve"> On Course</t>
  </si>
  <si>
    <t>Source: AAMS</t>
    <phoneticPr fontId="20" type="noConversion"/>
  </si>
  <si>
    <t>% Sport Online</t>
    <phoneticPr fontId="20" type="noConversion"/>
  </si>
  <si>
    <t>Source: AAMS/H2 Gambling Capital Analysis</t>
    <phoneticPr fontId="20" type="noConversion"/>
  </si>
  <si>
    <t>Total Italian Sportsbetting Handle (€m)</t>
    <phoneticPr fontId="20" type="noConversion"/>
  </si>
  <si>
    <t>Instants</t>
    <phoneticPr fontId="20" type="noConversion"/>
  </si>
  <si>
    <t>Sport Betting</t>
    <phoneticPr fontId="20" type="noConversion"/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</si>
  <si>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</si>
  <si>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</si>
  <si>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</si>
  <si>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</si>
  <si>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</si>
  <si>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</si>
  <si>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</si>
  <si>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</si>
  <si>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</si>
  <si>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</si>
  <si>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</si>
  <si>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</si>
  <si>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Microgame</t>
  </si>
  <si>
    <t>Gioco Digitale</t>
  </si>
  <si>
    <t>Snai</t>
  </si>
  <si>
    <t>Leonardo Service Provider</t>
  </si>
  <si>
    <t>Others</t>
  </si>
  <si>
    <t>Total 2010</t>
  </si>
  <si>
    <t>Main Networks</t>
  </si>
  <si>
    <t>iPoker</t>
  </si>
  <si>
    <t>Market Total Turnover (€m)</t>
  </si>
  <si>
    <t>Leading Operators</t>
  </si>
  <si>
    <t>NB Feb 11 Sports Different to Number Previously Published in Detailed Analysis</t>
  </si>
  <si>
    <t>Ongame/Party</t>
  </si>
  <si>
    <t>PartyPoker</t>
  </si>
  <si>
    <t>YoY %</t>
  </si>
  <si>
    <t xml:space="preserve"> Betting</t>
    <phoneticPr fontId="20" type="noConversion"/>
  </si>
  <si>
    <t xml:space="preserve"> Casino</t>
    <phoneticPr fontId="20" type="noConversion"/>
  </si>
  <si>
    <t>Sports Betting</t>
    <phoneticPr fontId="20" type="noConversion"/>
  </si>
  <si>
    <t>Land Based Market Shares January 2010 (Based on Sales)</t>
    <phoneticPr fontId="20" type="noConversion"/>
  </si>
  <si>
    <t>King.com</t>
    <phoneticPr fontId="20" type="noConversion"/>
  </si>
  <si>
    <t>Skill Games</t>
    <phoneticPr fontId="20" type="noConversion"/>
  </si>
  <si>
    <t xml:space="preserve"> PM HR (5 March 2008)</t>
    <phoneticPr fontId="20" type="noConversion"/>
  </si>
  <si>
    <t>Total HR</t>
    <phoneticPr fontId="20" type="noConversion"/>
  </si>
  <si>
    <t xml:space="preserve"> Sports</t>
    <phoneticPr fontId="20" type="noConversion"/>
  </si>
  <si>
    <t>Eurobet</t>
    <phoneticPr fontId="20" type="noConversion"/>
  </si>
  <si>
    <t>Total Betting</t>
    <phoneticPr fontId="20" type="noConversion"/>
  </si>
  <si>
    <t xml:space="preserve"> Off Course</t>
  </si>
  <si>
    <t xml:space="preserve"> Total Horse PM</t>
  </si>
  <si>
    <t xml:space="preserve"> Total Horse FO</t>
  </si>
  <si>
    <t xml:space="preserve"> Casino Interactive</t>
  </si>
  <si>
    <t>% of Total Regulated Gambling Interactive</t>
  </si>
  <si>
    <t>Cogetech</t>
  </si>
  <si>
    <t>Total Italian Gambling Handle (€m)</t>
    <phoneticPr fontId="20" type="noConversion"/>
  </si>
  <si>
    <t>Football</t>
    <phoneticPr fontId="20" type="noConversion"/>
  </si>
  <si>
    <t>Other</t>
    <phoneticPr fontId="20" type="noConversion"/>
  </si>
  <si>
    <t>Cogetech</t>
    <phoneticPr fontId="20" type="noConversion"/>
  </si>
  <si>
    <t>Merkur Win</t>
    <phoneticPr fontId="20" type="noConversion"/>
  </si>
  <si>
    <t>Percentage of Italian Gambling Turnover that is Remote</t>
    <phoneticPr fontId="20" type="noConversion"/>
  </si>
  <si>
    <t>Internet Market Shares Q1 2010</t>
    <phoneticPr fontId="20" type="noConversion"/>
  </si>
  <si>
    <t xml:space="preserve"> Poker</t>
    <phoneticPr fontId="20" type="noConversion"/>
  </si>
  <si>
    <t>Internet Market Shares January 2011</t>
  </si>
  <si>
    <t>* Includes Some Terminals in Shops?</t>
  </si>
  <si>
    <t>YoY</t>
  </si>
  <si>
    <t>LSP</t>
  </si>
  <si>
    <t>Merkur</t>
  </si>
  <si>
    <t>Betclic</t>
  </si>
  <si>
    <t>Intralot</t>
  </si>
  <si>
    <t>Other</t>
  </si>
  <si>
    <t>n/a</t>
  </si>
  <si>
    <t>Total Interactive On &amp; Offshore</t>
    <phoneticPr fontId="20" type="noConversion"/>
  </si>
  <si>
    <t>Number of Players (Millions)</t>
    <phoneticPr fontId="20" type="noConversion"/>
  </si>
  <si>
    <t>H2 Gambling Capital</t>
    <phoneticPr fontId="20" type="noConversion"/>
  </si>
  <si>
    <t>KPIs</t>
  </si>
  <si>
    <t xml:space="preserve"> Casino (Handle)</t>
    <phoneticPr fontId="20" type="noConversion"/>
  </si>
  <si>
    <t xml:space="preserve"> Poker</t>
    <phoneticPr fontId="20" type="noConversion"/>
  </si>
  <si>
    <t>Total Horse</t>
  </si>
  <si>
    <t>Percentage of Italian Interactive Gambling Onshore vs Offshore</t>
    <phoneticPr fontId="20" type="noConversion"/>
  </si>
  <si>
    <t>Baseball</t>
    <phoneticPr fontId="20" type="noConversion"/>
  </si>
  <si>
    <t>Volleyball</t>
    <phoneticPr fontId="20" type="noConversion"/>
  </si>
  <si>
    <t>Nuoto</t>
    <phoneticPr fontId="20" type="noConversion"/>
  </si>
  <si>
    <t>Rugby</t>
    <phoneticPr fontId="20" type="noConversion"/>
  </si>
  <si>
    <t>Cycling</t>
    <phoneticPr fontId="20" type="noConversion"/>
  </si>
  <si>
    <t>Athletica Leggera</t>
    <phoneticPr fontId="20" type="noConversion"/>
  </si>
  <si>
    <t>Pallanuoto</t>
    <phoneticPr fontId="20" type="noConversion"/>
  </si>
  <si>
    <t>Golf</t>
    <phoneticPr fontId="20" type="noConversion"/>
  </si>
  <si>
    <t>% Football</t>
    <phoneticPr fontId="20" type="noConversion"/>
  </si>
  <si>
    <t>Percentage of Italian Gambling Interactive</t>
    <phoneticPr fontId="20" type="noConversion"/>
  </si>
  <si>
    <t>Scratch and Win</t>
    <phoneticPr fontId="20" type="noConversion"/>
  </si>
  <si>
    <t>Total Remote</t>
    <phoneticPr fontId="20" type="noConversion"/>
  </si>
  <si>
    <t>Total Betting</t>
    <phoneticPr fontId="20" type="noConversion"/>
  </si>
  <si>
    <t>No of Casino Gaming Machines</t>
  </si>
  <si>
    <t>Superenalotto- Win For Life - Superstar</t>
    <phoneticPr fontId="20" type="noConversion"/>
  </si>
  <si>
    <t>Bingo</t>
    <phoneticPr fontId="20" type="noConversion"/>
  </si>
  <si>
    <t>Bingo</t>
  </si>
  <si>
    <t>Assumptions</t>
  </si>
  <si>
    <t>Internet Market Shares September 2010</t>
  </si>
  <si>
    <t>Poker/SG</t>
  </si>
  <si>
    <t>Eurobet</t>
  </si>
  <si>
    <t>Lottomatica</t>
  </si>
  <si>
    <t>Instants</t>
  </si>
  <si>
    <t>Percentage of Italian Sportsbetting Turnover that is Remote</t>
    <phoneticPr fontId="20" type="noConversion"/>
  </si>
  <si>
    <t xml:space="preserve"> SuperEnalotto</t>
  </si>
  <si>
    <t>Total Onshore</t>
    <phoneticPr fontId="20" type="noConversion"/>
  </si>
  <si>
    <t>% Interactive</t>
    <phoneticPr fontId="20" type="noConversion"/>
  </si>
  <si>
    <t>Number of Games (Millions)</t>
    <phoneticPr fontId="20" type="noConversion"/>
  </si>
  <si>
    <t>Italian GDP (€bn)</t>
    <phoneticPr fontId="20" type="noConversion"/>
  </si>
  <si>
    <t>Remote Gambling Turnover</t>
    <phoneticPr fontId="20" type="noConversion"/>
  </si>
  <si>
    <t>TOTAL</t>
    <phoneticPr fontId="20" type="noConversion"/>
  </si>
  <si>
    <t>Sportsbetting Turnover by Region</t>
    <phoneticPr fontId="20" type="noConversion"/>
  </si>
  <si>
    <t>Tennis</t>
    <phoneticPr fontId="20" type="noConversion"/>
  </si>
  <si>
    <t>Basketball</t>
    <phoneticPr fontId="20" type="noConversion"/>
  </si>
  <si>
    <t>Motor Racing</t>
    <phoneticPr fontId="20" type="noConversion"/>
  </si>
  <si>
    <t>Motor Bike Racing</t>
    <phoneticPr fontId="20" type="noConversion"/>
  </si>
  <si>
    <t>Total Betting</t>
  </si>
  <si>
    <t>Turnover</t>
    <phoneticPr fontId="20" type="noConversion"/>
  </si>
  <si>
    <t>No of Casino Tables</t>
  </si>
  <si>
    <t>SuperA</t>
  </si>
  <si>
    <t>Total</t>
  </si>
  <si>
    <t>Total Remote Gambling Handle (€m)</t>
    <phoneticPr fontId="20" type="noConversion"/>
  </si>
  <si>
    <t>Superenalotto</t>
    <phoneticPr fontId="20" type="noConversion"/>
  </si>
  <si>
    <t>Total Lottery</t>
    <phoneticPr fontId="20" type="noConversion"/>
  </si>
  <si>
    <t>Sisal</t>
    <phoneticPr fontId="20" type="noConversion"/>
  </si>
  <si>
    <t>Total Onshore</t>
    <phoneticPr fontId="20" type="noConversion"/>
  </si>
  <si>
    <t xml:space="preserve"> Casino</t>
    <phoneticPr fontId="20" type="noConversion"/>
  </si>
  <si>
    <t xml:space="preserve"> Bingo</t>
    <phoneticPr fontId="20" type="noConversion"/>
  </si>
  <si>
    <t>Total Gambling</t>
  </si>
  <si>
    <t>Ex Remote</t>
  </si>
  <si>
    <t>% Land Campania/Lazio/Lombardia</t>
  </si>
  <si>
    <t>Merkur Win</t>
  </si>
  <si>
    <t xml:space="preserve"> Lottery</t>
    <phoneticPr fontId="20" type="noConversion"/>
  </si>
  <si>
    <t>Remote Gambling</t>
  </si>
  <si>
    <t>Bingo</t>
    <phoneticPr fontId="20" type="noConversion"/>
  </si>
  <si>
    <t>Total Gaming (Ex Casino)</t>
    <phoneticPr fontId="20" type="noConversion"/>
  </si>
  <si>
    <t>Lotto</t>
    <phoneticPr fontId="20" type="noConversion"/>
  </si>
  <si>
    <t>Horse Betting</t>
    <phoneticPr fontId="20" type="noConversion"/>
  </si>
  <si>
    <t xml:space="preserve"> Lotto</t>
  </si>
  <si>
    <t>Total Gambling (Ex Casino)</t>
    <phoneticPr fontId="20" type="noConversion"/>
  </si>
  <si>
    <t>€m</t>
    <phoneticPr fontId="20" type="noConversion"/>
  </si>
  <si>
    <t>Sisal</t>
  </si>
  <si>
    <t>PokerStars</t>
  </si>
  <si>
    <t xml:space="preserve"> VLTs</t>
  </si>
  <si>
    <t>Ice Hockey</t>
  </si>
  <si>
    <t>American Football</t>
  </si>
  <si>
    <t>Alpine Skiing</t>
  </si>
  <si>
    <t xml:space="preserve"> Comma 6</t>
  </si>
  <si>
    <t xml:space="preserve"> Total Gaming Machines</t>
  </si>
  <si>
    <t xml:space="preserve"> GDP Growth</t>
  </si>
  <si>
    <t>Ave Revenues per Comma6 Gaming Machine (€k)</t>
  </si>
  <si>
    <t>Ave Revenues per VLT (€k)</t>
  </si>
  <si>
    <t>Cogetech</t>
    <phoneticPr fontId="20" type="noConversion"/>
  </si>
  <si>
    <t>Other</t>
    <phoneticPr fontId="20" type="noConversion"/>
  </si>
  <si>
    <t>Betting</t>
    <phoneticPr fontId="20" type="noConversion"/>
  </si>
  <si>
    <t>Total Gaming</t>
  </si>
  <si>
    <t>Poker/SG</t>
    <phoneticPr fontId="20" type="noConversion"/>
  </si>
  <si>
    <t>Bingo</t>
    <phoneticPr fontId="20" type="noConversion"/>
  </si>
  <si>
    <t>PokerStars</t>
    <phoneticPr fontId="20" type="noConversion"/>
  </si>
  <si>
    <t>Ave Buy In €</t>
    <phoneticPr fontId="20" type="noConversion"/>
  </si>
  <si>
    <t>Skill</t>
    <phoneticPr fontId="20" type="noConversion"/>
  </si>
  <si>
    <t xml:space="preserve"> Bingo (including Interactive)</t>
  </si>
  <si>
    <t>Total Lotteries (Including Interactive)</t>
  </si>
  <si>
    <t>Total Casino</t>
  </si>
  <si>
    <t xml:space="preserve"> Casino Land</t>
  </si>
  <si>
    <t>June</t>
    <phoneticPr fontId="56" type="noConversion"/>
  </si>
  <si>
    <t>Altri</t>
  </si>
  <si>
    <t>Landbased Sportsbetting Only</t>
    <phoneticPr fontId="20" type="noConversion"/>
  </si>
  <si>
    <t xml:space="preserve">Internet Poker Market Shares 2010-2011 (NB: this data is slightly lower than total Skill Games as it is Poker Only) </t>
  </si>
  <si>
    <t>In Other June 11</t>
  </si>
  <si>
    <t>Italy Total Gambling Monthly Gross Win (Excluding Land Based Casinos)</t>
  </si>
  <si>
    <t>Italy Total Gambling Margins (Excluding Land Based Casinos)</t>
  </si>
  <si>
    <t xml:space="preserve"> Bingo</t>
  </si>
  <si>
    <t>Lottomatica/G2</t>
  </si>
  <si>
    <t>Ongame</t>
  </si>
  <si>
    <t>Internet Poker Market Shares June 2011</t>
  </si>
  <si>
    <t>Internet Poker Market Share January 2010 to June 201</t>
  </si>
  <si>
    <t>Tax Rate</t>
  </si>
  <si>
    <t>Net Revenues</t>
  </si>
  <si>
    <t>Ave Stake per Device (€k)</t>
  </si>
  <si>
    <t>VLT Analysis</t>
  </si>
  <si>
    <t>Amount Played (€m)</t>
  </si>
  <si>
    <t>Ave Win per Device (€k)</t>
  </si>
  <si>
    <t>Taxation (€m)</t>
  </si>
  <si>
    <t>Net Revenues After Tax (€m)</t>
  </si>
  <si>
    <t>VLT Gross Win Including Taxation (€m)</t>
  </si>
  <si>
    <t>Gross Win - Including Taxation (€m)</t>
  </si>
  <si>
    <t>Averaged Number VLTs Installed</t>
  </si>
  <si>
    <t>Ave Win per Week Per Device (€)</t>
  </si>
  <si>
    <t>Remote Sportsbetting  Betting Market Shares (Turnover)</t>
    <phoneticPr fontId="56" type="noConversion"/>
  </si>
  <si>
    <t>(€m)</t>
    <phoneticPr fontId="56" type="noConversion"/>
  </si>
  <si>
    <t>Q1</t>
    <phoneticPr fontId="56" type="noConversion"/>
  </si>
  <si>
    <t>March</t>
    <phoneticPr fontId="56" type="noConversion"/>
  </si>
  <si>
    <t>July</t>
    <phoneticPr fontId="56" type="noConversion"/>
  </si>
  <si>
    <t>August</t>
    <phoneticPr fontId="56" type="noConversion"/>
  </si>
  <si>
    <t>September</t>
    <phoneticPr fontId="56" type="noConversion"/>
  </si>
  <si>
    <t>October</t>
    <phoneticPr fontId="56" type="noConversion"/>
  </si>
  <si>
    <t>November</t>
    <phoneticPr fontId="56" type="noConversion"/>
  </si>
  <si>
    <t>December</t>
    <phoneticPr fontId="56" type="noConversion"/>
  </si>
  <si>
    <t>January</t>
    <phoneticPr fontId="56" type="noConversion"/>
  </si>
  <si>
    <t>February</t>
    <phoneticPr fontId="56" type="noConversion"/>
  </si>
  <si>
    <t>May</t>
    <phoneticPr fontId="56" type="noConversion"/>
  </si>
  <si>
    <t>Lottomatica/Totosì</t>
  </si>
  <si>
    <t>Gioco Digitale/Bwin</t>
  </si>
  <si>
    <t>BetClic</t>
  </si>
  <si>
    <t>Gbet</t>
  </si>
  <si>
    <t>Total</t>
    <phoneticPr fontId="56" type="noConversion"/>
  </si>
  <si>
    <t>All Betting (Remote and Landbased) Market Share (Turnover)</t>
    <phoneticPr fontId="56" type="noConversion"/>
  </si>
  <si>
    <t>Full Year</t>
    <phoneticPr fontId="56" type="noConversion"/>
  </si>
  <si>
    <t>Share</t>
  </si>
  <si>
    <t>Internet Market Shares January 2010 (Based on Sales)</t>
    <phoneticPr fontId="20" type="noConversion"/>
  </si>
  <si>
    <t>Average Players per Session</t>
    <phoneticPr fontId="20" type="noConversion"/>
  </si>
  <si>
    <t>Lottomatica</t>
    <phoneticPr fontId="20" type="noConversion"/>
  </si>
  <si>
    <t>Snai</t>
    <phoneticPr fontId="20" type="noConversion"/>
  </si>
  <si>
    <t>Microgame</t>
    <phoneticPr fontId="20" type="noConversion"/>
  </si>
  <si>
    <t>Intralot</t>
    <phoneticPr fontId="20" type="noConversion"/>
  </si>
  <si>
    <t xml:space="preserve"> Casino</t>
    <phoneticPr fontId="20" type="noConversion"/>
  </si>
  <si>
    <t>Total Offshore</t>
    <phoneticPr fontId="20" type="noConversion"/>
  </si>
  <si>
    <t>Total Interactive On &amp; Offshore</t>
    <phoneticPr fontId="20" type="noConversion"/>
  </si>
  <si>
    <t>Instants</t>
    <phoneticPr fontId="20" type="noConversion"/>
  </si>
  <si>
    <t>Total</t>
    <phoneticPr fontId="20" type="noConversion"/>
  </si>
  <si>
    <t xml:space="preserve"> Casino</t>
    <phoneticPr fontId="20" type="noConversion"/>
  </si>
  <si>
    <t xml:space="preserve"> Betting</t>
    <phoneticPr fontId="20" type="noConversion"/>
  </si>
  <si>
    <t xml:space="preserve"> Lottery</t>
    <phoneticPr fontId="20" type="noConversion"/>
  </si>
  <si>
    <t>Eurobet (Brickagent)</t>
  </si>
  <si>
    <t>Year to June 12</t>
  </si>
  <si>
    <t>% Remote Year to June 12</t>
  </si>
  <si>
    <t>% Live Betting 4 Months to June 12</t>
  </si>
  <si>
    <t>Betflag</t>
  </si>
  <si>
    <t>Power Leisure</t>
  </si>
  <si>
    <t>Live Betting (Handle)</t>
  </si>
  <si>
    <t>Replatz</t>
  </si>
  <si>
    <t>BMB</t>
  </si>
  <si>
    <t>Aycons</t>
  </si>
  <si>
    <t>Year to August 12</t>
  </si>
  <si>
    <t>Betsson</t>
  </si>
  <si>
    <t>Total Italian Player Gambling Gross Win (€m)</t>
  </si>
  <si>
    <t xml:space="preserve"> Interactive Poker and Skill</t>
  </si>
  <si>
    <t>Interactive Activity Gross Win</t>
  </si>
  <si>
    <t>Estimated Interactive Turnover</t>
  </si>
  <si>
    <t>Interactive Poker/SG/Casino Gross Win (€m)</t>
  </si>
  <si>
    <t>Italy Gambling Gross Win</t>
  </si>
  <si>
    <t>Total Remote Gross Win</t>
  </si>
  <si>
    <t>Total Remote Turnover</t>
  </si>
  <si>
    <t xml:space="preserve"> GDP per Adult (€k)</t>
  </si>
  <si>
    <t>Total Italian Player Gambling Gross Win (€bn)</t>
  </si>
  <si>
    <t>NB. AAMS Monthly VLT / Comma 6 Data Does Not Reconcil with Its Annual Data - Reported Monthly Data is Quoted on This Worksheet / Annual Reported Data on the Annual Worksheet</t>
  </si>
  <si>
    <t>% Betting Remote</t>
  </si>
  <si>
    <t>Interactive Betting Gross Win</t>
  </si>
  <si>
    <t>Total Italian Player Gross Win (€bn)</t>
  </si>
  <si>
    <t xml:space="preserve"> Sportsbetting</t>
  </si>
  <si>
    <t xml:space="preserve"> Numerical Totalisor</t>
  </si>
  <si>
    <t xml:space="preserve"> Gaming Machine Supply</t>
  </si>
  <si>
    <t xml:space="preserve"> Comma 7</t>
  </si>
  <si>
    <t xml:space="preserve"> Virtual Sports</t>
  </si>
  <si>
    <t>Onshore</t>
  </si>
  <si>
    <t>Number of Bingo Halls</t>
  </si>
  <si>
    <t>Average Gross Win per Bingo Hall (€m)</t>
  </si>
  <si>
    <t>No of Comma 6 Gaming Machines</t>
  </si>
  <si>
    <t>Number of Comma 7 Machines</t>
  </si>
  <si>
    <t xml:space="preserve"> Number of Sportsbetting Outlets</t>
  </si>
  <si>
    <t>Total Number of Betting Outlets</t>
  </si>
  <si>
    <t>No of Comma 6 Venues</t>
  </si>
  <si>
    <t>Average Number of Comma 6 Devices per Venue</t>
  </si>
  <si>
    <t>Ave No of VLTs Comma 6b (Pro Rata First Year)</t>
  </si>
  <si>
    <t>Total Number of Betting Outlets (€k)</t>
  </si>
  <si>
    <t xml:space="preserve"> Number of Lotto Points of Sale</t>
  </si>
  <si>
    <t xml:space="preserve"> Number of Instants Points of Sale</t>
  </si>
  <si>
    <t>Average Sales per Lotto Point of Sale (€k)</t>
  </si>
  <si>
    <t>Average Sales per Instants Point of Sale (€k)</t>
  </si>
  <si>
    <t>Average Gross Win per Comma 7 Machine (€k)</t>
  </si>
  <si>
    <t xml:space="preserve"> Betting Exchange</t>
  </si>
  <si>
    <t xml:space="preserve"> Fixed Odds Sports</t>
  </si>
  <si>
    <t>Average Gross Win per Licensee (€m)</t>
  </si>
  <si>
    <t>Average Gross Gambling Spend per Italian Adult (€) (On/Offshore)</t>
  </si>
  <si>
    <t>Number of Landbased Casinos</t>
  </si>
  <si>
    <t>Gross Win per Gaming Machine (€k)</t>
  </si>
  <si>
    <t>Gross Win per Table (€k)</t>
  </si>
  <si>
    <t xml:space="preserve"> Betting</t>
  </si>
  <si>
    <t xml:space="preserve"> Gaming</t>
  </si>
  <si>
    <t xml:space="preserve"> Lottery</t>
  </si>
  <si>
    <t>Total Mobile Gross Win (Included in Interactive Above)</t>
  </si>
  <si>
    <t>% of Interactive Mobile</t>
  </si>
  <si>
    <t>Offshore</t>
  </si>
  <si>
    <t>Total Non-Casino Gaming Machines</t>
  </si>
  <si>
    <t xml:space="preserve"> Betting Exchanges</t>
  </si>
  <si>
    <t>Total Lotteries</t>
  </si>
  <si>
    <t>Total Horserace</t>
  </si>
  <si>
    <t xml:space="preserve"> Fixed Odds</t>
  </si>
  <si>
    <t xml:space="preserve"> International (4 March 2008)</t>
  </si>
  <si>
    <t xml:space="preserve"> Pari Mutuel (5 March 2008)</t>
  </si>
  <si>
    <t>Average Gross Win per Casino (€m)</t>
  </si>
  <si>
    <t xml:space="preserve"> Horse / Sportsbetting</t>
  </si>
  <si>
    <t xml:space="preserve"> Interactive Gaming</t>
  </si>
  <si>
    <t xml:space="preserve"> SuperEnalotto (Inc. Eurojackpot / PlaySix / Win )</t>
  </si>
  <si>
    <t xml:space="preserve"> Interactive Gaming (Poker/SG/Casino)</t>
  </si>
  <si>
    <t xml:space="preserve"> Horse</t>
  </si>
  <si>
    <t xml:space="preserve"> Sports</t>
  </si>
  <si>
    <t xml:space="preserve"> Superenalotto- Win For Life - Superstar</t>
  </si>
  <si>
    <t xml:space="preserve"> Instants</t>
  </si>
  <si>
    <t xml:space="preserve"> Land</t>
  </si>
  <si>
    <t xml:space="preserve"> Remote</t>
  </si>
  <si>
    <t>Total Sportsbetting</t>
  </si>
  <si>
    <t xml:space="preserve"> Casino</t>
  </si>
  <si>
    <t xml:space="preserve">  Cash</t>
  </si>
  <si>
    <t xml:space="preserve">  Tournaments</t>
  </si>
  <si>
    <t xml:space="preserve"> Total Poker</t>
  </si>
  <si>
    <t>Grand Total Interactive</t>
  </si>
  <si>
    <t xml:space="preserve"> % Remote</t>
  </si>
  <si>
    <t>Total iGaming</t>
  </si>
  <si>
    <t>Italy Total Sportsbetting Monthly Gross Win (€m)</t>
  </si>
  <si>
    <t xml:space="preserve"> Poker</t>
  </si>
  <si>
    <t xml:space="preserve"> Campione</t>
  </si>
  <si>
    <t xml:space="preserve"> St Vincent</t>
  </si>
  <si>
    <t xml:space="preserve"> San Remo</t>
  </si>
  <si>
    <t xml:space="preserve"> Venice</t>
  </si>
  <si>
    <t>Total Slots</t>
  </si>
  <si>
    <t>Total Tables</t>
  </si>
  <si>
    <t>Grand Total Gross Win</t>
  </si>
  <si>
    <t>Total Admissions</t>
  </si>
  <si>
    <t>Win per Admission</t>
  </si>
  <si>
    <t>Italian Monthly Data</t>
  </si>
  <si>
    <t>Italy Landbased Casino Monthly Gross Win</t>
  </si>
  <si>
    <t>Italy Landbased Casino Monthly Gross Win (€m)</t>
  </si>
  <si>
    <t>Italy Landbased Casino Annual Gross Win</t>
  </si>
  <si>
    <t>Slots</t>
  </si>
  <si>
    <t>Tables</t>
  </si>
  <si>
    <t>Italy Total Interactive Betting and Gaming Monthly Gross Win (€m)</t>
  </si>
  <si>
    <t xml:space="preserve"> Oncourse</t>
  </si>
  <si>
    <t xml:space="preserve"> Agency</t>
  </si>
  <si>
    <t>Total Horserace Betting</t>
  </si>
  <si>
    <t xml:space="preserve"> Football</t>
  </si>
  <si>
    <t xml:space="preserve"> Basketball</t>
  </si>
  <si>
    <t xml:space="preserve"> Tennis</t>
  </si>
  <si>
    <t xml:space="preserve"> Volleyball</t>
  </si>
  <si>
    <t xml:space="preserve"> Motor Racing</t>
  </si>
  <si>
    <t xml:space="preserve"> Motor Bike Racing</t>
  </si>
  <si>
    <t xml:space="preserve"> Ice Hockey</t>
  </si>
  <si>
    <t xml:space="preserve"> Baseball</t>
  </si>
  <si>
    <t xml:space="preserve"> Cycling</t>
  </si>
  <si>
    <t xml:space="preserve"> Rugby</t>
  </si>
  <si>
    <t xml:space="preserve"> American Football</t>
  </si>
  <si>
    <t xml:space="preserve"> Pallanuoto</t>
  </si>
  <si>
    <t xml:space="preserve"> Alpine Skiing</t>
  </si>
  <si>
    <t xml:space="preserve"> Eventi Cronaca e Costume</t>
  </si>
  <si>
    <t xml:space="preserve"> Athletica Leggera</t>
  </si>
  <si>
    <t xml:space="preserve"> Nuoto</t>
  </si>
  <si>
    <t xml:space="preserve"> Golf</t>
  </si>
  <si>
    <t xml:space="preserve"> Others</t>
  </si>
  <si>
    <t>2024e</t>
  </si>
  <si>
    <t>Table Revenues (ex Tips) (€m)</t>
  </si>
  <si>
    <t xml:space="preserve"> Number of SuperEnalotto Points of Sale</t>
  </si>
  <si>
    <t>Average Sales per SuperEnalotto Point of Sale (€k)</t>
  </si>
  <si>
    <t>2025e</t>
  </si>
  <si>
    <t>Percentage of Italian Sportsbetting Remote</t>
  </si>
  <si>
    <t>% Casino / Poker Online</t>
  </si>
  <si>
    <t>Italy Percentage of Total Onshore Licensed Casino (including Poker) Online</t>
  </si>
  <si>
    <t xml:space="preserve"> Landbased</t>
  </si>
  <si>
    <t>Average Gross Win Non-Casino Machine (€k)</t>
  </si>
  <si>
    <t>Casino (inc Poker)</t>
  </si>
  <si>
    <t>Percentage of Italian Player Gross Win Interactive</t>
  </si>
  <si>
    <t>2021 to Date</t>
  </si>
  <si>
    <t>2026e</t>
  </si>
  <si>
    <t>Italy Total Fixed Odds Sportsbetting Annual Gross Win (€m)</t>
  </si>
  <si>
    <t>Italy Total Fixed Odds Sportsbetting and Interactive Gaming Annual Gross Win (€m)</t>
  </si>
  <si>
    <t xml:space="preserve"> 2020 Landbased Casino Data Integrated / Monthly Data to December 2020</t>
  </si>
  <si>
    <t>Gaming</t>
  </si>
  <si>
    <t>Online</t>
  </si>
  <si>
    <t>Lottery</t>
  </si>
  <si>
    <t>Onshore Regulated by Product Gross Win Split 2019</t>
  </si>
  <si>
    <t>Italy Interactive Sportsbetting Gross Win (€m)</t>
  </si>
  <si>
    <t>2027e</t>
  </si>
  <si>
    <t>Italy Interactive Casino Gross Win (€m)</t>
  </si>
  <si>
    <t>Italy Percentage of Sportsbetting Gross Win Online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</si>
  <si>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</si>
  <si>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</si>
  <si>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</si>
  <si>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</si>
  <si>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</si>
  <si>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</si>
  <si>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</si>
  <si>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</si>
  <si>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</si>
  <si>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</si>
  <si>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</si>
  <si>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</si>
  <si>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</si>
  <si>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</si>
  <si>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</si>
  <si>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</si>
  <si>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</si>
  <si>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</si>
  <si>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</si>
  <si>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</si>
  <si>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</si>
  <si>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</si>
  <si>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</si>
  <si>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</si>
  <si>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</si>
  <si>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</si>
  <si>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</si>
  <si>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</si>
  <si>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</si>
  <si>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</si>
  <si>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</si>
  <si>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</si>
  <si>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</si>
  <si>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</si>
  <si>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</si>
  <si>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</si>
  <si>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</si>
  <si>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</si>
  <si>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</si>
  <si>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</si>
  <si>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</si>
  <si>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</si>
  <si>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</si>
  <si>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</si>
  <si>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</si>
  <si>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</si>
  <si>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</si>
  <si>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</si>
  <si>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</si>
  <si>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</si>
  <si>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</si>
  <si>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</si>
  <si>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2009</t>
  </si>
  <si>
    <t>Q2 2009</t>
  </si>
  <si>
    <t>Q3 2009</t>
  </si>
  <si>
    <t>Q4 2009</t>
  </si>
  <si>
    <t>Total Quarterly Online</t>
  </si>
  <si>
    <t>Italy Total Fixed Odds Sportsbetting Monthly Gross Win (€m)</t>
  </si>
  <si>
    <t>Country:</t>
  </si>
  <si>
    <t>FX rate:</t>
  </si>
  <si>
    <t>Euro</t>
  </si>
  <si>
    <t>Summary</t>
  </si>
  <si>
    <t>Summary Data</t>
  </si>
  <si>
    <t>Land Betting</t>
  </si>
  <si>
    <t>Land Gaming</t>
  </si>
  <si>
    <t>Land Betting &amp; Gaming</t>
  </si>
  <si>
    <t>Land Lottery</t>
  </si>
  <si>
    <t>Land Total</t>
  </si>
  <si>
    <t>Online Onshore Betting</t>
  </si>
  <si>
    <t>Online Onshore Gaming</t>
  </si>
  <si>
    <t>Online Onshore Betting &amp; Gaming</t>
  </si>
  <si>
    <t>Online Onshore Lottery</t>
  </si>
  <si>
    <t>Online Onshore Total</t>
  </si>
  <si>
    <t>Online Offshore Betting</t>
  </si>
  <si>
    <t>Online Offshore Gaming</t>
  </si>
  <si>
    <t>Online Offshore Betting &amp; Gaming</t>
  </si>
  <si>
    <t>Online Offshore Lottery</t>
  </si>
  <si>
    <t>Online Offshore Total</t>
  </si>
  <si>
    <t>Onshore Betting</t>
  </si>
  <si>
    <t>Onshore Gaming</t>
  </si>
  <si>
    <t>Onshore Betting &amp; Gaming</t>
  </si>
  <si>
    <t>Onshore Lottery</t>
  </si>
  <si>
    <t>Onshore Total</t>
  </si>
  <si>
    <t>Online Betting</t>
  </si>
  <si>
    <t>Online Gaming</t>
  </si>
  <si>
    <t>Online Betting &amp; Gaming</t>
  </si>
  <si>
    <t>Online Lottery</t>
  </si>
  <si>
    <t>Online Total</t>
  </si>
  <si>
    <t>Total Market Betting</t>
  </si>
  <si>
    <t>Total Market Gaming</t>
  </si>
  <si>
    <t>Total Market Betting &amp; Gaming</t>
  </si>
  <si>
    <t>Total Market Lottery</t>
  </si>
  <si>
    <t>Total Market Total</t>
  </si>
  <si>
    <t>Economic KPIs</t>
  </si>
  <si>
    <t xml:space="preserve">GDP </t>
  </si>
  <si>
    <t>GDP Growth</t>
  </si>
  <si>
    <t>Adult Population</t>
  </si>
  <si>
    <t>GDP per Capita (k)</t>
  </si>
  <si>
    <t>Landbased spend as % GDP</t>
  </si>
  <si>
    <t>Online spend as % GDP</t>
  </si>
  <si>
    <t>Total spend as % GDP</t>
  </si>
  <si>
    <t>Landbased spend per adult</t>
  </si>
  <si>
    <t>Online spend per adult</t>
  </si>
  <si>
    <t>Total spend per adult</t>
  </si>
  <si>
    <t>Total Market Gross Win</t>
  </si>
  <si>
    <t>Summary Betting</t>
  </si>
  <si>
    <t>Land Racing</t>
  </si>
  <si>
    <t>Land Sport</t>
  </si>
  <si>
    <t>Land Total Betting</t>
  </si>
  <si>
    <t>Online Onshore Racing</t>
  </si>
  <si>
    <t>Online Onshore Sport</t>
  </si>
  <si>
    <t>Online Onshore Total Betting</t>
  </si>
  <si>
    <t>Online Offshore Racing</t>
  </si>
  <si>
    <t>Online Offshore Sport</t>
  </si>
  <si>
    <t>Online Offshore Total Betting</t>
  </si>
  <si>
    <t xml:space="preserve">Onshore Racing </t>
  </si>
  <si>
    <t>Onshore Sport</t>
  </si>
  <si>
    <t>Onshore Total Betting</t>
  </si>
  <si>
    <t>Online Racing</t>
  </si>
  <si>
    <t>Online Sport</t>
  </si>
  <si>
    <t>Online Total Betting</t>
  </si>
  <si>
    <t>Total Racing</t>
  </si>
  <si>
    <t>Total Sport</t>
  </si>
  <si>
    <t>Landbased Betting</t>
  </si>
  <si>
    <t>FO Horse</t>
  </si>
  <si>
    <t>PM Horse</t>
  </si>
  <si>
    <t>Total Land Horse</t>
  </si>
  <si>
    <t>On-track Horse</t>
  </si>
  <si>
    <t>Off-track Horse</t>
  </si>
  <si>
    <t>FO Dogs</t>
  </si>
  <si>
    <t>PM Dogs</t>
  </si>
  <si>
    <t>Total Land Dogs</t>
  </si>
  <si>
    <t>FO Racing (Horse &amp; Dogs)</t>
  </si>
  <si>
    <t>PM Racing (Horse &amp; Dogs)</t>
  </si>
  <si>
    <t>Total Land Racing</t>
  </si>
  <si>
    <t>FO Sports</t>
  </si>
  <si>
    <t>PM Sports</t>
  </si>
  <si>
    <t>Total Land Sports</t>
  </si>
  <si>
    <t>Numbers / Lottery / Financials / Other Betting</t>
  </si>
  <si>
    <t>Total Land Non-Racing Betting</t>
  </si>
  <si>
    <t>FO Betting</t>
  </si>
  <si>
    <t>PM Betting</t>
  </si>
  <si>
    <t>Total Land Betting</t>
  </si>
  <si>
    <t>Land Lottery Betting</t>
  </si>
  <si>
    <t>Land Non-Lottery Betting</t>
  </si>
  <si>
    <t>Virtual Land Betting</t>
  </si>
  <si>
    <t>Total Online Onshore Horse</t>
  </si>
  <si>
    <t>Total Online Onshore Dogs</t>
  </si>
  <si>
    <t>Total Onshore Online Racing</t>
  </si>
  <si>
    <t>Total Online Onshore Sports</t>
  </si>
  <si>
    <t>Total Online Onshore Non-Racing Betting</t>
  </si>
  <si>
    <t>Total Online Onshore Betting</t>
  </si>
  <si>
    <t>Online Onshore Pre-match Sports</t>
  </si>
  <si>
    <t>Online Onshore In-play Sports</t>
  </si>
  <si>
    <t>Online Onshore Lottery Betting</t>
  </si>
  <si>
    <t>Online Onshore Non-Lottery Betting</t>
  </si>
  <si>
    <t>Virtual Online Onshore Betting</t>
  </si>
  <si>
    <t>Horse</t>
  </si>
  <si>
    <t>Dogs</t>
  </si>
  <si>
    <t>Total Online Offshore Racing</t>
  </si>
  <si>
    <t>Online Offshore Sports</t>
  </si>
  <si>
    <t>Total Online Offshore Non-Racing Betting</t>
  </si>
  <si>
    <t>Total Online Offshore Betting</t>
  </si>
  <si>
    <t>Online Offshore Pre-match Sports</t>
  </si>
  <si>
    <t>Online Offshore In-play Sports</t>
  </si>
  <si>
    <t>Total Online Offshore Sports</t>
  </si>
  <si>
    <t>Virtual Online Offshore Betting</t>
  </si>
  <si>
    <t>Total Online Horse</t>
  </si>
  <si>
    <t>Total Online Dogs</t>
  </si>
  <si>
    <t>Total Online Racing</t>
  </si>
  <si>
    <t>Total Online Sports</t>
  </si>
  <si>
    <t>Total Online Non-Racing Betting</t>
  </si>
  <si>
    <t>Total Online Betting</t>
  </si>
  <si>
    <t>Total Online Pre-match Sports</t>
  </si>
  <si>
    <t>Total Online In-play Sports</t>
  </si>
  <si>
    <t>Virtual Online Betting</t>
  </si>
  <si>
    <t>Summary Gaming</t>
  </si>
  <si>
    <t>Landbased Gaming</t>
  </si>
  <si>
    <t>Commercial Casino</t>
  </si>
  <si>
    <t>Machines</t>
  </si>
  <si>
    <t>Total Commercial Casino</t>
  </si>
  <si>
    <t>Tribal Casino</t>
  </si>
  <si>
    <t>Total Tribal Casino</t>
  </si>
  <si>
    <t xml:space="preserve">Machines outside of casino </t>
  </si>
  <si>
    <t>Non-VLTs exc. Bingo Halls</t>
  </si>
  <si>
    <t>Bingo Hall Machines</t>
  </si>
  <si>
    <t>Total Non-VLTs</t>
  </si>
  <si>
    <t>VLTs</t>
  </si>
  <si>
    <t>Total Machines Outside of Casino</t>
  </si>
  <si>
    <t>Card Rooms</t>
  </si>
  <si>
    <t>Bingo (exc. Gaming Machines)</t>
  </si>
  <si>
    <t>Raffles</t>
  </si>
  <si>
    <t>Pulltab</t>
  </si>
  <si>
    <t>Charity</t>
  </si>
  <si>
    <t>Total Other Gaming</t>
  </si>
  <si>
    <t>Casino Machines</t>
  </si>
  <si>
    <t>Non-Casino Machines</t>
  </si>
  <si>
    <t>Total Gaming Machines</t>
  </si>
  <si>
    <t>Gaming Machines in Bingo Halls</t>
  </si>
  <si>
    <t xml:space="preserve">Non-Gaming Machine Bingo </t>
  </si>
  <si>
    <t>Total Land Bingo</t>
  </si>
  <si>
    <t>Online Onshore Casino</t>
  </si>
  <si>
    <t>Online Onshore Poker</t>
  </si>
  <si>
    <t>Online Onshore Bingo</t>
  </si>
  <si>
    <t>Total Online Onshore Gaming</t>
  </si>
  <si>
    <t>Onshore Online Casino Breakdown</t>
  </si>
  <si>
    <t>Onshore Slots</t>
  </si>
  <si>
    <t xml:space="preserve">Onshore RNG </t>
  </si>
  <si>
    <t>Onshore Live Casino</t>
  </si>
  <si>
    <t>Total Onshore Online Casino</t>
  </si>
  <si>
    <t>Tournament Poker</t>
  </si>
  <si>
    <t>Cash Poker</t>
  </si>
  <si>
    <t>Total Onshore Online Poker</t>
  </si>
  <si>
    <t>Online Offshore Casino</t>
  </si>
  <si>
    <t>Online Offshore Poker</t>
  </si>
  <si>
    <t>Online Offshore Bingo</t>
  </si>
  <si>
    <t>Total Online Offshore Gaming</t>
  </si>
  <si>
    <t>Offshore Online Casino Breakdown</t>
  </si>
  <si>
    <t>Offshore Slots</t>
  </si>
  <si>
    <t xml:space="preserve">Offshore RNG </t>
  </si>
  <si>
    <t>Offshore Live Casino</t>
  </si>
  <si>
    <t>Total Offshore Casino</t>
  </si>
  <si>
    <t>Total Offshore Online Poker</t>
  </si>
  <si>
    <t>Online Total Gaming</t>
  </si>
  <si>
    <t>Online Total Casino</t>
  </si>
  <si>
    <t>Online Total Poker</t>
  </si>
  <si>
    <t>Online Total Bingo</t>
  </si>
  <si>
    <t>Online Total Casino Breakdown</t>
  </si>
  <si>
    <t>Online Total Slots</t>
  </si>
  <si>
    <t xml:space="preserve">Online Total RNG </t>
  </si>
  <si>
    <t>Online Total Live Casino</t>
  </si>
  <si>
    <t>Total Online Poker</t>
  </si>
  <si>
    <t>Landbased Lottery</t>
  </si>
  <si>
    <t>Landbased Draw Lottery</t>
  </si>
  <si>
    <t>Landbased Instant Lottery</t>
  </si>
  <si>
    <t>Landbased Other Lottery</t>
  </si>
  <si>
    <t>Landbased Total Lottery</t>
  </si>
  <si>
    <t>Online Onshore Draw Lottery</t>
  </si>
  <si>
    <t>Online Onshore Instant Lottery</t>
  </si>
  <si>
    <t>Online Onshore Other Lottery</t>
  </si>
  <si>
    <t>Online Onshore Total Lottery</t>
  </si>
  <si>
    <t>Total Onshore Lottery</t>
  </si>
  <si>
    <t>Total Onshore Draw Lottery</t>
  </si>
  <si>
    <t>Total Onshore Instant Lottery</t>
  </si>
  <si>
    <t>Total Onshore Other Lottery</t>
  </si>
  <si>
    <t>Total Onshore Total Lottery</t>
  </si>
  <si>
    <t>Mobile</t>
  </si>
  <si>
    <t>Summary Mobile</t>
  </si>
  <si>
    <t>Mobile Betting</t>
  </si>
  <si>
    <t>Mobile Gaming</t>
  </si>
  <si>
    <t>Mobile Lottery</t>
  </si>
  <si>
    <t>Mobile Total</t>
  </si>
  <si>
    <t>Euros</t>
  </si>
  <si>
    <t>€/$</t>
  </si>
  <si>
    <t>USD</t>
  </si>
  <si>
    <t>Q1 2023</t>
  </si>
  <si>
    <t>Q3 2023</t>
  </si>
  <si>
    <t>Q4 2023</t>
  </si>
  <si>
    <t xml:space="preserve"> Agency (Handle)</t>
  </si>
  <si>
    <t>Italy Betting and Gaming Monthly Gross Win</t>
  </si>
  <si>
    <t>Italy Online Betting and Gaming Quarterly Gross Win</t>
  </si>
  <si>
    <t>*Virtual Betting started in 2013, monthly figures only available from 2019</t>
  </si>
  <si>
    <t xml:space="preserve"> Horse Racing (Online)</t>
  </si>
  <si>
    <t>Total Virtual Betting</t>
  </si>
  <si>
    <t>Italian Quarterly Data</t>
  </si>
  <si>
    <t xml:space="preserve">Betting </t>
  </si>
  <si>
    <t>Lotteries &amp; Number Games</t>
  </si>
  <si>
    <t xml:space="preserve">Total </t>
  </si>
  <si>
    <t>The betting category includes: fixed-odds sports bets, big, Sports betting competitions, National Horse Racing, horse racing bets in the Agency, V7, Betting Exchange and virtual bets</t>
  </si>
  <si>
    <t>Amusement Machines</t>
  </si>
  <si>
    <t>Other Games</t>
  </si>
  <si>
    <t>Total TD</t>
  </si>
  <si>
    <t>€bn</t>
  </si>
  <si>
    <t>Q121</t>
  </si>
  <si>
    <t>Q221</t>
  </si>
  <si>
    <t>Q321</t>
  </si>
  <si>
    <t>Q421</t>
  </si>
  <si>
    <t>Q122</t>
  </si>
  <si>
    <t>Q222</t>
  </si>
  <si>
    <t>Q322</t>
  </si>
  <si>
    <t>Q422</t>
  </si>
  <si>
    <t>Q123</t>
  </si>
  <si>
    <t>Q223</t>
  </si>
  <si>
    <t>Q323</t>
  </si>
  <si>
    <t>Q423</t>
  </si>
  <si>
    <t xml:space="preserve"> Betting </t>
  </si>
  <si>
    <t xml:space="preserve"> Gaming Machines</t>
  </si>
  <si>
    <t xml:space="preserve"> Lotteries &amp; Number Games</t>
  </si>
  <si>
    <t xml:space="preserve"> Other</t>
  </si>
  <si>
    <t xml:space="preserve"> Online</t>
  </si>
  <si>
    <t xml:space="preserve">Italy Gambling Quarterly Turnover </t>
  </si>
  <si>
    <t>Italy Gambling Quarterly Gross Win</t>
  </si>
  <si>
    <t>Italy Gambling Quarterly Gross Win Margin</t>
  </si>
  <si>
    <t>Italy Gambling Quarterly Prizes Paid Out</t>
  </si>
  <si>
    <t>Italy Gambling Quarterly Tax Paid</t>
  </si>
  <si>
    <t xml:space="preserve">Italy Gambling Annual Turnover </t>
  </si>
  <si>
    <t>Italy Gambling Annual Gross Win</t>
  </si>
  <si>
    <t>Italy Gambling Annual Gross Win Margin</t>
  </si>
  <si>
    <t>Italy Gambling Annual Prizes Paid Out</t>
  </si>
  <si>
    <t>Italy Gambling Annual Tax Paid</t>
  </si>
  <si>
    <t>Percentage Online (Betting / Gaming Only)</t>
  </si>
  <si>
    <t>2028e</t>
  </si>
  <si>
    <t>Q2 2023</t>
  </si>
  <si>
    <t>Onshore Regulated by Product Gross Win Split 2020</t>
  </si>
  <si>
    <t>Onshore Regulated by Product Gross Win Split 2021</t>
  </si>
  <si>
    <t>Onshore Regulated by Product Gross Win Split 2022</t>
  </si>
  <si>
    <t>Sportsbetting</t>
  </si>
  <si>
    <t>Headline</t>
  </si>
  <si>
    <t>Inflation</t>
  </si>
  <si>
    <t/>
  </si>
  <si>
    <t>Real Inflation Adjusted</t>
  </si>
  <si>
    <t>iGaming</t>
  </si>
  <si>
    <t>Sportsbetting Monthly Gross Win (€m)</t>
  </si>
  <si>
    <t>iGaming Monthly Gross Win (€m)</t>
  </si>
  <si>
    <t>Gross Win</t>
  </si>
  <si>
    <t>Y/Y</t>
  </si>
  <si>
    <t>M/M</t>
  </si>
  <si>
    <t>YTD 23</t>
  </si>
  <si>
    <t>YTD Y/Y</t>
  </si>
  <si>
    <t>Q1 2024</t>
  </si>
  <si>
    <t>Q2 2024</t>
  </si>
  <si>
    <t>Q3 2024</t>
  </si>
  <si>
    <t>Q4 2024</t>
  </si>
  <si>
    <t>Italy Gambling Quarterly Turnover (€bn)</t>
  </si>
  <si>
    <t>Italy Betting and Gaming Quarterly Gross Win (€bn)</t>
  </si>
  <si>
    <t>Italy Gambling Quarterly Prizes Paid Out (€bn)</t>
  </si>
  <si>
    <t>Italy Betting and Gaming Quarterly Tax Paid (€bn)</t>
  </si>
  <si>
    <t>Italy Gambling Annual Turnover (€bn)</t>
  </si>
  <si>
    <t>Italy Gambling Annual Gross Win (€bn)</t>
  </si>
  <si>
    <t>YTD 24</t>
  </si>
  <si>
    <t>Italy Betting and Gaming Gross Win (Ex Where Stated Otherwise)</t>
  </si>
  <si>
    <t>Q124</t>
  </si>
  <si>
    <t>Q224</t>
  </si>
  <si>
    <t>Q324</t>
  </si>
  <si>
    <t>Q424</t>
  </si>
  <si>
    <t>Italy Total Interactive Gaming Monthly Gross Win (€m)</t>
  </si>
  <si>
    <t>Sportsbetting Turnover</t>
  </si>
  <si>
    <t>Sportsbetting GGR</t>
  </si>
  <si>
    <t>Sportsbetting GGR Margin (%)</t>
  </si>
  <si>
    <t>Horseracing Turnover</t>
  </si>
  <si>
    <t>Horseracing GGR</t>
  </si>
  <si>
    <t>Horseracing GGR Margin (%)</t>
  </si>
  <si>
    <t>Virtual Betting Monthly Gross Win (€m)</t>
  </si>
  <si>
    <t>2029e</t>
  </si>
  <si>
    <t>Italy Sportsbetting Gross Win (€m)</t>
  </si>
  <si>
    <t xml:space="preserve"> Actual Annual Data From ADM 2022 / NB. Gaming Machine Data from 2013 for the sum of regional activity does not equal total gaming machine activity / there may be some small adjustments to the total monthly data</t>
  </si>
  <si>
    <t>Italy Total iGaming Monthly Gross Win (€m)</t>
  </si>
  <si>
    <t>Gaming Machine Revenues (€m)</t>
  </si>
  <si>
    <t>No of VLT Comma 6b Venues</t>
  </si>
  <si>
    <t>Average Number of VLTs Comma 6b Devices per Venue</t>
  </si>
  <si>
    <t xml:space="preserve"> Average Gross Win per Horserace Betting Outlet (€k)</t>
  </si>
  <si>
    <t xml:space="preserve"> Average Gross Win per Sportsbetting Outlet (€k)</t>
  </si>
  <si>
    <t>*Other includes: Bingo, Remote Skill Games, Fixed Odds Card Games and Games of Chance</t>
  </si>
  <si>
    <t>QoQ</t>
  </si>
  <si>
    <t>YTD24</t>
  </si>
  <si>
    <t>YTD23</t>
  </si>
  <si>
    <t>YTD %</t>
  </si>
  <si>
    <t xml:space="preserve"> Number of Horserace Betting Outlets</t>
  </si>
  <si>
    <t>Italy Sportsbetting and iGaming Gross Win (€m)</t>
  </si>
  <si>
    <t>2025TD</t>
  </si>
  <si>
    <t>Q1 2025</t>
  </si>
  <si>
    <t>Q2 2025</t>
  </si>
  <si>
    <t>Q3 2025</t>
  </si>
  <si>
    <t>Q4 2025</t>
  </si>
  <si>
    <t>Q125</t>
  </si>
  <si>
    <t>Q225</t>
  </si>
  <si>
    <t>Q325</t>
  </si>
  <si>
    <t>Q425</t>
  </si>
  <si>
    <t>YTD 25</t>
  </si>
  <si>
    <t>Last Updated:</t>
  </si>
  <si>
    <t>Metric</t>
  </si>
  <si>
    <t>Currency</t>
  </si>
  <si>
    <t>Product</t>
  </si>
  <si>
    <t>GGR</t>
  </si>
  <si>
    <t>Total Lottery</t>
  </si>
  <si>
    <t>Total Market</t>
  </si>
  <si>
    <t>Onshore Online Betting &amp; Gaming</t>
  </si>
  <si>
    <t>Offshore Online Betting &amp; Gaming</t>
  </si>
  <si>
    <t>Total Online Betting &amp; Gaming</t>
  </si>
  <si>
    <t>% Onshore</t>
  </si>
  <si>
    <t>EUR (m)</t>
  </si>
  <si>
    <t>KPI</t>
  </si>
  <si>
    <t>Turnover</t>
  </si>
  <si>
    <t>GGR Margin</t>
  </si>
  <si>
    <t>Assumptions/Notes</t>
  </si>
  <si>
    <t xml:space="preserve"> Onshore Betting</t>
  </si>
  <si>
    <t xml:space="preserve"> Onshore Gaming</t>
  </si>
  <si>
    <t>Total Onshore</t>
  </si>
  <si>
    <t xml:space="preserve"> Offshore Betting</t>
  </si>
  <si>
    <t xml:space="preserve"> Offshore Gaming</t>
  </si>
  <si>
    <t>Total Offshore</t>
  </si>
  <si>
    <t xml:space="preserve"> Total Online Betting</t>
  </si>
  <si>
    <t xml:space="preserve"> Total Online Gaming</t>
  </si>
  <si>
    <t>Total Online</t>
  </si>
  <si>
    <t>Total Onshore Betting</t>
  </si>
  <si>
    <t>Total Onshore Gaming</t>
  </si>
  <si>
    <t>Total Onshore GGR</t>
  </si>
  <si>
    <t>Total Offshore Betting</t>
  </si>
  <si>
    <t>Total Offshore Gaming</t>
  </si>
  <si>
    <t>Total Offshore Lottery</t>
  </si>
  <si>
    <t>Total Offshore GGR</t>
  </si>
  <si>
    <t>Total Online Gaming</t>
  </si>
  <si>
    <t>Total Online Lottery</t>
  </si>
  <si>
    <t>Total Online GGR</t>
  </si>
  <si>
    <t>Check</t>
  </si>
  <si>
    <t>Grand Total Mobile Gambling</t>
  </si>
  <si>
    <t>GGR per Adult</t>
  </si>
  <si>
    <t>GGR as % GDP</t>
  </si>
  <si>
    <t>GDP</t>
  </si>
  <si>
    <t>2030e</t>
  </si>
  <si>
    <t xml:space="preserve"> 2022 Interactive Gaming Data Integrated / Monthly iGaming Data to May 2025 and Online Sportsbetting Data to May 2025 / Monthly Online Bingo Data to April 2025</t>
  </si>
  <si>
    <t xml:space="preserve"> 2022 Betting Data Integrated / Monthly Landbased Data to May 2025</t>
  </si>
  <si>
    <t>Europe</t>
  </si>
  <si>
    <t>Italy</t>
  </si>
  <si>
    <t>FX - Constant $</t>
  </si>
  <si>
    <t>Constant $</t>
  </si>
  <si>
    <t>FX - Current €</t>
  </si>
  <si>
    <t>Current €</t>
  </si>
  <si>
    <t>GDP - Local Currency</t>
  </si>
  <si>
    <t>EUR</t>
  </si>
  <si>
    <t>GDP - USD</t>
  </si>
  <si>
    <t>FX - Constant €</t>
  </si>
  <si>
    <t>Constant €</t>
  </si>
  <si>
    <t>FX - Current $</t>
  </si>
  <si>
    <t>Current $</t>
  </si>
  <si>
    <t>Indexed</t>
  </si>
  <si>
    <t>Region</t>
  </si>
  <si>
    <t>Country</t>
  </si>
  <si>
    <t>Category</t>
  </si>
  <si>
    <t>Channel</t>
  </si>
  <si>
    <t>Race Betting</t>
  </si>
  <si>
    <t>Land</t>
  </si>
  <si>
    <t>Sport Betting</t>
  </si>
  <si>
    <t>Casino Gaming Machines</t>
  </si>
  <si>
    <t>Casino Table Games</t>
  </si>
  <si>
    <t>Non-Casino Gaming Machines</t>
  </si>
  <si>
    <t>Bingo/Other Gaming</t>
  </si>
  <si>
    <t>Draw Lottery</t>
  </si>
  <si>
    <t>Instant Lottery</t>
  </si>
  <si>
    <t>Other Lottery</t>
  </si>
  <si>
    <t>Onshore Online</t>
  </si>
  <si>
    <t>Casino Slots</t>
  </si>
  <si>
    <t>Casino RNG</t>
  </si>
  <si>
    <t>Casino Live Casino</t>
  </si>
  <si>
    <t>Offshore Online</t>
  </si>
  <si>
    <t>FX</t>
  </si>
  <si>
    <t xml:space="preserve"> GDP Forecasts IMF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</si>
</sst>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0.0%"/>
    <numFmt numFmtId="167" formatCode="0.0"/>
    <numFmt numFmtId="168" formatCode="_-* #,##0_-;\-* #,##0_-;_-* &quot;-&quot;??_-;_-@_-"/>
    <numFmt numFmtId="169" formatCode="#,##0.0000"/>
    <numFmt numFmtId="170" formatCode="#,##0.0000000000"/>
    <numFmt numFmtId="171" formatCode="#,##0.000"/>
    <numFmt numFmtId="172" formatCode="dd/mm/yy;@"/>
    <numFmt numFmtId="173" formatCode="_(* #,##0_);_(* \(#,##0\);_(* &quot;-&quot;??_);_(@_)"/>
    <numFmt numFmtId="174" formatCode="_(* #,##0.0_);_(* \(#,##0.0\);_(* &quot;-&quot;??_);_(@_)"/>
    <numFmt numFmtId="175" formatCode="0.000%"/>
    <numFmt numFmtId="176" formatCode="_(* #,##0.000_);_(* \(#,##0.000\);_(* &quot;-&quot;??_);_(@_)"/>
  </numFmts>
  <fonts count="108"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Verdana"/>
      <family val="2"/>
    </font>
    <font>
      <b/>
      <sz val="11"/>
      <color indexed="18"/>
      <name val="Calibri"/>
      <family val="2"/>
    </font>
    <font>
      <sz val="10"/>
      <color indexed="18"/>
      <name val="Calibri"/>
      <family val="2"/>
    </font>
    <font>
      <sz val="10"/>
      <color indexed="8"/>
      <name val="Calibri"/>
      <family val="2"/>
    </font>
    <font>
      <b/>
      <sz val="10"/>
      <color indexed="18"/>
      <name val="Calibri"/>
      <family val="2"/>
    </font>
    <font>
      <sz val="11"/>
      <color indexed="18"/>
      <name val="Calibri"/>
      <family val="2"/>
    </font>
    <font>
      <b/>
      <sz val="10"/>
      <color indexed="12"/>
      <name val="Calibri"/>
      <family val="2"/>
    </font>
    <font>
      <sz val="9"/>
      <name val="Arial"/>
      <family val="2"/>
    </font>
    <font>
      <b/>
      <sz val="10"/>
      <color indexed="30"/>
      <name val="Calibri"/>
      <family val="2"/>
    </font>
    <font>
      <b/>
      <sz val="16"/>
      <color indexed="18"/>
      <name val="Calibri"/>
      <family val="2"/>
    </font>
    <font>
      <b/>
      <sz val="10"/>
      <color indexed="13"/>
      <name val="Calibri"/>
      <family val="2"/>
    </font>
    <font>
      <i/>
      <sz val="10"/>
      <color indexed="8"/>
      <name val="Calibri"/>
      <family val="2"/>
    </font>
    <font>
      <sz val="10"/>
      <name val="Calibri"/>
      <family val="2"/>
    </font>
    <font>
      <b/>
      <sz val="11"/>
      <color indexed="62"/>
      <name val="Calibri"/>
      <family val="2"/>
    </font>
    <font>
      <b/>
      <sz val="11"/>
      <color indexed="13"/>
      <name val="Calibri"/>
      <family val="2"/>
    </font>
    <font>
      <sz val="11"/>
      <color indexed="8"/>
      <name val="Calibri"/>
      <family val="2"/>
    </font>
    <font>
      <b/>
      <sz val="11"/>
      <color indexed="20"/>
      <name val="Calibri"/>
      <family val="2"/>
    </font>
    <font>
      <b/>
      <sz val="10"/>
      <color indexed="8"/>
      <name val="Calibri"/>
      <family val="2"/>
    </font>
    <font>
      <i/>
      <sz val="10"/>
      <color rgb="FF000090"/>
      <name val="Calibri"/>
      <family val="2"/>
    </font>
    <font>
      <b/>
      <sz val="16"/>
      <color indexed="62"/>
      <name val="Calibri"/>
      <family val="2"/>
    </font>
    <font>
      <b/>
      <sz val="11"/>
      <color rgb="FF000090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8"/>
      <color indexed="81"/>
      <name val="Tahoma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color indexed="8"/>
      <name val="Arial"/>
      <family val="2"/>
    </font>
    <font>
      <i/>
      <sz val="11"/>
      <color indexed="8"/>
      <name val="Calibri"/>
      <family val="2"/>
    </font>
    <font>
      <i/>
      <sz val="11"/>
      <color indexed="62"/>
      <name val="Calibri"/>
      <family val="2"/>
    </font>
    <font>
      <b/>
      <i/>
      <sz val="10"/>
      <color indexed="62"/>
      <name val="Calibri"/>
      <family val="2"/>
    </font>
    <font>
      <b/>
      <i/>
      <sz val="11"/>
      <color indexed="62"/>
      <name val="Calibri"/>
      <family val="2"/>
    </font>
    <font>
      <sz val="11"/>
      <color indexed="8"/>
      <name val="Calibri"/>
      <family val="2"/>
    </font>
    <font>
      <i/>
      <sz val="10"/>
      <color indexed="62"/>
      <name val="Calibri"/>
      <family val="2"/>
    </font>
    <font>
      <i/>
      <sz val="11"/>
      <color rgb="FF000090"/>
      <name val="Calibri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b/>
      <sz val="10"/>
      <color indexed="43"/>
      <name val="Arial"/>
      <family val="2"/>
    </font>
    <font>
      <sz val="11"/>
      <name val="Calibri"/>
      <family val="2"/>
    </font>
    <font>
      <b/>
      <sz val="11"/>
      <color indexed="12"/>
      <name val="Calibri"/>
      <family val="2"/>
    </font>
    <font>
      <b/>
      <sz val="11"/>
      <color indexed="43"/>
      <name val="Calibri"/>
      <family val="2"/>
    </font>
    <font>
      <u/>
      <sz val="11"/>
      <color indexed="12"/>
      <name val="Calibri"/>
      <family val="2"/>
    </font>
    <font>
      <u/>
      <sz val="11"/>
      <color indexed="20"/>
      <name val="Calibri"/>
      <family val="2"/>
    </font>
    <font>
      <sz val="11"/>
      <color indexed="10"/>
      <name val="Calibri"/>
      <family val="2"/>
    </font>
    <font>
      <b/>
      <sz val="9"/>
      <color indexed="8"/>
      <name val="Arial"/>
      <family val="2"/>
    </font>
    <font>
      <sz val="11"/>
      <color rgb="FF000090"/>
      <name val="Calibri"/>
      <family val="2"/>
    </font>
    <font>
      <sz val="11"/>
      <color indexed="8"/>
      <name val="Calibri"/>
      <family val="2"/>
    </font>
    <font>
      <b/>
      <sz val="14"/>
      <color indexed="18"/>
      <name val="Calibri"/>
      <family val="2"/>
    </font>
    <font>
      <sz val="14"/>
      <color indexed="8"/>
      <name val="Calibri"/>
      <family val="2"/>
    </font>
    <font>
      <b/>
      <sz val="12"/>
      <color rgb="FF000090"/>
      <name val="Calibri"/>
      <family val="2"/>
    </font>
    <font>
      <b/>
      <i/>
      <sz val="11"/>
      <color rgb="FF000090"/>
      <name val="Calibri"/>
      <family val="2"/>
    </font>
    <font>
      <sz val="10"/>
      <color rgb="FF000090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sz val="11"/>
      <color rgb="FFFF0000"/>
      <name val="Calibri"/>
      <family val="2"/>
    </font>
    <font>
      <i/>
      <sz val="10"/>
      <color indexed="18"/>
      <name val="Calibri"/>
      <family val="2"/>
    </font>
    <font>
      <b/>
      <sz val="11"/>
      <name val="Calibri"/>
      <family val="2"/>
    </font>
    <font>
      <sz val="10"/>
      <color indexed="43"/>
      <name val="Calibri"/>
      <family val="2"/>
    </font>
    <font>
      <b/>
      <sz val="11"/>
      <color rgb="FF002060"/>
      <name val="Calibri"/>
      <family val="2"/>
    </font>
    <font>
      <i/>
      <sz val="11"/>
      <color rgb="FF002060"/>
      <name val="Calibri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  <font>
      <b/>
      <sz val="10"/>
      <color rgb="FFFCF305"/>
      <name val="Calibri"/>
      <family val="2"/>
    </font>
    <font>
      <i/>
      <sz val="11"/>
      <color rgb="FF002060"/>
      <name val="Calibri"/>
      <family val="2"/>
      <scheme val="minor"/>
    </font>
    <font>
      <b/>
      <sz val="11"/>
      <color rgb="FFFCF305"/>
      <name val="Calibri (Body)_x0000_"/>
    </font>
    <font>
      <sz val="8"/>
      <name val="Calibri"/>
      <family val="2"/>
    </font>
    <font>
      <sz val="10"/>
      <name val="Verdana"/>
      <family val="2"/>
    </font>
    <font>
      <b/>
      <sz val="10"/>
      <color rgb="FFFF0000"/>
      <name val="Verdana"/>
      <family val="2"/>
    </font>
    <font>
      <b/>
      <sz val="10"/>
      <name val="Verdana"/>
      <family val="2"/>
    </font>
    <font>
      <b/>
      <sz val="10"/>
      <color rgb="FFFFFF00"/>
      <name val="Verdana"/>
      <family val="2"/>
    </font>
    <font>
      <sz val="10"/>
      <color rgb="FFFFFF00"/>
      <name val="Verdana"/>
      <family val="2"/>
    </font>
    <font>
      <b/>
      <sz val="10"/>
      <color theme="3"/>
      <name val="Verdana"/>
      <family val="2"/>
    </font>
    <font>
      <i/>
      <sz val="9"/>
      <color theme="1"/>
      <name val="Garamond"/>
      <family val="1"/>
    </font>
    <font>
      <i/>
      <sz val="11"/>
      <color theme="4"/>
      <name val="Calibri"/>
      <family val="2"/>
    </font>
    <font>
      <sz val="10"/>
      <color rgb="FF000000"/>
      <name val="Calibri"/>
      <family val="2"/>
    </font>
    <font>
      <b/>
      <sz val="10"/>
      <color rgb="FF0066CC"/>
      <name val="Calibri"/>
      <family val="2"/>
    </font>
    <font>
      <sz val="12"/>
      <name val="Calibri"/>
      <family val="2"/>
    </font>
    <font>
      <b/>
      <sz val="12"/>
      <color indexed="18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20"/>
      <color indexed="13"/>
      <name val="Calibri"/>
      <family val="2"/>
    </font>
    <font>
      <sz val="12"/>
      <color indexed="8"/>
      <name val="Calibri"/>
      <family val="2"/>
    </font>
    <font>
      <sz val="10"/>
      <color indexed="8"/>
      <name val="Calibri"/>
      <family val="2"/>
      <scheme val="minor"/>
    </font>
    <font>
      <i/>
      <sz val="10"/>
      <color rgb="FFFF0000"/>
      <name val="Calibri"/>
      <family val="2"/>
    </font>
    <font>
      <b/>
      <sz val="11"/>
      <color indexed="30"/>
      <name val="Calibri"/>
      <family val="2"/>
    </font>
    <font>
      <sz val="10"/>
      <color indexed="12"/>
      <name val="Calibri"/>
      <family val="2"/>
    </font>
    <font>
      <i/>
      <sz val="10"/>
      <name val="Calibri"/>
      <family val="2"/>
    </font>
    <font>
      <sz val="11"/>
      <color rgb="FF000000"/>
      <name val="Calibri"/>
      <family val="2"/>
    </font>
  </fonts>
  <fills count="46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00"/>
        <bgColor rgb="FF000000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99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000000"/>
      </patternFill>
    </fill>
  </fills>
  <borders count="7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medium">
        <color auto="1"/>
      </right>
      <top style="slantDashDot">
        <color auto="1"/>
      </top>
      <bottom style="slantDashDot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43">
    <xf numFmtId="0" fontId="0" fillId="0" borderId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9" fillId="9" borderId="0" applyNumberFormat="0" applyBorder="0" applyAlignment="0" applyProtection="0"/>
    <xf numFmtId="0" fontId="13" fillId="26" borderId="39" applyNumberFormat="0" applyAlignment="0" applyProtection="0"/>
    <xf numFmtId="0" fontId="15" fillId="27" borderId="40" applyNumberFormat="0" applyAlignment="0" applyProtection="0"/>
    <xf numFmtId="0" fontId="17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5" fillId="0" borderId="41" applyNumberFormat="0" applyFill="0" applyAlignment="0" applyProtection="0"/>
    <xf numFmtId="0" fontId="6" fillId="0" borderId="42" applyNumberFormat="0" applyFill="0" applyAlignment="0" applyProtection="0"/>
    <xf numFmtId="0" fontId="7" fillId="0" borderId="43" applyNumberFormat="0" applyFill="0" applyAlignment="0" applyProtection="0"/>
    <xf numFmtId="0" fontId="7" fillId="0" borderId="0" applyNumberFormat="0" applyFill="0" applyBorder="0" applyAlignment="0" applyProtection="0"/>
    <xf numFmtId="0" fontId="11" fillId="13" borderId="39" applyNumberFormat="0" applyAlignment="0" applyProtection="0"/>
    <xf numFmtId="0" fontId="14" fillId="0" borderId="44" applyNumberFormat="0" applyFill="0" applyAlignment="0" applyProtection="0"/>
    <xf numFmtId="0" fontId="10" fillId="28" borderId="0" applyNumberFormat="0" applyBorder="0" applyAlignment="0" applyProtection="0"/>
    <xf numFmtId="0" fontId="3" fillId="29" borderId="45" applyNumberFormat="0" applyFont="0" applyAlignment="0" applyProtection="0"/>
    <xf numFmtId="0" fontId="12" fillId="26" borderId="46" applyNumberFormat="0" applyAlignment="0" applyProtection="0"/>
    <xf numFmtId="9" fontId="3" fillId="0" borderId="0" applyFont="0" applyFill="0" applyBorder="0" applyAlignment="0" applyProtection="0"/>
    <xf numFmtId="0" fontId="27" fillId="0" borderId="0"/>
    <xf numFmtId="0" fontId="4" fillId="0" borderId="0" applyNumberFormat="0" applyFill="0" applyBorder="0" applyAlignment="0" applyProtection="0"/>
    <xf numFmtId="0" fontId="18" fillId="0" borderId="47" applyNumberFormat="0" applyFill="0" applyAlignment="0" applyProtection="0"/>
    <xf numFmtId="0" fontId="16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86" fillId="0" borderId="0"/>
    <xf numFmtId="0" fontId="86" fillId="0" borderId="0"/>
    <xf numFmtId="43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1" fillId="0" borderId="0"/>
    <xf numFmtId="0" fontId="1" fillId="0" borderId="0"/>
  </cellStyleXfs>
  <cellXfs count="1002">
    <xf numFmtId="0" fontId="0" fillId="0" borderId="0" xfId="0"/>
    <xf numFmtId="165" fontId="66" fillId="4" borderId="0" xfId="0" applyNumberFormat="1" applyFont="1" applyFill="1" applyAlignment="1">
      <alignment vertical="center"/>
    </xf>
    <xf numFmtId="165" fontId="66" fillId="4" borderId="27" xfId="0" applyNumberFormat="1" applyFont="1" applyFill="1" applyBorder="1" applyAlignment="1">
      <alignment vertical="center"/>
    </xf>
    <xf numFmtId="165" fontId="0" fillId="4" borderId="27" xfId="0" applyNumberFormat="1" applyFill="1" applyBorder="1" applyAlignment="1">
      <alignment vertical="center"/>
    </xf>
    <xf numFmtId="165" fontId="0" fillId="4" borderId="0" xfId="0" applyNumberFormat="1" applyFill="1" applyAlignment="1">
      <alignment vertical="center"/>
    </xf>
    <xf numFmtId="0" fontId="0" fillId="0" borderId="26" xfId="0" applyBorder="1" applyAlignment="1">
      <alignment vertical="center"/>
    </xf>
    <xf numFmtId="0" fontId="0" fillId="0" borderId="8" xfId="0" applyBorder="1" applyAlignment="1">
      <alignment vertical="center"/>
    </xf>
    <xf numFmtId="0" fontId="23" fillId="0" borderId="1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8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23" fillId="0" borderId="2" xfId="0" applyFont="1" applyBorder="1" applyAlignment="1">
      <alignment vertical="center"/>
    </xf>
    <xf numFmtId="0" fontId="29" fillId="0" borderId="0" xfId="0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30" fillId="3" borderId="5" xfId="0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/>
    </xf>
    <xf numFmtId="0" fontId="30" fillId="3" borderId="7" xfId="0" applyFont="1" applyFill="1" applyBorder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165" fontId="23" fillId="0" borderId="9" xfId="0" applyNumberFormat="1" applyFont="1" applyBorder="1" applyAlignment="1">
      <alignment vertical="center"/>
    </xf>
    <xf numFmtId="165" fontId="23" fillId="0" borderId="8" xfId="0" applyNumberFormat="1" applyFont="1" applyBorder="1" applyAlignment="1">
      <alignment vertical="center"/>
    </xf>
    <xf numFmtId="165" fontId="23" fillId="0" borderId="11" xfId="0" applyNumberFormat="1" applyFont="1" applyBorder="1" applyAlignment="1">
      <alignment vertical="center"/>
    </xf>
    <xf numFmtId="165" fontId="23" fillId="0" borderId="12" xfId="0" applyNumberFormat="1" applyFont="1" applyBorder="1" applyAlignment="1">
      <alignment vertical="center"/>
    </xf>
    <xf numFmtId="165" fontId="23" fillId="0" borderId="10" xfId="0" applyNumberFormat="1" applyFont="1" applyBorder="1" applyAlignment="1">
      <alignment vertical="center"/>
    </xf>
    <xf numFmtId="0" fontId="31" fillId="0" borderId="8" xfId="0" applyFont="1" applyBorder="1" applyAlignment="1">
      <alignment vertical="center"/>
    </xf>
    <xf numFmtId="165" fontId="31" fillId="0" borderId="0" xfId="0" applyNumberFormat="1" applyFont="1" applyAlignment="1">
      <alignment vertical="center"/>
    </xf>
    <xf numFmtId="165" fontId="31" fillId="0" borderId="9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2" fillId="0" borderId="13" xfId="0" applyFont="1" applyBorder="1" applyAlignment="1">
      <alignment vertical="center"/>
    </xf>
    <xf numFmtId="165" fontId="22" fillId="0" borderId="14" xfId="0" applyNumberFormat="1" applyFont="1" applyBorder="1" applyAlignment="1">
      <alignment vertical="center"/>
    </xf>
    <xf numFmtId="165" fontId="22" fillId="0" borderId="15" xfId="0" applyNumberFormat="1" applyFont="1" applyBorder="1" applyAlignment="1">
      <alignment vertical="center"/>
    </xf>
    <xf numFmtId="4" fontId="22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5" fontId="30" fillId="3" borderId="13" xfId="0" applyNumberFormat="1" applyFont="1" applyFill="1" applyBorder="1" applyAlignment="1">
      <alignment vertical="center"/>
    </xf>
    <xf numFmtId="165" fontId="30" fillId="3" borderId="14" xfId="0" applyNumberFormat="1" applyFont="1" applyFill="1" applyBorder="1" applyAlignment="1">
      <alignment vertical="center"/>
    </xf>
    <xf numFmtId="165" fontId="30" fillId="3" borderId="15" xfId="0" applyNumberFormat="1" applyFont="1" applyFill="1" applyBorder="1" applyAlignment="1">
      <alignment vertical="center"/>
    </xf>
    <xf numFmtId="0" fontId="32" fillId="0" borderId="8" xfId="0" applyFont="1" applyBorder="1" applyAlignment="1">
      <alignment vertical="center"/>
    </xf>
    <xf numFmtId="0" fontId="26" fillId="5" borderId="18" xfId="0" applyFont="1" applyFill="1" applyBorder="1" applyAlignment="1">
      <alignment vertical="center"/>
    </xf>
    <xf numFmtId="0" fontId="23" fillId="5" borderId="19" xfId="0" applyFont="1" applyFill="1" applyBorder="1" applyAlignment="1">
      <alignment vertical="center"/>
    </xf>
    <xf numFmtId="0" fontId="23" fillId="5" borderId="20" xfId="0" applyFont="1" applyFill="1" applyBorder="1" applyAlignment="1">
      <alignment vertical="center"/>
    </xf>
    <xf numFmtId="0" fontId="23" fillId="5" borderId="8" xfId="0" applyFont="1" applyFill="1" applyBorder="1" applyAlignment="1">
      <alignment vertical="center"/>
    </xf>
    <xf numFmtId="3" fontId="23" fillId="5" borderId="0" xfId="0" applyNumberFormat="1" applyFont="1" applyFill="1" applyAlignment="1">
      <alignment vertical="center"/>
    </xf>
    <xf numFmtId="3" fontId="23" fillId="5" borderId="9" xfId="0" applyNumberFormat="1" applyFont="1" applyFill="1" applyBorder="1" applyAlignment="1">
      <alignment vertical="center"/>
    </xf>
    <xf numFmtId="2" fontId="23" fillId="5" borderId="0" xfId="0" applyNumberFormat="1" applyFont="1" applyFill="1" applyAlignment="1">
      <alignment vertical="center"/>
    </xf>
    <xf numFmtId="0" fontId="23" fillId="5" borderId="0" xfId="0" applyFont="1" applyFill="1" applyAlignment="1">
      <alignment vertical="center"/>
    </xf>
    <xf numFmtId="167" fontId="23" fillId="5" borderId="0" xfId="0" applyNumberFormat="1" applyFont="1" applyFill="1" applyAlignment="1">
      <alignment vertical="center"/>
    </xf>
    <xf numFmtId="167" fontId="23" fillId="5" borderId="9" xfId="0" applyNumberFormat="1" applyFont="1" applyFill="1" applyBorder="1" applyAlignment="1">
      <alignment vertical="center"/>
    </xf>
    <xf numFmtId="166" fontId="32" fillId="5" borderId="0" xfId="39" applyNumberFormat="1" applyFont="1" applyFill="1" applyBorder="1" applyAlignment="1">
      <alignment vertical="center"/>
    </xf>
    <xf numFmtId="166" fontId="32" fillId="5" borderId="9" xfId="39" applyNumberFormat="1" applyFont="1" applyFill="1" applyBorder="1" applyAlignment="1">
      <alignment vertical="center"/>
    </xf>
    <xf numFmtId="0" fontId="23" fillId="5" borderId="16" xfId="0" applyFont="1" applyFill="1" applyBorder="1" applyAlignment="1">
      <alignment vertical="center"/>
    </xf>
    <xf numFmtId="3" fontId="23" fillId="5" borderId="1" xfId="0" applyNumberFormat="1" applyFont="1" applyFill="1" applyBorder="1" applyAlignment="1">
      <alignment vertical="center"/>
    </xf>
    <xf numFmtId="2" fontId="23" fillId="5" borderId="1" xfId="0" applyNumberFormat="1" applyFont="1" applyFill="1" applyBorder="1" applyAlignment="1">
      <alignment vertical="center"/>
    </xf>
    <xf numFmtId="3" fontId="23" fillId="0" borderId="0" xfId="0" applyNumberFormat="1" applyFont="1" applyAlignment="1">
      <alignment vertical="center"/>
    </xf>
    <xf numFmtId="2" fontId="23" fillId="0" borderId="0" xfId="0" applyNumberFormat="1" applyFont="1" applyAlignment="1">
      <alignment vertical="center"/>
    </xf>
    <xf numFmtId="0" fontId="22" fillId="5" borderId="8" xfId="0" applyFont="1" applyFill="1" applyBorder="1" applyAlignment="1">
      <alignment vertical="center"/>
    </xf>
    <xf numFmtId="0" fontId="22" fillId="5" borderId="13" xfId="0" applyFont="1" applyFill="1" applyBorder="1" applyAlignment="1">
      <alignment vertical="center"/>
    </xf>
    <xf numFmtId="3" fontId="22" fillId="5" borderId="14" xfId="0" applyNumberFormat="1" applyFont="1" applyFill="1" applyBorder="1" applyAlignment="1">
      <alignment vertical="center"/>
    </xf>
    <xf numFmtId="165" fontId="22" fillId="5" borderId="14" xfId="0" applyNumberFormat="1" applyFont="1" applyFill="1" applyBorder="1" applyAlignment="1">
      <alignment vertical="center"/>
    </xf>
    <xf numFmtId="0" fontId="24" fillId="5" borderId="13" xfId="0" applyFont="1" applyFill="1" applyBorder="1" applyAlignment="1">
      <alignment vertical="center"/>
    </xf>
    <xf numFmtId="165" fontId="24" fillId="5" borderId="14" xfId="0" applyNumberFormat="1" applyFont="1" applyFill="1" applyBorder="1" applyAlignment="1">
      <alignment vertical="center"/>
    </xf>
    <xf numFmtId="165" fontId="24" fillId="5" borderId="15" xfId="0" applyNumberFormat="1" applyFont="1" applyFill="1" applyBorder="1" applyAlignment="1">
      <alignment vertical="center"/>
    </xf>
    <xf numFmtId="166" fontId="23" fillId="0" borderId="1" xfId="39" applyNumberFormat="1" applyFont="1" applyBorder="1" applyAlignment="1">
      <alignment vertical="center"/>
    </xf>
    <xf numFmtId="0" fontId="28" fillId="2" borderId="2" xfId="0" applyFont="1" applyFill="1" applyBorder="1" applyAlignment="1">
      <alignment vertical="center"/>
    </xf>
    <xf numFmtId="0" fontId="23" fillId="2" borderId="2" xfId="0" applyFont="1" applyFill="1" applyBorder="1" applyAlignment="1">
      <alignment vertical="center"/>
    </xf>
    <xf numFmtId="0" fontId="23" fillId="2" borderId="1" xfId="0" applyFont="1" applyFill="1" applyBorder="1" applyAlignment="1">
      <alignment vertical="center"/>
    </xf>
    <xf numFmtId="0" fontId="23" fillId="6" borderId="21" xfId="0" applyFont="1" applyFill="1" applyBorder="1" applyAlignment="1">
      <alignment vertical="center"/>
    </xf>
    <xf numFmtId="3" fontId="23" fillId="6" borderId="22" xfId="0" applyNumberFormat="1" applyFont="1" applyFill="1" applyBorder="1" applyAlignment="1">
      <alignment vertical="center"/>
    </xf>
    <xf numFmtId="2" fontId="23" fillId="6" borderId="22" xfId="0" applyNumberFormat="1" applyFont="1" applyFill="1" applyBorder="1" applyAlignment="1">
      <alignment vertical="center"/>
    </xf>
    <xf numFmtId="2" fontId="23" fillId="6" borderId="23" xfId="0" applyNumberFormat="1" applyFont="1" applyFill="1" applyBorder="1" applyAlignment="1">
      <alignment vertical="center"/>
    </xf>
    <xf numFmtId="0" fontId="34" fillId="3" borderId="5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165" fontId="34" fillId="3" borderId="13" xfId="0" applyNumberFormat="1" applyFont="1" applyFill="1" applyBorder="1" applyAlignment="1">
      <alignment vertical="center"/>
    </xf>
    <xf numFmtId="167" fontId="23" fillId="0" borderId="0" xfId="0" applyNumberFormat="1" applyFont="1" applyAlignment="1">
      <alignment vertical="center"/>
    </xf>
    <xf numFmtId="165" fontId="34" fillId="3" borderId="14" xfId="0" applyNumberFormat="1" applyFont="1" applyFill="1" applyBorder="1" applyAlignment="1">
      <alignment vertical="center"/>
    </xf>
    <xf numFmtId="165" fontId="34" fillId="3" borderId="15" xfId="0" applyNumberFormat="1" applyFont="1" applyFill="1" applyBorder="1" applyAlignment="1">
      <alignment vertical="center"/>
    </xf>
    <xf numFmtId="0" fontId="22" fillId="0" borderId="26" xfId="0" applyFont="1" applyBorder="1" applyAlignment="1">
      <alignment vertical="center"/>
    </xf>
    <xf numFmtId="0" fontId="23" fillId="0" borderId="26" xfId="0" applyFont="1" applyBorder="1" applyAlignment="1">
      <alignment vertical="center"/>
    </xf>
    <xf numFmtId="0" fontId="22" fillId="0" borderId="28" xfId="0" applyFont="1" applyBorder="1" applyAlignment="1">
      <alignment vertical="center"/>
    </xf>
    <xf numFmtId="0" fontId="24" fillId="7" borderId="33" xfId="0" applyFont="1" applyFill="1" applyBorder="1" applyAlignment="1">
      <alignment vertical="center"/>
    </xf>
    <xf numFmtId="0" fontId="23" fillId="7" borderId="35" xfId="0" applyFont="1" applyFill="1" applyBorder="1" applyAlignment="1">
      <alignment vertical="center"/>
    </xf>
    <xf numFmtId="0" fontId="26" fillId="0" borderId="26" xfId="0" applyFont="1" applyBorder="1" applyAlignment="1">
      <alignment vertical="center"/>
    </xf>
    <xf numFmtId="165" fontId="23" fillId="5" borderId="0" xfId="0" applyNumberFormat="1" applyFont="1" applyFill="1" applyAlignment="1">
      <alignment vertical="center"/>
    </xf>
    <xf numFmtId="165" fontId="23" fillId="5" borderId="9" xfId="0" applyNumberFormat="1" applyFont="1" applyFill="1" applyBorder="1" applyAlignment="1">
      <alignment vertical="center"/>
    </xf>
    <xf numFmtId="0" fontId="23" fillId="5" borderId="13" xfId="0" applyFont="1" applyFill="1" applyBorder="1" applyAlignment="1">
      <alignment vertical="center"/>
    </xf>
    <xf numFmtId="165" fontId="23" fillId="5" borderId="14" xfId="0" applyNumberFormat="1" applyFont="1" applyFill="1" applyBorder="1" applyAlignment="1">
      <alignment vertical="center"/>
    </xf>
    <xf numFmtId="2" fontId="23" fillId="5" borderId="14" xfId="0" applyNumberFormat="1" applyFont="1" applyFill="1" applyBorder="1" applyAlignment="1">
      <alignment vertical="center"/>
    </xf>
    <xf numFmtId="0" fontId="23" fillId="5" borderId="14" xfId="0" applyFont="1" applyFill="1" applyBorder="1" applyAlignment="1">
      <alignment vertical="center"/>
    </xf>
    <xf numFmtId="165" fontId="37" fillId="5" borderId="14" xfId="0" applyNumberFormat="1" applyFont="1" applyFill="1" applyBorder="1" applyAlignment="1">
      <alignment vertical="center"/>
    </xf>
    <xf numFmtId="2" fontId="37" fillId="5" borderId="14" xfId="0" applyNumberFormat="1" applyFont="1" applyFill="1" applyBorder="1" applyAlignment="1">
      <alignment vertical="center"/>
    </xf>
    <xf numFmtId="0" fontId="37" fillId="5" borderId="14" xfId="0" applyFont="1" applyFill="1" applyBorder="1" applyAlignment="1">
      <alignment vertical="center"/>
    </xf>
    <xf numFmtId="166" fontId="23" fillId="0" borderId="0" xfId="39" applyNumberFormat="1" applyFont="1" applyFill="1" applyBorder="1" applyAlignment="1">
      <alignment vertical="center"/>
    </xf>
    <xf numFmtId="166" fontId="23" fillId="0" borderId="0" xfId="39" applyNumberFormat="1" applyFont="1" applyBorder="1" applyAlignment="1">
      <alignment vertical="center"/>
    </xf>
    <xf numFmtId="0" fontId="38" fillId="0" borderId="13" xfId="0" applyFont="1" applyBorder="1" applyAlignment="1">
      <alignment vertical="center"/>
    </xf>
    <xf numFmtId="165" fontId="38" fillId="0" borderId="14" xfId="0" applyNumberFormat="1" applyFont="1" applyBorder="1" applyAlignment="1">
      <alignment vertical="center"/>
    </xf>
    <xf numFmtId="165" fontId="38" fillId="0" borderId="15" xfId="0" applyNumberFormat="1" applyFont="1" applyBorder="1" applyAlignment="1">
      <alignment vertical="center"/>
    </xf>
    <xf numFmtId="165" fontId="23" fillId="30" borderId="0" xfId="0" applyNumberFormat="1" applyFont="1" applyFill="1" applyAlignment="1">
      <alignment vertical="center"/>
    </xf>
    <xf numFmtId="0" fontId="41" fillId="31" borderId="49" xfId="0" applyFont="1" applyFill="1" applyBorder="1" applyAlignment="1">
      <alignment horizontal="center" vertical="center"/>
    </xf>
    <xf numFmtId="0" fontId="41" fillId="31" borderId="52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7" borderId="24" xfId="0" applyFont="1" applyFill="1" applyBorder="1" applyAlignment="1">
      <alignment horizontal="center" vertical="center"/>
    </xf>
    <xf numFmtId="17" fontId="21" fillId="7" borderId="6" xfId="0" applyNumberFormat="1" applyFont="1" applyFill="1" applyBorder="1" applyAlignment="1">
      <alignment horizontal="center" vertical="center"/>
    </xf>
    <xf numFmtId="17" fontId="21" fillId="7" borderId="25" xfId="0" applyNumberFormat="1" applyFont="1" applyFill="1" applyBorder="1" applyAlignment="1">
      <alignment horizontal="center" vertical="center"/>
    </xf>
    <xf numFmtId="17" fontId="21" fillId="7" borderId="7" xfId="0" applyNumberFormat="1" applyFont="1" applyFill="1" applyBorder="1" applyAlignment="1">
      <alignment horizontal="center" vertical="center"/>
    </xf>
    <xf numFmtId="0" fontId="21" fillId="7" borderId="3" xfId="0" applyFont="1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36" fillId="0" borderId="0" xfId="0" applyFont="1" applyAlignment="1">
      <alignment vertical="center"/>
    </xf>
    <xf numFmtId="0" fontId="0" fillId="31" borderId="3" xfId="0" applyFill="1" applyBorder="1" applyAlignment="1">
      <alignment vertical="center"/>
    </xf>
    <xf numFmtId="0" fontId="0" fillId="31" borderId="2" xfId="0" applyFill="1" applyBorder="1" applyAlignment="1">
      <alignment vertical="center"/>
    </xf>
    <xf numFmtId="0" fontId="0" fillId="31" borderId="4" xfId="0" applyFill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0" xfId="0" applyFill="1" applyAlignment="1">
      <alignment vertical="center"/>
    </xf>
    <xf numFmtId="0" fontId="0" fillId="7" borderId="9" xfId="0" applyFill="1" applyBorder="1" applyAlignment="1">
      <alignment vertical="center"/>
    </xf>
    <xf numFmtId="0" fontId="36" fillId="6" borderId="8" xfId="0" applyFont="1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6" borderId="9" xfId="0" applyFill="1" applyBorder="1" applyAlignment="1">
      <alignment vertical="center"/>
    </xf>
    <xf numFmtId="0" fontId="36" fillId="31" borderId="8" xfId="0" applyFont="1" applyFill="1" applyBorder="1" applyAlignment="1">
      <alignment vertical="center"/>
    </xf>
    <xf numFmtId="0" fontId="0" fillId="31" borderId="0" xfId="0" applyFill="1" applyAlignment="1">
      <alignment vertical="center"/>
    </xf>
    <xf numFmtId="0" fontId="0" fillId="31" borderId="9" xfId="0" applyFill="1" applyBorder="1" applyAlignment="1">
      <alignment vertical="center"/>
    </xf>
    <xf numFmtId="165" fontId="0" fillId="0" borderId="0" xfId="0" applyNumberFormat="1" applyAlignment="1">
      <alignment vertical="center"/>
    </xf>
    <xf numFmtId="165" fontId="0" fillId="0" borderId="27" xfId="0" applyNumberFormat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0" fillId="31" borderId="8" xfId="0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0" fontId="9" fillId="6" borderId="14" xfId="0" applyFont="1" applyFill="1" applyBorder="1" applyAlignment="1">
      <alignment horizontal="center" vertical="center"/>
    </xf>
    <xf numFmtId="0" fontId="0" fillId="31" borderId="13" xfId="0" applyFill="1" applyBorder="1" applyAlignment="1">
      <alignment vertical="center"/>
    </xf>
    <xf numFmtId="0" fontId="9" fillId="31" borderId="14" xfId="0" applyFont="1" applyFill="1" applyBorder="1" applyAlignment="1">
      <alignment horizontal="center" vertical="center"/>
    </xf>
    <xf numFmtId="0" fontId="21" fillId="0" borderId="28" xfId="0" applyFon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165" fontId="21" fillId="0" borderId="14" xfId="0" applyNumberFormat="1" applyFont="1" applyBorder="1" applyAlignment="1">
      <alignment vertical="center"/>
    </xf>
    <xf numFmtId="166" fontId="0" fillId="6" borderId="0" xfId="39" applyNumberFormat="1" applyFont="1" applyFill="1" applyBorder="1" applyAlignment="1">
      <alignment vertical="center"/>
    </xf>
    <xf numFmtId="2" fontId="0" fillId="6" borderId="0" xfId="0" applyNumberFormat="1" applyFill="1" applyAlignment="1">
      <alignment vertical="center"/>
    </xf>
    <xf numFmtId="166" fontId="0" fillId="31" borderId="0" xfId="39" applyNumberFormat="1" applyFont="1" applyFill="1" applyBorder="1" applyAlignment="1">
      <alignment vertical="center"/>
    </xf>
    <xf numFmtId="165" fontId="0" fillId="31" borderId="0" xfId="0" applyNumberFormat="1" applyFill="1" applyAlignment="1">
      <alignment vertical="center"/>
    </xf>
    <xf numFmtId="166" fontId="0" fillId="31" borderId="0" xfId="39" applyNumberFormat="1" applyFont="1" applyFill="1" applyBorder="1" applyAlignment="1">
      <alignment horizontal="right" vertical="center"/>
    </xf>
    <xf numFmtId="166" fontId="0" fillId="31" borderId="2" xfId="39" applyNumberFormat="1" applyFont="1" applyFill="1" applyBorder="1" applyAlignment="1">
      <alignment vertical="center"/>
    </xf>
    <xf numFmtId="165" fontId="0" fillId="31" borderId="2" xfId="0" applyNumberFormat="1" applyFill="1" applyBorder="1" applyAlignment="1">
      <alignment vertical="center"/>
    </xf>
    <xf numFmtId="166" fontId="0" fillId="31" borderId="2" xfId="39" applyNumberFormat="1" applyFont="1" applyFill="1" applyBorder="1" applyAlignment="1">
      <alignment horizontal="right" vertical="center"/>
    </xf>
    <xf numFmtId="0" fontId="0" fillId="31" borderId="2" xfId="0" applyFill="1" applyBorder="1" applyAlignment="1">
      <alignment horizontal="center" vertical="center"/>
    </xf>
    <xf numFmtId="0" fontId="0" fillId="31" borderId="4" xfId="0" applyFill="1" applyBorder="1" applyAlignment="1">
      <alignment horizontal="center" vertical="center"/>
    </xf>
    <xf numFmtId="166" fontId="0" fillId="31" borderId="9" xfId="0" applyNumberFormat="1" applyFill="1" applyBorder="1" applyAlignment="1">
      <alignment vertical="center"/>
    </xf>
    <xf numFmtId="0" fontId="0" fillId="31" borderId="16" xfId="0" applyFill="1" applyBorder="1" applyAlignment="1">
      <alignment vertical="center"/>
    </xf>
    <xf numFmtId="166" fontId="0" fillId="31" borderId="1" xfId="39" applyNumberFormat="1" applyFont="1" applyFill="1" applyBorder="1" applyAlignment="1">
      <alignment vertical="center"/>
    </xf>
    <xf numFmtId="165" fontId="0" fillId="31" borderId="1" xfId="0" applyNumberFormat="1" applyFill="1" applyBorder="1" applyAlignment="1">
      <alignment vertical="center"/>
    </xf>
    <xf numFmtId="166" fontId="0" fillId="31" borderId="1" xfId="39" applyNumberFormat="1" applyFont="1" applyFill="1" applyBorder="1" applyAlignment="1">
      <alignment horizontal="right" vertical="center"/>
    </xf>
    <xf numFmtId="0" fontId="0" fillId="31" borderId="1" xfId="0" applyFill="1" applyBorder="1" applyAlignment="1">
      <alignment vertical="center"/>
    </xf>
    <xf numFmtId="0" fontId="0" fillId="31" borderId="17" xfId="0" applyFill="1" applyBorder="1" applyAlignment="1">
      <alignment vertical="center"/>
    </xf>
    <xf numFmtId="0" fontId="0" fillId="6" borderId="14" xfId="0" applyFill="1" applyBorder="1" applyAlignment="1">
      <alignment vertical="center"/>
    </xf>
    <xf numFmtId="0" fontId="9" fillId="0" borderId="14" xfId="0" applyFont="1" applyBorder="1" applyAlignment="1">
      <alignment vertical="center"/>
    </xf>
    <xf numFmtId="166" fontId="9" fillId="0" borderId="14" xfId="39" applyNumberFormat="1" applyFont="1" applyBorder="1" applyAlignment="1">
      <alignment vertical="center"/>
    </xf>
    <xf numFmtId="2" fontId="0" fillId="6" borderId="14" xfId="0" applyNumberFormat="1" applyFill="1" applyBorder="1" applyAlignment="1">
      <alignment vertical="center"/>
    </xf>
    <xf numFmtId="165" fontId="0" fillId="6" borderId="0" xfId="0" applyNumberFormat="1" applyFill="1" applyAlignment="1">
      <alignment vertical="center"/>
    </xf>
    <xf numFmtId="0" fontId="21" fillId="7" borderId="28" xfId="0" applyFont="1" applyFill="1" applyBorder="1" applyAlignment="1">
      <alignment vertical="center"/>
    </xf>
    <xf numFmtId="0" fontId="0" fillId="7" borderId="14" xfId="0" applyFill="1" applyBorder="1" applyAlignment="1">
      <alignment vertical="center"/>
    </xf>
    <xf numFmtId="165" fontId="0" fillId="7" borderId="14" xfId="0" applyNumberFormat="1" applyFill="1" applyBorder="1" applyAlignment="1">
      <alignment vertical="center"/>
    </xf>
    <xf numFmtId="165" fontId="21" fillId="7" borderId="14" xfId="0" applyNumberFormat="1" applyFont="1" applyFill="1" applyBorder="1" applyAlignment="1">
      <alignment vertical="center"/>
    </xf>
    <xf numFmtId="166" fontId="0" fillId="6" borderId="2" xfId="39" applyNumberFormat="1" applyFont="1" applyFill="1" applyBorder="1" applyAlignment="1">
      <alignment vertical="center"/>
    </xf>
    <xf numFmtId="165" fontId="0" fillId="6" borderId="2" xfId="0" applyNumberFormat="1" applyFill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165" fontId="0" fillId="6" borderId="0" xfId="39" applyNumberFormat="1" applyFont="1" applyFill="1" applyBorder="1" applyAlignment="1">
      <alignment vertical="center"/>
    </xf>
    <xf numFmtId="0" fontId="0" fillId="7" borderId="26" xfId="0" applyFill="1" applyBorder="1" applyAlignment="1">
      <alignment vertical="center"/>
    </xf>
    <xf numFmtId="0" fontId="0" fillId="7" borderId="27" xfId="0" applyFill="1" applyBorder="1" applyAlignment="1">
      <alignment vertical="center"/>
    </xf>
    <xf numFmtId="166" fontId="0" fillId="6" borderId="9" xfId="39" applyNumberFormat="1" applyFont="1" applyFill="1" applyBorder="1" applyAlignment="1">
      <alignment vertical="center"/>
    </xf>
    <xf numFmtId="166" fontId="0" fillId="0" borderId="0" xfId="39" applyNumberFormat="1" applyFont="1" applyBorder="1" applyAlignment="1">
      <alignment vertical="center"/>
    </xf>
    <xf numFmtId="165" fontId="0" fillId="0" borderId="8" xfId="0" applyNumberFormat="1" applyBorder="1" applyAlignment="1">
      <alignment vertical="center"/>
    </xf>
    <xf numFmtId="166" fontId="0" fillId="0" borderId="9" xfId="39" applyNumberFormat="1" applyFont="1" applyBorder="1" applyAlignment="1">
      <alignment vertical="center"/>
    </xf>
    <xf numFmtId="165" fontId="0" fillId="6" borderId="2" xfId="39" applyNumberFormat="1" applyFont="1" applyFill="1" applyBorder="1" applyAlignment="1">
      <alignment vertical="center"/>
    </xf>
    <xf numFmtId="0" fontId="40" fillId="31" borderId="13" xfId="0" applyFont="1" applyFill="1" applyBorder="1" applyAlignment="1">
      <alignment vertical="center"/>
    </xf>
    <xf numFmtId="166" fontId="40" fillId="31" borderId="14" xfId="39" applyNumberFormat="1" applyFont="1" applyFill="1" applyBorder="1" applyAlignment="1">
      <alignment vertical="center"/>
    </xf>
    <xf numFmtId="165" fontId="40" fillId="31" borderId="14" xfId="0" applyNumberFormat="1" applyFont="1" applyFill="1" applyBorder="1" applyAlignment="1">
      <alignment vertical="center"/>
    </xf>
    <xf numFmtId="166" fontId="40" fillId="31" borderId="14" xfId="39" applyNumberFormat="1" applyFont="1" applyFill="1" applyBorder="1" applyAlignment="1">
      <alignment horizontal="right" vertical="center"/>
    </xf>
    <xf numFmtId="0" fontId="0" fillId="7" borderId="29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0" fillId="7" borderId="30" xfId="0" applyFill="1" applyBorder="1" applyAlignment="1">
      <alignment vertical="center"/>
    </xf>
    <xf numFmtId="166" fontId="0" fillId="7" borderId="1" xfId="39" applyNumberFormat="1" applyFont="1" applyFill="1" applyBorder="1" applyAlignment="1">
      <alignment vertical="center"/>
    </xf>
    <xf numFmtId="166" fontId="0" fillId="7" borderId="30" xfId="39" applyNumberFormat="1" applyFont="1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166" fontId="0" fillId="6" borderId="1" xfId="39" applyNumberFormat="1" applyFont="1" applyFill="1" applyBorder="1" applyAlignment="1">
      <alignment vertical="center"/>
    </xf>
    <xf numFmtId="165" fontId="0" fillId="6" borderId="1" xfId="0" applyNumberForma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165" fontId="0" fillId="6" borderId="1" xfId="39" applyNumberFormat="1" applyFont="1" applyFill="1" applyBorder="1" applyAlignment="1">
      <alignment vertical="center"/>
    </xf>
    <xf numFmtId="0" fontId="0" fillId="7" borderId="16" xfId="0" applyFill="1" applyBorder="1" applyAlignment="1">
      <alignment vertical="center"/>
    </xf>
    <xf numFmtId="0" fontId="0" fillId="7" borderId="17" xfId="0" applyFill="1" applyBorder="1" applyAlignment="1">
      <alignment vertical="center"/>
    </xf>
    <xf numFmtId="165" fontId="0" fillId="6" borderId="14" xfId="0" applyNumberFormat="1" applyFill="1" applyBorder="1" applyAlignment="1">
      <alignment vertical="center"/>
    </xf>
    <xf numFmtId="0" fontId="41" fillId="0" borderId="0" xfId="0" applyFont="1" applyAlignment="1">
      <alignment vertical="center"/>
    </xf>
    <xf numFmtId="2" fontId="0" fillId="0" borderId="0" xfId="0" applyNumberFormat="1" applyAlignment="1">
      <alignment vertical="center"/>
    </xf>
    <xf numFmtId="2" fontId="0" fillId="0" borderId="27" xfId="0" applyNumberFormat="1" applyBorder="1" applyAlignment="1">
      <alignment vertical="center"/>
    </xf>
    <xf numFmtId="167" fontId="0" fillId="0" borderId="8" xfId="0" applyNumberFormat="1" applyBorder="1" applyAlignment="1">
      <alignment vertical="center"/>
    </xf>
    <xf numFmtId="0" fontId="41" fillId="31" borderId="28" xfId="0" applyFont="1" applyFill="1" applyBorder="1" applyAlignment="1">
      <alignment horizontal="center" vertical="center"/>
    </xf>
    <xf numFmtId="165" fontId="11" fillId="0" borderId="31" xfId="0" applyNumberFormat="1" applyFont="1" applyBorder="1" applyAlignment="1">
      <alignment vertical="center"/>
    </xf>
    <xf numFmtId="0" fontId="0" fillId="0" borderId="32" xfId="0" applyBorder="1" applyAlignment="1">
      <alignment vertical="center"/>
    </xf>
    <xf numFmtId="2" fontId="25" fillId="0" borderId="14" xfId="0" applyNumberFormat="1" applyFont="1" applyBorder="1" applyAlignment="1">
      <alignment vertical="center"/>
    </xf>
    <xf numFmtId="2" fontId="21" fillId="7" borderId="34" xfId="0" applyNumberFormat="1" applyFont="1" applyFill="1" applyBorder="1" applyAlignment="1">
      <alignment vertical="center"/>
    </xf>
    <xf numFmtId="166" fontId="0" fillId="7" borderId="0" xfId="39" applyNumberFormat="1" applyFont="1" applyFill="1" applyBorder="1" applyAlignment="1">
      <alignment vertical="center"/>
    </xf>
    <xf numFmtId="166" fontId="0" fillId="0" borderId="27" xfId="39" applyNumberFormat="1" applyFont="1" applyBorder="1" applyAlignment="1">
      <alignment vertical="center"/>
    </xf>
    <xf numFmtId="166" fontId="0" fillId="7" borderId="22" xfId="39" applyNumberFormat="1" applyFont="1" applyFill="1" applyBorder="1" applyAlignment="1">
      <alignment vertical="center"/>
    </xf>
    <xf numFmtId="166" fontId="0" fillId="7" borderId="36" xfId="39" applyNumberFormat="1" applyFont="1" applyFill="1" applyBorder="1" applyAlignment="1">
      <alignment vertical="center"/>
    </xf>
    <xf numFmtId="0" fontId="42" fillId="31" borderId="28" xfId="0" applyFont="1" applyFill="1" applyBorder="1" applyAlignment="1">
      <alignment horizontal="left" vertical="center"/>
    </xf>
    <xf numFmtId="167" fontId="0" fillId="0" borderId="0" xfId="0" applyNumberFormat="1" applyAlignment="1">
      <alignment vertical="center"/>
    </xf>
    <xf numFmtId="167" fontId="0" fillId="0" borderId="27" xfId="0" applyNumberFormat="1" applyBorder="1" applyAlignment="1">
      <alignment vertical="center"/>
    </xf>
    <xf numFmtId="0" fontId="41" fillId="31" borderId="28" xfId="0" applyFont="1" applyFill="1" applyBorder="1" applyAlignment="1">
      <alignment vertical="center"/>
    </xf>
    <xf numFmtId="0" fontId="41" fillId="31" borderId="24" xfId="0" applyFont="1" applyFill="1" applyBorder="1" applyAlignment="1">
      <alignment horizontal="center" vertical="center"/>
    </xf>
    <xf numFmtId="0" fontId="0" fillId="0" borderId="48" xfId="0" applyBorder="1" applyAlignment="1">
      <alignment vertical="center"/>
    </xf>
    <xf numFmtId="0" fontId="0" fillId="0" borderId="28" xfId="0" applyBorder="1" applyAlignment="1">
      <alignment vertical="center"/>
    </xf>
    <xf numFmtId="166" fontId="0" fillId="0" borderId="14" xfId="39" applyNumberFormat="1" applyFont="1" applyBorder="1" applyAlignment="1">
      <alignment vertical="center"/>
    </xf>
    <xf numFmtId="166" fontId="0" fillId="0" borderId="15" xfId="39" applyNumberFormat="1" applyFont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7" xfId="0" applyBorder="1" applyAlignment="1">
      <alignment vertical="center"/>
    </xf>
    <xf numFmtId="168" fontId="44" fillId="31" borderId="49" xfId="44" applyNumberFormat="1" applyFont="1" applyFill="1" applyBorder="1" applyAlignment="1">
      <alignment vertical="center"/>
    </xf>
    <xf numFmtId="168" fontId="44" fillId="31" borderId="52" xfId="44" applyNumberFormat="1" applyFont="1" applyFill="1" applyBorder="1" applyAlignment="1">
      <alignment vertical="center"/>
    </xf>
    <xf numFmtId="0" fontId="44" fillId="31" borderId="53" xfId="0" applyFont="1" applyFill="1" applyBorder="1" applyAlignment="1">
      <alignment vertical="center"/>
    </xf>
    <xf numFmtId="166" fontId="45" fillId="0" borderId="49" xfId="39" applyNumberFormat="1" applyFont="1" applyBorder="1" applyAlignment="1">
      <alignment vertical="center"/>
    </xf>
    <xf numFmtId="166" fontId="45" fillId="0" borderId="52" xfId="39" applyNumberFormat="1" applyFont="1" applyBorder="1" applyAlignment="1">
      <alignment vertical="center"/>
    </xf>
    <xf numFmtId="166" fontId="27" fillId="0" borderId="49" xfId="39" applyNumberFormat="1" applyFont="1" applyBorder="1" applyAlignment="1">
      <alignment vertical="center"/>
    </xf>
    <xf numFmtId="166" fontId="27" fillId="0" borderId="52" xfId="39" applyNumberFormat="1" applyFont="1" applyBorder="1" applyAlignment="1">
      <alignment vertical="center"/>
    </xf>
    <xf numFmtId="166" fontId="46" fillId="0" borderId="49" xfId="39" applyNumberFormat="1" applyFont="1" applyBorder="1" applyAlignment="1">
      <alignment vertical="center"/>
    </xf>
    <xf numFmtId="166" fontId="46" fillId="0" borderId="52" xfId="39" applyNumberFormat="1" applyFont="1" applyBorder="1" applyAlignment="1">
      <alignment vertical="center"/>
    </xf>
    <xf numFmtId="0" fontId="46" fillId="31" borderId="1" xfId="0" applyFont="1" applyFill="1" applyBorder="1" applyAlignment="1">
      <alignment vertical="center"/>
    </xf>
    <xf numFmtId="0" fontId="46" fillId="31" borderId="17" xfId="0" applyFont="1" applyFill="1" applyBorder="1" applyAlignment="1">
      <alignment vertical="center"/>
    </xf>
    <xf numFmtId="0" fontId="46" fillId="0" borderId="0" xfId="0" applyFont="1" applyAlignment="1">
      <alignment vertical="center"/>
    </xf>
    <xf numFmtId="166" fontId="0" fillId="7" borderId="48" xfId="39" applyNumberFormat="1" applyFont="1" applyFill="1" applyBorder="1" applyAlignment="1">
      <alignment vertical="center"/>
    </xf>
    <xf numFmtId="166" fontId="23" fillId="0" borderId="0" xfId="39" applyNumberFormat="1" applyFont="1" applyAlignment="1">
      <alignment vertical="center"/>
    </xf>
    <xf numFmtId="0" fontId="41" fillId="31" borderId="54" xfId="0" applyFont="1" applyFill="1" applyBorder="1" applyAlignment="1">
      <alignment horizontal="center" vertical="center"/>
    </xf>
    <xf numFmtId="166" fontId="46" fillId="0" borderId="54" xfId="39" applyNumberFormat="1" applyFont="1" applyBorder="1" applyAlignment="1">
      <alignment vertical="center"/>
    </xf>
    <xf numFmtId="166" fontId="27" fillId="0" borderId="54" xfId="39" applyNumberFormat="1" applyFont="1" applyBorder="1" applyAlignment="1">
      <alignment vertical="center"/>
    </xf>
    <xf numFmtId="168" fontId="44" fillId="31" borderId="54" xfId="44" applyNumberFormat="1" applyFont="1" applyFill="1" applyBorder="1" applyAlignment="1">
      <alignment vertical="center"/>
    </xf>
    <xf numFmtId="168" fontId="44" fillId="32" borderId="55" xfId="0" applyNumberFormat="1" applyFont="1" applyFill="1" applyBorder="1" applyAlignment="1">
      <alignment vertical="center"/>
    </xf>
    <xf numFmtId="166" fontId="45" fillId="0" borderId="54" xfId="39" applyNumberFormat="1" applyFont="1" applyBorder="1" applyAlignment="1">
      <alignment vertical="center"/>
    </xf>
    <xf numFmtId="0" fontId="31" fillId="0" borderId="26" xfId="0" applyFont="1" applyBorder="1" applyAlignment="1">
      <alignment vertical="center"/>
    </xf>
    <xf numFmtId="0" fontId="23" fillId="0" borderId="57" xfId="0" applyFont="1" applyBorder="1" applyAlignment="1">
      <alignment vertical="center"/>
    </xf>
    <xf numFmtId="0" fontId="31" fillId="0" borderId="37" xfId="0" applyFont="1" applyBorder="1" applyAlignment="1">
      <alignment vertical="center"/>
    </xf>
    <xf numFmtId="167" fontId="0" fillId="0" borderId="11" xfId="0" applyNumberFormat="1" applyBorder="1" applyAlignment="1">
      <alignment vertical="center"/>
    </xf>
    <xf numFmtId="167" fontId="0" fillId="0" borderId="38" xfId="0" applyNumberFormat="1" applyBorder="1" applyAlignment="1">
      <alignment vertical="center"/>
    </xf>
    <xf numFmtId="167" fontId="0" fillId="0" borderId="19" xfId="0" applyNumberFormat="1" applyBorder="1" applyAlignment="1">
      <alignment vertical="center"/>
    </xf>
    <xf numFmtId="0" fontId="49" fillId="0" borderId="28" xfId="0" applyFont="1" applyBorder="1" applyAlignment="1">
      <alignment vertical="center"/>
    </xf>
    <xf numFmtId="167" fontId="50" fillId="0" borderId="14" xfId="0" applyNumberFormat="1" applyFont="1" applyBorder="1" applyAlignment="1">
      <alignment vertical="center"/>
    </xf>
    <xf numFmtId="167" fontId="50" fillId="0" borderId="54" xfId="0" applyNumberFormat="1" applyFont="1" applyBorder="1" applyAlignment="1">
      <alignment vertical="center"/>
    </xf>
    <xf numFmtId="167" fontId="0" fillId="0" borderId="48" xfId="0" applyNumberFormat="1" applyBorder="1" applyAlignment="1">
      <alignment vertical="center"/>
    </xf>
    <xf numFmtId="0" fontId="49" fillId="0" borderId="26" xfId="0" applyFont="1" applyBorder="1" applyAlignment="1">
      <alignment vertical="center"/>
    </xf>
    <xf numFmtId="167" fontId="50" fillId="0" borderId="0" xfId="0" applyNumberFormat="1" applyFont="1" applyAlignment="1">
      <alignment vertical="center"/>
    </xf>
    <xf numFmtId="166" fontId="0" fillId="0" borderId="19" xfId="39" applyNumberFormat="1" applyFont="1" applyBorder="1" applyAlignment="1">
      <alignment vertical="center"/>
    </xf>
    <xf numFmtId="166" fontId="48" fillId="0" borderId="0" xfId="39" applyNumberFormat="1" applyFont="1" applyBorder="1" applyAlignment="1">
      <alignment vertical="center"/>
    </xf>
    <xf numFmtId="166" fontId="51" fillId="0" borderId="19" xfId="39" applyNumberFormat="1" applyFont="1" applyBorder="1" applyAlignment="1">
      <alignment vertical="center"/>
    </xf>
    <xf numFmtId="166" fontId="51" fillId="0" borderId="48" xfId="39" applyNumberFormat="1" applyFont="1" applyBorder="1" applyAlignment="1">
      <alignment vertical="center"/>
    </xf>
    <xf numFmtId="166" fontId="47" fillId="0" borderId="58" xfId="39" applyNumberFormat="1" applyFont="1" applyBorder="1" applyAlignment="1">
      <alignment vertical="center"/>
    </xf>
    <xf numFmtId="166" fontId="47" fillId="0" borderId="11" xfId="39" applyNumberFormat="1" applyFont="1" applyBorder="1" applyAlignment="1">
      <alignment vertical="center"/>
    </xf>
    <xf numFmtId="166" fontId="47" fillId="0" borderId="38" xfId="39" applyNumberFormat="1" applyFont="1" applyBorder="1" applyAlignment="1">
      <alignment vertical="center"/>
    </xf>
    <xf numFmtId="166" fontId="0" fillId="0" borderId="0" xfId="39" applyNumberFormat="1" applyFont="1" applyAlignment="1">
      <alignment vertical="center"/>
    </xf>
    <xf numFmtId="165" fontId="0" fillId="7" borderId="54" xfId="0" applyNumberFormat="1" applyFill="1" applyBorder="1" applyAlignment="1">
      <alignment vertical="center"/>
    </xf>
    <xf numFmtId="165" fontId="21" fillId="7" borderId="54" xfId="0" applyNumberFormat="1" applyFont="1" applyFill="1" applyBorder="1" applyAlignment="1">
      <alignment vertical="center"/>
    </xf>
    <xf numFmtId="0" fontId="0" fillId="0" borderId="54" xfId="0" applyBorder="1" applyAlignment="1">
      <alignment vertical="center"/>
    </xf>
    <xf numFmtId="166" fontId="0" fillId="0" borderId="54" xfId="39" applyNumberFormat="1" applyFont="1" applyBorder="1" applyAlignment="1">
      <alignment vertical="center"/>
    </xf>
    <xf numFmtId="167" fontId="40" fillId="7" borderId="14" xfId="0" applyNumberFormat="1" applyFont="1" applyFill="1" applyBorder="1" applyAlignment="1">
      <alignment vertical="center"/>
    </xf>
    <xf numFmtId="167" fontId="40" fillId="7" borderId="54" xfId="0" applyNumberFormat="1" applyFont="1" applyFill="1" applyBorder="1" applyAlignment="1">
      <alignment vertical="center"/>
    </xf>
    <xf numFmtId="0" fontId="0" fillId="0" borderId="60" xfId="0" applyBorder="1" applyAlignment="1">
      <alignment vertical="center"/>
    </xf>
    <xf numFmtId="166" fontId="0" fillId="0" borderId="60" xfId="39" applyNumberFormat="1" applyFont="1" applyBorder="1" applyAlignment="1">
      <alignment vertical="center"/>
    </xf>
    <xf numFmtId="166" fontId="21" fillId="7" borderId="61" xfId="39" applyNumberFormat="1" applyFont="1" applyFill="1" applyBorder="1" applyAlignment="1">
      <alignment vertical="center"/>
    </xf>
    <xf numFmtId="166" fontId="0" fillId="0" borderId="61" xfId="39" applyNumberFormat="1" applyFont="1" applyBorder="1" applyAlignment="1">
      <alignment vertical="center"/>
    </xf>
    <xf numFmtId="0" fontId="0" fillId="0" borderId="62" xfId="0" applyBorder="1" applyAlignment="1">
      <alignment vertical="center"/>
    </xf>
    <xf numFmtId="0" fontId="46" fillId="31" borderId="30" xfId="0" applyFont="1" applyFill="1" applyBorder="1" applyAlignment="1">
      <alignment vertical="center"/>
    </xf>
    <xf numFmtId="0" fontId="46" fillId="31" borderId="63" xfId="0" applyFont="1" applyFill="1" applyBorder="1" applyAlignment="1">
      <alignment vertical="center"/>
    </xf>
    <xf numFmtId="166" fontId="46" fillId="30" borderId="49" xfId="39" applyNumberFormat="1" applyFont="1" applyFill="1" applyBorder="1" applyAlignment="1">
      <alignment vertical="center"/>
    </xf>
    <xf numFmtId="166" fontId="46" fillId="30" borderId="52" xfId="39" applyNumberFormat="1" applyFont="1" applyFill="1" applyBorder="1" applyAlignment="1">
      <alignment vertical="center"/>
    </xf>
    <xf numFmtId="166" fontId="46" fillId="30" borderId="54" xfId="39" applyNumberFormat="1" applyFont="1" applyFill="1" applyBorder="1" applyAlignment="1">
      <alignment vertical="center"/>
    </xf>
    <xf numFmtId="166" fontId="46" fillId="33" borderId="49" xfId="39" applyNumberFormat="1" applyFont="1" applyFill="1" applyBorder="1" applyAlignment="1">
      <alignment vertical="center"/>
    </xf>
    <xf numFmtId="0" fontId="42" fillId="31" borderId="33" xfId="0" applyFont="1" applyFill="1" applyBorder="1" applyAlignment="1">
      <alignment horizontal="left" vertical="center"/>
    </xf>
    <xf numFmtId="166" fontId="44" fillId="31" borderId="53" xfId="39" applyNumberFormat="1" applyFont="1" applyFill="1" applyBorder="1" applyAlignment="1">
      <alignment vertical="center"/>
    </xf>
    <xf numFmtId="166" fontId="44" fillId="31" borderId="55" xfId="39" applyNumberFormat="1" applyFont="1" applyFill="1" applyBorder="1" applyAlignment="1">
      <alignment vertical="center"/>
    </xf>
    <xf numFmtId="166" fontId="44" fillId="31" borderId="56" xfId="39" applyNumberFormat="1" applyFont="1" applyFill="1" applyBorder="1" applyAlignment="1">
      <alignment vertical="center"/>
    </xf>
    <xf numFmtId="166" fontId="46" fillId="33" borderId="52" xfId="39" applyNumberFormat="1" applyFont="1" applyFill="1" applyBorder="1" applyAlignment="1">
      <alignment vertical="center"/>
    </xf>
    <xf numFmtId="166" fontId="21" fillId="7" borderId="15" xfId="39" applyNumberFormat="1" applyFont="1" applyFill="1" applyBorder="1" applyAlignment="1">
      <alignment vertical="center"/>
    </xf>
    <xf numFmtId="165" fontId="23" fillId="30" borderId="11" xfId="0" applyNumberFormat="1" applyFont="1" applyFill="1" applyBorder="1" applyAlignment="1">
      <alignment vertical="center"/>
    </xf>
    <xf numFmtId="0" fontId="34" fillId="34" borderId="2" xfId="0" applyFont="1" applyFill="1" applyBorder="1" applyAlignment="1">
      <alignment horizontal="center" vertical="center"/>
    </xf>
    <xf numFmtId="0" fontId="34" fillId="34" borderId="4" xfId="0" applyFont="1" applyFill="1" applyBorder="1" applyAlignment="1">
      <alignment horizontal="center" vertical="center"/>
    </xf>
    <xf numFmtId="0" fontId="40" fillId="34" borderId="3" xfId="0" applyFont="1" applyFill="1" applyBorder="1" applyAlignment="1">
      <alignment horizontal="left" vertical="center"/>
    </xf>
    <xf numFmtId="17" fontId="44" fillId="31" borderId="50" xfId="0" applyNumberFormat="1" applyFont="1" applyFill="1" applyBorder="1" applyAlignment="1">
      <alignment horizontal="center" vertical="center"/>
    </xf>
    <xf numFmtId="17" fontId="44" fillId="31" borderId="25" xfId="0" applyNumberFormat="1" applyFont="1" applyFill="1" applyBorder="1" applyAlignment="1">
      <alignment horizontal="center" vertical="center"/>
    </xf>
    <xf numFmtId="17" fontId="44" fillId="31" borderId="51" xfId="0" applyNumberFormat="1" applyFont="1" applyFill="1" applyBorder="1" applyAlignment="1">
      <alignment horizontal="center" vertical="center"/>
    </xf>
    <xf numFmtId="0" fontId="40" fillId="0" borderId="0" xfId="0" applyFont="1" applyAlignment="1">
      <alignment vertical="center"/>
    </xf>
    <xf numFmtId="165" fontId="0" fillId="0" borderId="54" xfId="0" applyNumberFormat="1" applyBorder="1" applyAlignment="1">
      <alignment vertical="center"/>
    </xf>
    <xf numFmtId="165" fontId="21" fillId="0" borderId="54" xfId="0" applyNumberFormat="1" applyFont="1" applyBorder="1" applyAlignment="1">
      <alignment vertical="center"/>
    </xf>
    <xf numFmtId="2" fontId="25" fillId="0" borderId="54" xfId="0" applyNumberFormat="1" applyFont="1" applyBorder="1" applyAlignment="1">
      <alignment vertical="center"/>
    </xf>
    <xf numFmtId="2" fontId="21" fillId="7" borderId="56" xfId="0" applyNumberFormat="1" applyFont="1" applyFill="1" applyBorder="1" applyAlignment="1">
      <alignment vertical="center"/>
    </xf>
    <xf numFmtId="166" fontId="51" fillId="0" borderId="27" xfId="39" applyNumberFormat="1" applyFont="1" applyBorder="1" applyAlignment="1">
      <alignment vertical="center"/>
    </xf>
    <xf numFmtId="166" fontId="51" fillId="0" borderId="0" xfId="39" applyNumberFormat="1" applyFont="1" applyBorder="1" applyAlignment="1">
      <alignment vertical="center"/>
    </xf>
    <xf numFmtId="0" fontId="52" fillId="0" borderId="26" xfId="0" applyFont="1" applyBorder="1" applyAlignment="1">
      <alignment vertical="center"/>
    </xf>
    <xf numFmtId="167" fontId="48" fillId="0" borderId="0" xfId="0" applyNumberFormat="1" applyFont="1" applyAlignment="1">
      <alignment vertical="center"/>
    </xf>
    <xf numFmtId="166" fontId="3" fillId="0" borderId="27" xfId="39" applyNumberFormat="1" applyFont="1" applyBorder="1" applyAlignment="1">
      <alignment vertical="center"/>
    </xf>
    <xf numFmtId="166" fontId="3" fillId="0" borderId="0" xfId="39" applyNumberFormat="1" applyFont="1" applyBorder="1" applyAlignment="1">
      <alignment vertical="center"/>
    </xf>
    <xf numFmtId="10" fontId="3" fillId="0" borderId="0" xfId="39" applyNumberFormat="1" applyFont="1" applyBorder="1" applyAlignment="1">
      <alignment vertical="center"/>
    </xf>
    <xf numFmtId="10" fontId="48" fillId="0" borderId="0" xfId="39" applyNumberFormat="1" applyFont="1" applyBorder="1" applyAlignment="1">
      <alignment vertical="center"/>
    </xf>
    <xf numFmtId="10" fontId="3" fillId="0" borderId="27" xfId="39" applyNumberFormat="1" applyFont="1" applyBorder="1" applyAlignment="1">
      <alignment vertical="center"/>
    </xf>
    <xf numFmtId="166" fontId="21" fillId="0" borderId="14" xfId="39" applyNumberFormat="1" applyFont="1" applyBorder="1" applyAlignment="1">
      <alignment vertical="center"/>
    </xf>
    <xf numFmtId="166" fontId="21" fillId="7" borderId="14" xfId="39" applyNumberFormat="1" applyFont="1" applyFill="1" applyBorder="1" applyAlignment="1">
      <alignment vertical="center"/>
    </xf>
    <xf numFmtId="167" fontId="0" fillId="0" borderId="64" xfId="0" applyNumberFormat="1" applyBorder="1" applyAlignment="1">
      <alignment vertical="center"/>
    </xf>
    <xf numFmtId="167" fontId="0" fillId="0" borderId="14" xfId="0" applyNumberFormat="1" applyBorder="1" applyAlignment="1">
      <alignment vertical="center"/>
    </xf>
    <xf numFmtId="166" fontId="23" fillId="0" borderId="0" xfId="0" applyNumberFormat="1" applyFont="1" applyAlignment="1">
      <alignment vertical="center"/>
    </xf>
    <xf numFmtId="166" fontId="23" fillId="0" borderId="2" xfId="0" applyNumberFormat="1" applyFont="1" applyBorder="1" applyAlignment="1">
      <alignment vertical="center"/>
    </xf>
    <xf numFmtId="0" fontId="0" fillId="7" borderId="57" xfId="0" applyFill="1" applyBorder="1" applyAlignment="1">
      <alignment vertical="center"/>
    </xf>
    <xf numFmtId="0" fontId="0" fillId="7" borderId="19" xfId="0" applyFill="1" applyBorder="1" applyAlignment="1">
      <alignment vertical="center"/>
    </xf>
    <xf numFmtId="0" fontId="0" fillId="7" borderId="48" xfId="0" applyFill="1" applyBorder="1" applyAlignment="1">
      <alignment vertical="center"/>
    </xf>
    <xf numFmtId="166" fontId="0" fillId="7" borderId="19" xfId="39" applyNumberFormat="1" applyFont="1" applyFill="1" applyBorder="1" applyAlignment="1">
      <alignment vertical="center"/>
    </xf>
    <xf numFmtId="0" fontId="53" fillId="0" borderId="14" xfId="0" applyFont="1" applyBorder="1" applyAlignment="1">
      <alignment vertical="center"/>
    </xf>
    <xf numFmtId="167" fontId="53" fillId="0" borderId="14" xfId="0" applyNumberFormat="1" applyFont="1" applyBorder="1" applyAlignment="1">
      <alignment vertical="center"/>
    </xf>
    <xf numFmtId="3" fontId="53" fillId="0" borderId="14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167" fontId="0" fillId="0" borderId="1" xfId="0" applyNumberFormat="1" applyBorder="1" applyAlignment="1">
      <alignment vertical="center"/>
    </xf>
    <xf numFmtId="0" fontId="53" fillId="0" borderId="28" xfId="0" applyFont="1" applyBorder="1" applyAlignment="1">
      <alignment vertical="center"/>
    </xf>
    <xf numFmtId="3" fontId="53" fillId="0" borderId="28" xfId="0" applyNumberFormat="1" applyFont="1" applyBorder="1" applyAlignment="1">
      <alignment vertical="center"/>
    </xf>
    <xf numFmtId="0" fontId="53" fillId="0" borderId="54" xfId="0" applyFont="1" applyBorder="1" applyAlignment="1">
      <alignment vertical="center"/>
    </xf>
    <xf numFmtId="3" fontId="53" fillId="0" borderId="54" xfId="0" applyNumberFormat="1" applyFont="1" applyBorder="1" applyAlignment="1">
      <alignment vertical="center"/>
    </xf>
    <xf numFmtId="167" fontId="53" fillId="0" borderId="54" xfId="0" applyNumberFormat="1" applyFont="1" applyBorder="1" applyAlignment="1">
      <alignment vertical="center"/>
    </xf>
    <xf numFmtId="3" fontId="0" fillId="0" borderId="27" xfId="39" applyNumberFormat="1" applyFont="1" applyBorder="1" applyAlignment="1">
      <alignment vertical="center"/>
    </xf>
    <xf numFmtId="167" fontId="0" fillId="0" borderId="30" xfId="0" applyNumberFormat="1" applyBorder="1" applyAlignment="1">
      <alignment vertical="center"/>
    </xf>
    <xf numFmtId="0" fontId="21" fillId="7" borderId="24" xfId="0" applyFont="1" applyFill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7" xfId="0" applyBorder="1" applyAlignment="1">
      <alignment horizontal="left" vertical="center"/>
    </xf>
    <xf numFmtId="165" fontId="0" fillId="0" borderId="0" xfId="0" applyNumberFormat="1" applyAlignment="1">
      <alignment horizontal="left" vertical="center"/>
    </xf>
    <xf numFmtId="165" fontId="0" fillId="0" borderId="27" xfId="0" applyNumberForma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165" fontId="0" fillId="0" borderId="14" xfId="0" applyNumberFormat="1" applyBorder="1" applyAlignment="1">
      <alignment horizontal="left" vertical="center"/>
    </xf>
    <xf numFmtId="165" fontId="0" fillId="0" borderId="54" xfId="0" applyNumberFormat="1" applyBorder="1" applyAlignment="1">
      <alignment horizontal="left" vertical="center"/>
    </xf>
    <xf numFmtId="165" fontId="21" fillId="0" borderId="14" xfId="0" applyNumberFormat="1" applyFont="1" applyBorder="1" applyAlignment="1">
      <alignment horizontal="left" vertical="center"/>
    </xf>
    <xf numFmtId="165" fontId="21" fillId="0" borderId="54" xfId="0" applyNumberFormat="1" applyFont="1" applyBorder="1" applyAlignment="1">
      <alignment horizontal="left" vertical="center"/>
    </xf>
    <xf numFmtId="0" fontId="21" fillId="7" borderId="28" xfId="0" applyFont="1" applyFill="1" applyBorder="1" applyAlignment="1">
      <alignment horizontal="left" vertical="center"/>
    </xf>
    <xf numFmtId="0" fontId="0" fillId="7" borderId="14" xfId="0" applyFill="1" applyBorder="1" applyAlignment="1">
      <alignment horizontal="left" vertical="center"/>
    </xf>
    <xf numFmtId="165" fontId="0" fillId="7" borderId="14" xfId="0" applyNumberFormat="1" applyFill="1" applyBorder="1" applyAlignment="1">
      <alignment horizontal="left" vertical="center"/>
    </xf>
    <xf numFmtId="165" fontId="0" fillId="7" borderId="54" xfId="0" applyNumberFormat="1" applyFill="1" applyBorder="1" applyAlignment="1">
      <alignment horizontal="left" vertical="center"/>
    </xf>
    <xf numFmtId="165" fontId="21" fillId="7" borderId="14" xfId="0" applyNumberFormat="1" applyFont="1" applyFill="1" applyBorder="1" applyAlignment="1">
      <alignment horizontal="left" vertical="center"/>
    </xf>
    <xf numFmtId="165" fontId="21" fillId="7" borderId="54" xfId="0" applyNumberFormat="1" applyFont="1" applyFill="1" applyBorder="1" applyAlignment="1">
      <alignment horizontal="left" vertical="center"/>
    </xf>
    <xf numFmtId="0" fontId="0" fillId="7" borderId="26" xfId="0" applyFill="1" applyBorder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0" fillId="7" borderId="27" xfId="0" applyFill="1" applyBorder="1" applyAlignment="1">
      <alignment horizontal="left" vertical="center"/>
    </xf>
    <xf numFmtId="166" fontId="0" fillId="7" borderId="0" xfId="39" applyNumberFormat="1" applyFont="1" applyFill="1" applyBorder="1" applyAlignment="1">
      <alignment horizontal="left" vertical="center"/>
    </xf>
    <xf numFmtId="166" fontId="0" fillId="7" borderId="48" xfId="39" applyNumberFormat="1" applyFont="1" applyFill="1" applyBorder="1" applyAlignment="1">
      <alignment horizontal="left" vertical="center"/>
    </xf>
    <xf numFmtId="0" fontId="0" fillId="7" borderId="29" xfId="0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/>
    </xf>
    <xf numFmtId="0" fontId="0" fillId="7" borderId="30" xfId="0" applyFill="1" applyBorder="1" applyAlignment="1">
      <alignment horizontal="left" vertical="center"/>
    </xf>
    <xf numFmtId="166" fontId="0" fillId="7" borderId="1" xfId="39" applyNumberFormat="1" applyFont="1" applyFill="1" applyBorder="1" applyAlignment="1">
      <alignment horizontal="left" vertical="center"/>
    </xf>
    <xf numFmtId="166" fontId="0" fillId="7" borderId="30" xfId="39" applyNumberFormat="1" applyFont="1" applyFill="1" applyBorder="1" applyAlignment="1">
      <alignment horizontal="left" vertical="center"/>
    </xf>
    <xf numFmtId="166" fontId="0" fillId="0" borderId="62" xfId="39" applyNumberFormat="1" applyFont="1" applyBorder="1" applyAlignment="1">
      <alignment vertical="center"/>
    </xf>
    <xf numFmtId="165" fontId="0" fillId="0" borderId="0" xfId="0" applyNumberFormat="1" applyAlignment="1">
      <alignment horizontal="right" vertical="center"/>
    </xf>
    <xf numFmtId="165" fontId="21" fillId="0" borderId="14" xfId="0" applyNumberFormat="1" applyFont="1" applyBorder="1" applyAlignment="1">
      <alignment horizontal="right" vertical="center"/>
    </xf>
    <xf numFmtId="165" fontId="21" fillId="7" borderId="14" xfId="0" applyNumberFormat="1" applyFont="1" applyFill="1" applyBorder="1" applyAlignment="1">
      <alignment horizontal="right" vertical="center"/>
    </xf>
    <xf numFmtId="165" fontId="0" fillId="0" borderId="27" xfId="0" applyNumberFormat="1" applyBorder="1" applyAlignment="1">
      <alignment horizontal="right" vertical="center"/>
    </xf>
    <xf numFmtId="4" fontId="21" fillId="7" borderId="32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17" fontId="21" fillId="7" borderId="59" xfId="0" applyNumberFormat="1" applyFont="1" applyFill="1" applyBorder="1" applyAlignment="1">
      <alignment horizontal="center" vertical="center" wrapText="1"/>
    </xf>
    <xf numFmtId="166" fontId="46" fillId="0" borderId="61" xfId="39" applyNumberFormat="1" applyFont="1" applyBorder="1" applyAlignment="1">
      <alignment vertical="center"/>
    </xf>
    <xf numFmtId="168" fontId="44" fillId="31" borderId="61" xfId="44" applyNumberFormat="1" applyFont="1" applyFill="1" applyBorder="1" applyAlignment="1">
      <alignment vertical="center"/>
    </xf>
    <xf numFmtId="0" fontId="41" fillId="31" borderId="65" xfId="0" applyFont="1" applyFill="1" applyBorder="1" applyAlignment="1">
      <alignment horizontal="center" vertical="center"/>
    </xf>
    <xf numFmtId="0" fontId="64" fillId="31" borderId="59" xfId="0" applyFont="1" applyFill="1" applyBorder="1" applyAlignment="1">
      <alignment horizontal="center" vertical="center"/>
    </xf>
    <xf numFmtId="0" fontId="46" fillId="31" borderId="62" xfId="0" applyFont="1" applyFill="1" applyBorder="1" applyAlignment="1">
      <alignment vertical="center"/>
    </xf>
    <xf numFmtId="17" fontId="44" fillId="31" borderId="66" xfId="0" applyNumberFormat="1" applyFont="1" applyFill="1" applyBorder="1" applyAlignment="1">
      <alignment horizontal="center" vertical="center"/>
    </xf>
    <xf numFmtId="166" fontId="45" fillId="0" borderId="64" xfId="39" applyNumberFormat="1" applyFont="1" applyBorder="1" applyAlignment="1">
      <alignment vertical="center"/>
    </xf>
    <xf numFmtId="166" fontId="44" fillId="31" borderId="67" xfId="39" applyNumberFormat="1" applyFont="1" applyFill="1" applyBorder="1" applyAlignment="1">
      <alignment vertical="center"/>
    </xf>
    <xf numFmtId="17" fontId="44" fillId="31" borderId="59" xfId="0" applyNumberFormat="1" applyFont="1" applyFill="1" applyBorder="1" applyAlignment="1">
      <alignment horizontal="center" vertical="center"/>
    </xf>
    <xf numFmtId="166" fontId="45" fillId="0" borderId="61" xfId="39" applyNumberFormat="1" applyFont="1" applyBorder="1" applyAlignment="1">
      <alignment vertical="center"/>
    </xf>
    <xf numFmtId="166" fontId="44" fillId="31" borderId="68" xfId="39" applyNumberFormat="1" applyFont="1" applyFill="1" applyBorder="1" applyAlignment="1">
      <alignment vertical="center"/>
    </xf>
    <xf numFmtId="0" fontId="0" fillId="35" borderId="3" xfId="0" applyFill="1" applyBorder="1" applyAlignment="1">
      <alignment vertical="center"/>
    </xf>
    <xf numFmtId="0" fontId="0" fillId="35" borderId="2" xfId="0" applyFill="1" applyBorder="1" applyAlignment="1">
      <alignment vertical="center"/>
    </xf>
    <xf numFmtId="0" fontId="0" fillId="35" borderId="4" xfId="0" applyFill="1" applyBorder="1" applyAlignment="1">
      <alignment vertical="center"/>
    </xf>
    <xf numFmtId="0" fontId="40" fillId="35" borderId="8" xfId="0" applyFont="1" applyFill="1" applyBorder="1" applyAlignment="1">
      <alignment vertical="center"/>
    </xf>
    <xf numFmtId="0" fontId="0" fillId="35" borderId="0" xfId="0" applyFill="1" applyAlignment="1">
      <alignment vertical="center"/>
    </xf>
    <xf numFmtId="0" fontId="0" fillId="35" borderId="9" xfId="0" applyFill="1" applyBorder="1" applyAlignment="1">
      <alignment vertical="center"/>
    </xf>
    <xf numFmtId="0" fontId="0" fillId="35" borderId="8" xfId="0" applyFill="1" applyBorder="1" applyAlignment="1">
      <alignment vertical="center"/>
    </xf>
    <xf numFmtId="0" fontId="65" fillId="35" borderId="13" xfId="0" applyFont="1" applyFill="1" applyBorder="1" applyAlignment="1">
      <alignment vertical="center"/>
    </xf>
    <xf numFmtId="0" fontId="65" fillId="35" borderId="14" xfId="0" applyFont="1" applyFill="1" applyBorder="1" applyAlignment="1">
      <alignment vertical="center"/>
    </xf>
    <xf numFmtId="0" fontId="65" fillId="35" borderId="15" xfId="0" applyFont="1" applyFill="1" applyBorder="1" applyAlignment="1">
      <alignment vertical="center"/>
    </xf>
    <xf numFmtId="166" fontId="0" fillId="35" borderId="0" xfId="39" applyNumberFormat="1" applyFont="1" applyFill="1" applyBorder="1" applyAlignment="1">
      <alignment vertical="center"/>
    </xf>
    <xf numFmtId="166" fontId="0" fillId="35" borderId="9" xfId="39" applyNumberFormat="1" applyFont="1" applyFill="1" applyBorder="1" applyAlignment="1">
      <alignment vertical="center"/>
    </xf>
    <xf numFmtId="0" fontId="0" fillId="35" borderId="8" xfId="0" applyFill="1" applyBorder="1" applyAlignment="1">
      <alignment horizontal="left" vertical="center"/>
    </xf>
    <xf numFmtId="0" fontId="0" fillId="35" borderId="16" xfId="0" applyFill="1" applyBorder="1" applyAlignment="1">
      <alignment vertical="center"/>
    </xf>
    <xf numFmtId="0" fontId="0" fillId="35" borderId="1" xfId="0" applyFill="1" applyBorder="1" applyAlignment="1">
      <alignment vertical="center"/>
    </xf>
    <xf numFmtId="0" fontId="0" fillId="35" borderId="17" xfId="0" applyFill="1" applyBorder="1" applyAlignment="1">
      <alignment vertical="center"/>
    </xf>
    <xf numFmtId="0" fontId="42" fillId="31" borderId="57" xfId="0" applyFont="1" applyFill="1" applyBorder="1" applyAlignment="1">
      <alignment horizontal="left" vertical="center"/>
    </xf>
    <xf numFmtId="0" fontId="0" fillId="31" borderId="69" xfId="0" applyFill="1" applyBorder="1" applyAlignment="1">
      <alignment vertical="center"/>
    </xf>
    <xf numFmtId="0" fontId="0" fillId="31" borderId="26" xfId="0" applyFill="1" applyBorder="1" applyAlignment="1">
      <alignment vertical="center"/>
    </xf>
    <xf numFmtId="0" fontId="18" fillId="35" borderId="58" xfId="0" applyFont="1" applyFill="1" applyBorder="1" applyAlignment="1">
      <alignment horizontal="center" vertical="center"/>
    </xf>
    <xf numFmtId="0" fontId="18" fillId="35" borderId="11" xfId="0" applyFont="1" applyFill="1" applyBorder="1" applyAlignment="1">
      <alignment horizontal="center" vertical="center"/>
    </xf>
    <xf numFmtId="0" fontId="18" fillId="35" borderId="38" xfId="0" applyFont="1" applyFill="1" applyBorder="1" applyAlignment="1">
      <alignment horizontal="center" vertical="center"/>
    </xf>
    <xf numFmtId="0" fontId="18" fillId="35" borderId="12" xfId="0" applyFont="1" applyFill="1" applyBorder="1" applyAlignment="1">
      <alignment horizontal="center" vertical="center"/>
    </xf>
    <xf numFmtId="0" fontId="41" fillId="31" borderId="33" xfId="0" applyFont="1" applyFill="1" applyBorder="1" applyAlignment="1">
      <alignment vertical="center"/>
    </xf>
    <xf numFmtId="165" fontId="18" fillId="35" borderId="34" xfId="0" applyNumberFormat="1" applyFont="1" applyFill="1" applyBorder="1" applyAlignment="1">
      <alignment vertical="center"/>
    </xf>
    <xf numFmtId="166" fontId="18" fillId="35" borderId="56" xfId="39" applyNumberFormat="1" applyFont="1" applyFill="1" applyBorder="1" applyAlignment="1">
      <alignment vertical="center"/>
    </xf>
    <xf numFmtId="166" fontId="18" fillId="35" borderId="32" xfId="39" applyNumberFormat="1" applyFont="1" applyFill="1" applyBorder="1" applyAlignment="1">
      <alignment vertical="center"/>
    </xf>
    <xf numFmtId="165" fontId="18" fillId="35" borderId="67" xfId="0" applyNumberFormat="1" applyFont="1" applyFill="1" applyBorder="1" applyAlignment="1">
      <alignment vertical="center"/>
    </xf>
    <xf numFmtId="165" fontId="0" fillId="0" borderId="70" xfId="0" applyNumberFormat="1" applyBorder="1" applyAlignment="1">
      <alignment vertical="center"/>
    </xf>
    <xf numFmtId="165" fontId="63" fillId="0" borderId="0" xfId="0" applyNumberFormat="1" applyFont="1" applyAlignment="1">
      <alignment vertical="center"/>
    </xf>
    <xf numFmtId="166" fontId="63" fillId="0" borderId="18" xfId="39" applyNumberFormat="1" applyFont="1" applyBorder="1" applyAlignment="1">
      <alignment vertical="center"/>
    </xf>
    <xf numFmtId="166" fontId="63" fillId="0" borderId="48" xfId="39" applyNumberFormat="1" applyFont="1" applyBorder="1" applyAlignment="1">
      <alignment vertical="center"/>
    </xf>
    <xf numFmtId="166" fontId="63" fillId="0" borderId="8" xfId="39" applyNumberFormat="1" applyFont="1" applyBorder="1" applyAlignment="1">
      <alignment vertical="center"/>
    </xf>
    <xf numFmtId="166" fontId="63" fillId="0" borderId="27" xfId="39" applyNumberFormat="1" applyFont="1" applyBorder="1" applyAlignment="1">
      <alignment vertical="center"/>
    </xf>
    <xf numFmtId="166" fontId="63" fillId="0" borderId="10" xfId="39" applyNumberFormat="1" applyFont="1" applyBorder="1" applyAlignment="1">
      <alignment vertical="center"/>
    </xf>
    <xf numFmtId="166" fontId="63" fillId="0" borderId="38" xfId="39" applyNumberFormat="1" applyFont="1" applyBorder="1" applyAlignment="1">
      <alignment vertical="center"/>
    </xf>
    <xf numFmtId="166" fontId="63" fillId="0" borderId="66" xfId="39" applyNumberFormat="1" applyFont="1" applyBorder="1" applyAlignment="1">
      <alignment vertical="center"/>
    </xf>
    <xf numFmtId="166" fontId="63" fillId="0" borderId="6" xfId="39" applyNumberFormat="1" applyFont="1" applyBorder="1" applyAlignment="1">
      <alignment vertical="center"/>
    </xf>
    <xf numFmtId="166" fontId="63" fillId="0" borderId="25" xfId="39" applyNumberFormat="1" applyFont="1" applyBorder="1" applyAlignment="1">
      <alignment vertical="center"/>
    </xf>
    <xf numFmtId="0" fontId="66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166" fontId="0" fillId="6" borderId="14" xfId="0" applyNumberFormat="1" applyFill="1" applyBorder="1" applyAlignment="1">
      <alignment vertical="center"/>
    </xf>
    <xf numFmtId="4" fontId="25" fillId="0" borderId="14" xfId="0" applyNumberFormat="1" applyFont="1" applyBorder="1" applyAlignment="1">
      <alignment vertical="center"/>
    </xf>
    <xf numFmtId="4" fontId="25" fillId="0" borderId="54" xfId="0" applyNumberFormat="1" applyFont="1" applyBorder="1" applyAlignment="1">
      <alignment vertical="center"/>
    </xf>
    <xf numFmtId="4" fontId="21" fillId="7" borderId="34" xfId="0" applyNumberFormat="1" applyFont="1" applyFill="1" applyBorder="1" applyAlignment="1">
      <alignment vertical="center"/>
    </xf>
    <xf numFmtId="0" fontId="25" fillId="7" borderId="57" xfId="0" applyFont="1" applyFill="1" applyBorder="1" applyAlignment="1">
      <alignment vertical="center"/>
    </xf>
    <xf numFmtId="0" fontId="25" fillId="7" borderId="19" xfId="0" applyFont="1" applyFill="1" applyBorder="1" applyAlignment="1">
      <alignment vertical="center"/>
    </xf>
    <xf numFmtId="167" fontId="25" fillId="7" borderId="19" xfId="0" applyNumberFormat="1" applyFont="1" applyFill="1" applyBorder="1" applyAlignment="1">
      <alignment vertical="center"/>
    </xf>
    <xf numFmtId="167" fontId="25" fillId="7" borderId="48" xfId="0" applyNumberFormat="1" applyFont="1" applyFill="1" applyBorder="1" applyAlignment="1">
      <alignment vertical="center"/>
    </xf>
    <xf numFmtId="4" fontId="0" fillId="0" borderId="27" xfId="0" applyNumberFormat="1" applyBorder="1" applyAlignment="1">
      <alignment vertical="center"/>
    </xf>
    <xf numFmtId="166" fontId="25" fillId="0" borderId="14" xfId="39" applyNumberFormat="1" applyFont="1" applyBorder="1" applyAlignment="1">
      <alignment vertical="center"/>
    </xf>
    <xf numFmtId="166" fontId="25" fillId="0" borderId="54" xfId="39" applyNumberFormat="1" applyFont="1" applyBorder="1" applyAlignment="1">
      <alignment vertical="center"/>
    </xf>
    <xf numFmtId="166" fontId="21" fillId="7" borderId="34" xfId="39" applyNumberFormat="1" applyFont="1" applyFill="1" applyBorder="1" applyAlignment="1">
      <alignment vertical="center"/>
    </xf>
    <xf numFmtId="166" fontId="21" fillId="7" borderId="56" xfId="39" applyNumberFormat="1" applyFont="1" applyFill="1" applyBorder="1" applyAlignment="1">
      <alignment vertical="center"/>
    </xf>
    <xf numFmtId="0" fontId="0" fillId="7" borderId="37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7" borderId="38" xfId="0" applyFill="1" applyBorder="1" applyAlignment="1">
      <alignment vertical="center"/>
    </xf>
    <xf numFmtId="166" fontId="0" fillId="7" borderId="11" xfId="39" applyNumberFormat="1" applyFont="1" applyFill="1" applyBorder="1" applyAlignment="1">
      <alignment vertical="center"/>
    </xf>
    <xf numFmtId="166" fontId="0" fillId="7" borderId="38" xfId="39" applyNumberFormat="1" applyFont="1" applyFill="1" applyBorder="1" applyAlignment="1">
      <alignment vertical="center"/>
    </xf>
    <xf numFmtId="165" fontId="23" fillId="5" borderId="15" xfId="0" applyNumberFormat="1" applyFont="1" applyFill="1" applyBorder="1" applyAlignment="1">
      <alignment vertical="center"/>
    </xf>
    <xf numFmtId="0" fontId="67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166" fontId="0" fillId="0" borderId="0" xfId="0" applyNumberFormat="1" applyAlignment="1">
      <alignment vertical="center"/>
    </xf>
    <xf numFmtId="0" fontId="33" fillId="2" borderId="3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9" xfId="0" applyFill="1" applyBorder="1" applyAlignment="1">
      <alignment vertical="center"/>
    </xf>
    <xf numFmtId="9" fontId="0" fillId="0" borderId="0" xfId="39" applyFont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35" fillId="0" borderId="16" xfId="0" applyFont="1" applyBorder="1" applyAlignment="1">
      <alignment vertical="center"/>
    </xf>
    <xf numFmtId="0" fontId="0" fillId="34" borderId="8" xfId="0" applyFill="1" applyBorder="1" applyAlignment="1">
      <alignment vertical="center"/>
    </xf>
    <xf numFmtId="0" fontId="0" fillId="34" borderId="0" xfId="0" applyFill="1" applyAlignment="1">
      <alignment vertical="center"/>
    </xf>
    <xf numFmtId="0" fontId="0" fillId="34" borderId="9" xfId="0" applyFill="1" applyBorder="1" applyAlignment="1">
      <alignment vertical="center"/>
    </xf>
    <xf numFmtId="0" fontId="0" fillId="34" borderId="16" xfId="0" applyFill="1" applyBorder="1" applyAlignment="1">
      <alignment vertical="center"/>
    </xf>
    <xf numFmtId="0" fontId="0" fillId="34" borderId="1" xfId="0" applyFill="1" applyBorder="1" applyAlignment="1">
      <alignment vertical="center"/>
    </xf>
    <xf numFmtId="0" fontId="0" fillId="34" borderId="17" xfId="0" applyFill="1" applyBorder="1" applyAlignment="1">
      <alignment vertical="center"/>
    </xf>
    <xf numFmtId="14" fontId="69" fillId="0" borderId="0" xfId="0" applyNumberFormat="1" applyFont="1" applyAlignment="1">
      <alignment vertical="center"/>
    </xf>
    <xf numFmtId="0" fontId="54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166" fontId="0" fillId="0" borderId="2" xfId="39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55" fillId="0" borderId="8" xfId="0" applyFont="1" applyBorder="1" applyAlignment="1">
      <alignment vertical="center"/>
    </xf>
    <xf numFmtId="0" fontId="57" fillId="3" borderId="18" xfId="0" applyFont="1" applyFill="1" applyBorder="1" applyAlignment="1">
      <alignment vertical="center"/>
    </xf>
    <xf numFmtId="0" fontId="57" fillId="3" borderId="19" xfId="0" applyFont="1" applyFill="1" applyBorder="1" applyAlignment="1">
      <alignment vertical="center"/>
    </xf>
    <xf numFmtId="166" fontId="57" fillId="3" borderId="19" xfId="39" applyNumberFormat="1" applyFont="1" applyFill="1" applyBorder="1" applyAlignment="1">
      <alignment vertical="center"/>
    </xf>
    <xf numFmtId="0" fontId="57" fillId="3" borderId="48" xfId="0" applyFont="1" applyFill="1" applyBorder="1" applyAlignment="1">
      <alignment vertical="center"/>
    </xf>
    <xf numFmtId="0" fontId="57" fillId="3" borderId="20" xfId="0" applyFont="1" applyFill="1" applyBorder="1" applyAlignment="1">
      <alignment vertical="center"/>
    </xf>
    <xf numFmtId="0" fontId="57" fillId="3" borderId="10" xfId="0" applyFont="1" applyFill="1" applyBorder="1" applyAlignment="1">
      <alignment vertical="center"/>
    </xf>
    <xf numFmtId="0" fontId="57" fillId="3" borderId="11" xfId="0" applyFont="1" applyFill="1" applyBorder="1" applyAlignment="1">
      <alignment vertical="center"/>
    </xf>
    <xf numFmtId="166" fontId="57" fillId="3" borderId="11" xfId="39" applyNumberFormat="1" applyFont="1" applyFill="1" applyBorder="1" applyAlignment="1">
      <alignment vertical="center"/>
    </xf>
    <xf numFmtId="0" fontId="57" fillId="3" borderId="38" xfId="0" applyFont="1" applyFill="1" applyBorder="1" applyAlignment="1">
      <alignment vertical="center"/>
    </xf>
    <xf numFmtId="0" fontId="57" fillId="3" borderId="12" xfId="0" applyFont="1" applyFill="1" applyBorder="1" applyAlignment="1">
      <alignment vertical="center"/>
    </xf>
    <xf numFmtId="166" fontId="0" fillId="0" borderId="8" xfId="39" applyNumberFormat="1" applyFont="1" applyBorder="1" applyAlignment="1">
      <alignment vertical="center"/>
    </xf>
    <xf numFmtId="167" fontId="0" fillId="0" borderId="9" xfId="0" applyNumberFormat="1" applyBorder="1" applyAlignment="1">
      <alignment vertical="center"/>
    </xf>
    <xf numFmtId="166" fontId="57" fillId="3" borderId="13" xfId="39" applyNumberFormat="1" applyFont="1" applyFill="1" applyBorder="1" applyAlignment="1">
      <alignment vertical="center"/>
    </xf>
    <xf numFmtId="167" fontId="57" fillId="3" borderId="14" xfId="0" applyNumberFormat="1" applyFont="1" applyFill="1" applyBorder="1" applyAlignment="1">
      <alignment vertical="center"/>
    </xf>
    <xf numFmtId="167" fontId="57" fillId="3" borderId="54" xfId="0" applyNumberFormat="1" applyFont="1" applyFill="1" applyBorder="1" applyAlignment="1">
      <alignment vertical="center"/>
    </xf>
    <xf numFmtId="167" fontId="57" fillId="3" borderId="15" xfId="0" applyNumberFormat="1" applyFont="1" applyFill="1" applyBorder="1" applyAlignment="1">
      <alignment vertical="center"/>
    </xf>
    <xf numFmtId="166" fontId="58" fillId="0" borderId="0" xfId="39" applyNumberFormat="1" applyFont="1" applyBorder="1" applyAlignment="1">
      <alignment vertical="center"/>
    </xf>
    <xf numFmtId="166" fontId="58" fillId="0" borderId="9" xfId="39" applyNumberFormat="1" applyFont="1" applyBorder="1" applyAlignment="1">
      <alignment vertical="center"/>
    </xf>
    <xf numFmtId="0" fontId="0" fillId="0" borderId="16" xfId="0" applyBorder="1" applyAlignment="1">
      <alignment vertical="center"/>
    </xf>
    <xf numFmtId="166" fontId="0" fillId="0" borderId="1" xfId="0" applyNumberFormat="1" applyBorder="1" applyAlignment="1">
      <alignment vertical="center"/>
    </xf>
    <xf numFmtId="166" fontId="0" fillId="0" borderId="30" xfId="0" applyNumberFormat="1" applyBorder="1" applyAlignment="1">
      <alignment vertical="center"/>
    </xf>
    <xf numFmtId="166" fontId="0" fillId="0" borderId="17" xfId="0" applyNumberFormat="1" applyBorder="1" applyAlignment="1">
      <alignment vertical="center"/>
    </xf>
    <xf numFmtId="0" fontId="58" fillId="0" borderId="3" xfId="0" applyFont="1" applyBorder="1" applyAlignment="1">
      <alignment vertical="center"/>
    </xf>
    <xf numFmtId="0" fontId="58" fillId="0" borderId="2" xfId="0" applyFont="1" applyBorder="1" applyAlignment="1">
      <alignment vertical="center"/>
    </xf>
    <xf numFmtId="0" fontId="58" fillId="0" borderId="2" xfId="0" applyFont="1" applyBorder="1" applyAlignment="1">
      <alignment horizontal="center" vertical="center"/>
    </xf>
    <xf numFmtId="0" fontId="58" fillId="0" borderId="2" xfId="0" applyFont="1" applyBorder="1" applyAlignment="1">
      <alignment horizontal="right" vertical="center"/>
    </xf>
    <xf numFmtId="0" fontId="59" fillId="0" borderId="8" xfId="0" applyFont="1" applyBorder="1" applyAlignment="1">
      <alignment vertical="center"/>
    </xf>
    <xf numFmtId="0" fontId="58" fillId="0" borderId="0" xfId="0" applyFont="1" applyAlignment="1">
      <alignment vertical="center"/>
    </xf>
    <xf numFmtId="0" fontId="58" fillId="0" borderId="0" xfId="0" applyFont="1" applyAlignment="1">
      <alignment horizontal="center" vertical="center"/>
    </xf>
    <xf numFmtId="0" fontId="58" fillId="0" borderId="0" xfId="0" applyFont="1" applyAlignment="1">
      <alignment horizontal="right" vertical="center"/>
    </xf>
    <xf numFmtId="0" fontId="58" fillId="0" borderId="8" xfId="0" applyFont="1" applyBorder="1" applyAlignment="1">
      <alignment vertical="center"/>
    </xf>
    <xf numFmtId="0" fontId="0" fillId="0" borderId="11" xfId="0" applyBorder="1" applyAlignment="1">
      <alignment vertical="center"/>
    </xf>
    <xf numFmtId="165" fontId="0" fillId="0" borderId="9" xfId="0" applyNumberFormat="1" applyBorder="1" applyAlignment="1">
      <alignment vertical="center"/>
    </xf>
    <xf numFmtId="0" fontId="60" fillId="3" borderId="13" xfId="0" applyFont="1" applyFill="1" applyBorder="1" applyAlignment="1">
      <alignment vertical="center"/>
    </xf>
    <xf numFmtId="165" fontId="57" fillId="3" borderId="54" xfId="0" applyNumberFormat="1" applyFont="1" applyFill="1" applyBorder="1" applyAlignment="1">
      <alignment vertical="center"/>
    </xf>
    <xf numFmtId="165" fontId="57" fillId="3" borderId="14" xfId="0" applyNumberFormat="1" applyFont="1" applyFill="1" applyBorder="1" applyAlignment="1">
      <alignment vertical="center"/>
    </xf>
    <xf numFmtId="165" fontId="57" fillId="3" borderId="15" xfId="0" applyNumberFormat="1" applyFont="1" applyFill="1" applyBorder="1" applyAlignment="1">
      <alignment vertical="center"/>
    </xf>
    <xf numFmtId="166" fontId="58" fillId="0" borderId="27" xfId="0" applyNumberFormat="1" applyFont="1" applyBorder="1" applyAlignment="1">
      <alignment vertical="center"/>
    </xf>
    <xf numFmtId="166" fontId="54" fillId="0" borderId="0" xfId="39" applyNumberFormat="1" applyFont="1" applyBorder="1" applyAlignment="1">
      <alignment vertical="center"/>
    </xf>
    <xf numFmtId="166" fontId="58" fillId="0" borderId="0" xfId="39" applyNumberFormat="1" applyFont="1" applyBorder="1" applyAlignment="1">
      <alignment horizontal="right" vertical="center"/>
    </xf>
    <xf numFmtId="166" fontId="0" fillId="0" borderId="27" xfId="0" applyNumberFormat="1" applyBorder="1" applyAlignment="1">
      <alignment vertical="center"/>
    </xf>
    <xf numFmtId="165" fontId="23" fillId="0" borderId="1" xfId="39" applyNumberFormat="1" applyFont="1" applyBorder="1" applyAlignment="1">
      <alignment vertical="center"/>
    </xf>
    <xf numFmtId="4" fontId="70" fillId="0" borderId="1" xfId="0" applyNumberFormat="1" applyFont="1" applyBorder="1" applyAlignment="1">
      <alignment vertical="center"/>
    </xf>
    <xf numFmtId="4" fontId="0" fillId="0" borderId="11" xfId="0" applyNumberFormat="1" applyBorder="1" applyAlignment="1">
      <alignment vertical="center"/>
    </xf>
    <xf numFmtId="166" fontId="70" fillId="0" borderId="17" xfId="39" applyNumberFormat="1" applyFont="1" applyBorder="1" applyAlignment="1">
      <alignment vertical="center"/>
    </xf>
    <xf numFmtId="0" fontId="18" fillId="35" borderId="2" xfId="0" applyFont="1" applyFill="1" applyBorder="1" applyAlignment="1">
      <alignment horizontal="center" vertical="center" wrapText="1"/>
    </xf>
    <xf numFmtId="0" fontId="18" fillId="35" borderId="4" xfId="0" applyFont="1" applyFill="1" applyBorder="1" applyAlignment="1">
      <alignment horizontal="center" vertical="center" wrapText="1"/>
    </xf>
    <xf numFmtId="0" fontId="18" fillId="35" borderId="71" xfId="0" applyFont="1" applyFill="1" applyBorder="1" applyAlignment="1">
      <alignment horizontal="center" vertical="center" wrapText="1"/>
    </xf>
    <xf numFmtId="4" fontId="0" fillId="0" borderId="38" xfId="0" applyNumberFormat="1" applyBorder="1" applyAlignment="1">
      <alignment vertical="center"/>
    </xf>
    <xf numFmtId="4" fontId="70" fillId="0" borderId="30" xfId="0" applyNumberFormat="1" applyFont="1" applyBorder="1" applyAlignment="1">
      <alignment vertical="center"/>
    </xf>
    <xf numFmtId="0" fontId="18" fillId="35" borderId="69" xfId="0" applyFont="1" applyFill="1" applyBorder="1" applyAlignment="1">
      <alignment horizontal="center" vertical="center" wrapText="1"/>
    </xf>
    <xf numFmtId="0" fontId="0" fillId="35" borderId="26" xfId="0" applyFill="1" applyBorder="1" applyAlignment="1">
      <alignment vertical="center"/>
    </xf>
    <xf numFmtId="0" fontId="0" fillId="35" borderId="26" xfId="0" applyFill="1" applyBorder="1" applyAlignment="1">
      <alignment horizontal="left" vertical="center"/>
    </xf>
    <xf numFmtId="0" fontId="0" fillId="35" borderId="37" xfId="0" applyFill="1" applyBorder="1" applyAlignment="1">
      <alignment vertical="center"/>
    </xf>
    <xf numFmtId="0" fontId="70" fillId="0" borderId="29" xfId="0" applyFont="1" applyBorder="1" applyAlignment="1">
      <alignment vertical="center"/>
    </xf>
    <xf numFmtId="166" fontId="0" fillId="0" borderId="12" xfId="39" applyNumberFormat="1" applyFont="1" applyBorder="1" applyAlignment="1">
      <alignment vertical="center"/>
    </xf>
    <xf numFmtId="166" fontId="0" fillId="0" borderId="4" xfId="0" applyNumberFormat="1" applyBorder="1" applyAlignment="1">
      <alignment vertical="center"/>
    </xf>
    <xf numFmtId="166" fontId="0" fillId="0" borderId="9" xfId="0" applyNumberFormat="1" applyBorder="1" applyAlignment="1">
      <alignment vertical="center"/>
    </xf>
    <xf numFmtId="165" fontId="0" fillId="0" borderId="0" xfId="39" applyNumberFormat="1" applyFont="1" applyAlignment="1">
      <alignment vertical="center"/>
    </xf>
    <xf numFmtId="169" fontId="0" fillId="0" borderId="0" xfId="0" applyNumberFormat="1" applyAlignment="1">
      <alignment vertical="center"/>
    </xf>
    <xf numFmtId="0" fontId="40" fillId="36" borderId="24" xfId="0" applyFont="1" applyFill="1" applyBorder="1" applyAlignment="1">
      <alignment horizontal="center" vertical="center"/>
    </xf>
    <xf numFmtId="17" fontId="40" fillId="36" borderId="6" xfId="0" applyNumberFormat="1" applyFont="1" applyFill="1" applyBorder="1" applyAlignment="1">
      <alignment horizontal="center" vertical="center"/>
    </xf>
    <xf numFmtId="17" fontId="40" fillId="36" borderId="25" xfId="0" applyNumberFormat="1" applyFont="1" applyFill="1" applyBorder="1" applyAlignment="1">
      <alignment horizontal="center" vertical="center"/>
    </xf>
    <xf numFmtId="0" fontId="71" fillId="0" borderId="26" xfId="0" applyFont="1" applyBorder="1" applyAlignment="1">
      <alignment vertical="center"/>
    </xf>
    <xf numFmtId="0" fontId="66" fillId="0" borderId="27" xfId="0" applyFont="1" applyBorder="1" applyAlignment="1">
      <alignment vertical="center"/>
    </xf>
    <xf numFmtId="0" fontId="66" fillId="0" borderId="26" xfId="0" applyFont="1" applyBorder="1" applyAlignment="1">
      <alignment vertical="center"/>
    </xf>
    <xf numFmtId="165" fontId="66" fillId="0" borderId="0" xfId="0" applyNumberFormat="1" applyFont="1" applyAlignment="1">
      <alignment vertical="center"/>
    </xf>
    <xf numFmtId="165" fontId="66" fillId="0" borderId="27" xfId="0" applyNumberFormat="1" applyFont="1" applyBorder="1" applyAlignment="1">
      <alignment vertical="center"/>
    </xf>
    <xf numFmtId="0" fontId="40" fillId="36" borderId="28" xfId="0" applyFont="1" applyFill="1" applyBorder="1" applyAlignment="1">
      <alignment vertical="center"/>
    </xf>
    <xf numFmtId="0" fontId="66" fillId="36" borderId="14" xfId="0" applyFont="1" applyFill="1" applyBorder="1" applyAlignment="1">
      <alignment vertical="center"/>
    </xf>
    <xf numFmtId="165" fontId="66" fillId="36" borderId="14" xfId="0" applyNumberFormat="1" applyFont="1" applyFill="1" applyBorder="1" applyAlignment="1">
      <alignment vertical="center"/>
    </xf>
    <xf numFmtId="165" fontId="66" fillId="36" borderId="54" xfId="0" applyNumberFormat="1" applyFont="1" applyFill="1" applyBorder="1" applyAlignment="1">
      <alignment vertical="center"/>
    </xf>
    <xf numFmtId="165" fontId="40" fillId="36" borderId="14" xfId="0" applyNumberFormat="1" applyFont="1" applyFill="1" applyBorder="1" applyAlignment="1">
      <alignment vertical="center"/>
    </xf>
    <xf numFmtId="165" fontId="40" fillId="36" borderId="54" xfId="0" applyNumberFormat="1" applyFont="1" applyFill="1" applyBorder="1" applyAlignment="1">
      <alignment vertical="center"/>
    </xf>
    <xf numFmtId="0" fontId="66" fillId="0" borderId="29" xfId="0" applyFont="1" applyBorder="1" applyAlignment="1">
      <alignment vertical="center"/>
    </xf>
    <xf numFmtId="0" fontId="66" fillId="0" borderId="1" xfId="0" applyFont="1" applyBorder="1" applyAlignment="1">
      <alignment vertical="center"/>
    </xf>
    <xf numFmtId="0" fontId="66" fillId="0" borderId="30" xfId="0" applyFont="1" applyBorder="1" applyAlignment="1">
      <alignment vertical="center"/>
    </xf>
    <xf numFmtId="4" fontId="21" fillId="7" borderId="67" xfId="0" applyNumberFormat="1" applyFont="1" applyFill="1" applyBorder="1" applyAlignment="1">
      <alignment vertical="center"/>
    </xf>
    <xf numFmtId="4" fontId="21" fillId="7" borderId="56" xfId="0" applyNumberFormat="1" applyFont="1" applyFill="1" applyBorder="1" applyAlignment="1">
      <alignment vertical="center"/>
    </xf>
    <xf numFmtId="166" fontId="0" fillId="7" borderId="27" xfId="39" applyNumberFormat="1" applyFont="1" applyFill="1" applyBorder="1" applyAlignment="1">
      <alignment vertical="center"/>
    </xf>
    <xf numFmtId="166" fontId="0" fillId="7" borderId="70" xfId="39" applyNumberFormat="1" applyFont="1" applyFill="1" applyBorder="1" applyAlignment="1">
      <alignment vertical="center"/>
    </xf>
    <xf numFmtId="3" fontId="0" fillId="0" borderId="27" xfId="0" applyNumberFormat="1" applyBorder="1" applyAlignment="1">
      <alignment vertical="center"/>
    </xf>
    <xf numFmtId="167" fontId="0" fillId="0" borderId="54" xfId="0" applyNumberFormat="1" applyBorder="1" applyAlignment="1">
      <alignment vertical="center"/>
    </xf>
    <xf numFmtId="165" fontId="21" fillId="0" borderId="54" xfId="0" applyNumberFormat="1" applyFont="1" applyBorder="1" applyAlignment="1">
      <alignment horizontal="right" vertical="center"/>
    </xf>
    <xf numFmtId="165" fontId="21" fillId="7" borderId="54" xfId="0" applyNumberFormat="1" applyFont="1" applyFill="1" applyBorder="1" applyAlignment="1">
      <alignment horizontal="right" vertical="center"/>
    </xf>
    <xf numFmtId="166" fontId="0" fillId="7" borderId="27" xfId="39" applyNumberFormat="1" applyFont="1" applyFill="1" applyBorder="1" applyAlignment="1">
      <alignment horizontal="left" vertical="center"/>
    </xf>
    <xf numFmtId="166" fontId="21" fillId="0" borderId="54" xfId="39" applyNumberFormat="1" applyFont="1" applyBorder="1" applyAlignment="1">
      <alignment vertical="center"/>
    </xf>
    <xf numFmtId="166" fontId="21" fillId="7" borderId="54" xfId="39" applyNumberFormat="1" applyFont="1" applyFill="1" applyBorder="1" applyAlignment="1">
      <alignment vertical="center"/>
    </xf>
    <xf numFmtId="166" fontId="0" fillId="0" borderId="30" xfId="39" applyNumberFormat="1" applyFont="1" applyBorder="1" applyAlignment="1">
      <alignment vertical="center"/>
    </xf>
    <xf numFmtId="165" fontId="0" fillId="0" borderId="38" xfId="0" applyNumberFormat="1" applyBorder="1" applyAlignment="1">
      <alignment vertical="center"/>
    </xf>
    <xf numFmtId="165" fontId="0" fillId="0" borderId="11" xfId="0" applyNumberFormat="1" applyBorder="1" applyAlignment="1">
      <alignment vertical="center"/>
    </xf>
    <xf numFmtId="0" fontId="63" fillId="0" borderId="0" xfId="0" applyFont="1" applyAlignment="1">
      <alignment vertical="center" wrapText="1"/>
    </xf>
    <xf numFmtId="2" fontId="58" fillId="0" borderId="0" xfId="0" applyNumberFormat="1" applyFont="1" applyAlignment="1">
      <alignment vertical="center"/>
    </xf>
    <xf numFmtId="4" fontId="58" fillId="0" borderId="0" xfId="0" applyNumberFormat="1" applyFont="1" applyAlignment="1">
      <alignment vertical="center"/>
    </xf>
    <xf numFmtId="10" fontId="3" fillId="0" borderId="38" xfId="39" applyNumberFormat="1" applyFont="1" applyBorder="1" applyAlignment="1">
      <alignment vertical="center"/>
    </xf>
    <xf numFmtId="0" fontId="21" fillId="7" borderId="2" xfId="0" applyFont="1" applyFill="1" applyBorder="1" applyAlignment="1">
      <alignment vertical="center"/>
    </xf>
    <xf numFmtId="165" fontId="0" fillId="30" borderId="0" xfId="0" applyNumberFormat="1" applyFill="1" applyAlignment="1">
      <alignment vertical="center"/>
    </xf>
    <xf numFmtId="165" fontId="0" fillId="30" borderId="27" xfId="0" applyNumberFormat="1" applyFill="1" applyBorder="1" applyAlignment="1">
      <alignment vertical="center"/>
    </xf>
    <xf numFmtId="165" fontId="38" fillId="30" borderId="0" xfId="0" applyNumberFormat="1" applyFont="1" applyFill="1" applyAlignment="1">
      <alignment vertical="center"/>
    </xf>
    <xf numFmtId="165" fontId="38" fillId="30" borderId="11" xfId="0" applyNumberFormat="1" applyFont="1" applyFill="1" applyBorder="1" applyAlignment="1">
      <alignment vertical="center"/>
    </xf>
    <xf numFmtId="165" fontId="38" fillId="30" borderId="14" xfId="0" applyNumberFormat="1" applyFont="1" applyFill="1" applyBorder="1" applyAlignment="1">
      <alignment vertical="center"/>
    </xf>
    <xf numFmtId="167" fontId="0" fillId="0" borderId="21" xfId="0" applyNumberFormat="1" applyBorder="1" applyAlignment="1">
      <alignment vertical="center"/>
    </xf>
    <xf numFmtId="167" fontId="0" fillId="0" borderId="22" xfId="0" applyNumberFormat="1" applyBorder="1" applyAlignment="1">
      <alignment vertical="center"/>
    </xf>
    <xf numFmtId="2" fontId="58" fillId="0" borderId="27" xfId="0" applyNumberFormat="1" applyFont="1" applyBorder="1" applyAlignment="1">
      <alignment vertical="center"/>
    </xf>
    <xf numFmtId="4" fontId="58" fillId="0" borderId="27" xfId="0" applyNumberFormat="1" applyFont="1" applyBorder="1" applyAlignment="1">
      <alignment vertical="center"/>
    </xf>
    <xf numFmtId="2" fontId="74" fillId="0" borderId="0" xfId="0" applyNumberFormat="1" applyFont="1" applyAlignment="1">
      <alignment vertical="center"/>
    </xf>
    <xf numFmtId="2" fontId="74" fillId="0" borderId="27" xfId="0" applyNumberFormat="1" applyFont="1" applyBorder="1" applyAlignment="1">
      <alignment vertical="center"/>
    </xf>
    <xf numFmtId="165" fontId="31" fillId="5" borderId="0" xfId="0" applyNumberFormat="1" applyFont="1" applyFill="1" applyAlignment="1">
      <alignment vertical="center"/>
    </xf>
    <xf numFmtId="2" fontId="31" fillId="5" borderId="0" xfId="0" applyNumberFormat="1" applyFont="1" applyFill="1" applyAlignment="1">
      <alignment vertical="center"/>
    </xf>
    <xf numFmtId="0" fontId="31" fillId="5" borderId="0" xfId="0" applyFont="1" applyFill="1" applyAlignment="1">
      <alignment vertical="center"/>
    </xf>
    <xf numFmtId="166" fontId="75" fillId="5" borderId="0" xfId="39" applyNumberFormat="1" applyFont="1" applyFill="1" applyBorder="1" applyAlignment="1">
      <alignment vertical="center"/>
    </xf>
    <xf numFmtId="166" fontId="75" fillId="5" borderId="9" xfId="39" applyNumberFormat="1" applyFont="1" applyFill="1" applyBorder="1" applyAlignment="1">
      <alignment vertical="center"/>
    </xf>
    <xf numFmtId="0" fontId="38" fillId="5" borderId="8" xfId="0" applyFont="1" applyFill="1" applyBorder="1" applyAlignment="1">
      <alignment vertical="center"/>
    </xf>
    <xf numFmtId="165" fontId="58" fillId="0" borderId="27" xfId="0" applyNumberFormat="1" applyFont="1" applyBorder="1" applyAlignment="1">
      <alignment vertical="center"/>
    </xf>
    <xf numFmtId="165" fontId="76" fillId="0" borderId="54" xfId="0" applyNumberFormat="1" applyFont="1" applyBorder="1" applyAlignment="1">
      <alignment vertical="center"/>
    </xf>
    <xf numFmtId="165" fontId="0" fillId="0" borderId="0" xfId="0" applyNumberFormat="1"/>
    <xf numFmtId="165" fontId="74" fillId="0" borderId="0" xfId="0" applyNumberFormat="1" applyFont="1" applyAlignment="1">
      <alignment vertical="center"/>
    </xf>
    <xf numFmtId="165" fontId="74" fillId="0" borderId="27" xfId="0" applyNumberFormat="1" applyFont="1" applyBorder="1" applyAlignment="1">
      <alignment vertical="center"/>
    </xf>
    <xf numFmtId="0" fontId="63" fillId="0" borderId="0" xfId="0" applyFont="1" applyAlignment="1">
      <alignment vertical="center"/>
    </xf>
    <xf numFmtId="165" fontId="74" fillId="0" borderId="0" xfId="0" applyNumberFormat="1" applyFont="1"/>
    <xf numFmtId="165" fontId="58" fillId="0" borderId="27" xfId="0" applyNumberFormat="1" applyFont="1" applyBorder="1" applyAlignment="1">
      <alignment horizontal="right" vertical="center"/>
    </xf>
    <xf numFmtId="165" fontId="76" fillId="0" borderId="54" xfId="0" applyNumberFormat="1" applyFont="1" applyBorder="1" applyAlignment="1">
      <alignment horizontal="right" vertical="center"/>
    </xf>
    <xf numFmtId="165" fontId="23" fillId="0" borderId="1" xfId="0" applyNumberFormat="1" applyFont="1" applyBorder="1" applyAlignment="1">
      <alignment vertical="center"/>
    </xf>
    <xf numFmtId="3" fontId="23" fillId="0" borderId="72" xfId="0" applyNumberFormat="1" applyFont="1" applyBorder="1" applyAlignment="1">
      <alignment vertical="center"/>
    </xf>
    <xf numFmtId="3" fontId="23" fillId="0" borderId="19" xfId="0" applyNumberFormat="1" applyFont="1" applyBorder="1" applyAlignment="1">
      <alignment vertical="center"/>
    </xf>
    <xf numFmtId="3" fontId="23" fillId="0" borderId="48" xfId="0" applyNumberFormat="1" applyFont="1" applyBorder="1" applyAlignment="1">
      <alignment vertical="center"/>
    </xf>
    <xf numFmtId="3" fontId="23" fillId="0" borderId="70" xfId="0" applyNumberFormat="1" applyFont="1" applyBorder="1" applyAlignment="1">
      <alignment vertical="center"/>
    </xf>
    <xf numFmtId="3" fontId="23" fillId="0" borderId="27" xfId="0" applyNumberFormat="1" applyFont="1" applyBorder="1" applyAlignment="1">
      <alignment vertical="center"/>
    </xf>
    <xf numFmtId="3" fontId="23" fillId="0" borderId="58" xfId="0" applyNumberFormat="1" applyFont="1" applyBorder="1" applyAlignment="1">
      <alignment vertical="center"/>
    </xf>
    <xf numFmtId="3" fontId="23" fillId="0" borderId="11" xfId="0" applyNumberFormat="1" applyFont="1" applyBorder="1" applyAlignment="1">
      <alignment vertical="center"/>
    </xf>
    <xf numFmtId="3" fontId="23" fillId="0" borderId="38" xfId="0" applyNumberFormat="1" applyFont="1" applyBorder="1" applyAlignment="1">
      <alignment vertical="center"/>
    </xf>
    <xf numFmtId="3" fontId="34" fillId="3" borderId="14" xfId="0" applyNumberFormat="1" applyFont="1" applyFill="1" applyBorder="1" applyAlignment="1">
      <alignment vertical="center"/>
    </xf>
    <xf numFmtId="165" fontId="23" fillId="0" borderId="2" xfId="0" applyNumberFormat="1" applyFont="1" applyBorder="1" applyAlignment="1">
      <alignment vertical="center"/>
    </xf>
    <xf numFmtId="3" fontId="23" fillId="5" borderId="14" xfId="0" applyNumberFormat="1" applyFont="1" applyFill="1" applyBorder="1" applyAlignment="1">
      <alignment vertical="center"/>
    </xf>
    <xf numFmtId="3" fontId="23" fillId="5" borderId="15" xfId="0" applyNumberFormat="1" applyFont="1" applyFill="1" applyBorder="1" applyAlignment="1">
      <alignment vertical="center"/>
    </xf>
    <xf numFmtId="3" fontId="22" fillId="5" borderId="0" xfId="0" applyNumberFormat="1" applyFont="1" applyFill="1" applyAlignment="1">
      <alignment vertical="center"/>
    </xf>
    <xf numFmtId="4" fontId="23" fillId="5" borderId="0" xfId="0" applyNumberFormat="1" applyFont="1" applyFill="1" applyAlignment="1">
      <alignment vertical="center"/>
    </xf>
    <xf numFmtId="165" fontId="53" fillId="0" borderId="8" xfId="0" applyNumberFormat="1" applyFont="1" applyBorder="1" applyAlignment="1">
      <alignment vertical="center"/>
    </xf>
    <xf numFmtId="165" fontId="53" fillId="0" borderId="0" xfId="0" applyNumberFormat="1" applyFont="1" applyAlignment="1">
      <alignment vertical="center"/>
    </xf>
    <xf numFmtId="165" fontId="53" fillId="0" borderId="9" xfId="0" applyNumberFormat="1" applyFont="1" applyBorder="1" applyAlignment="1">
      <alignment vertical="center"/>
    </xf>
    <xf numFmtId="4" fontId="23" fillId="5" borderId="9" xfId="0" applyNumberFormat="1" applyFont="1" applyFill="1" applyBorder="1" applyAlignment="1">
      <alignment vertical="center"/>
    </xf>
    <xf numFmtId="170" fontId="23" fillId="0" borderId="0" xfId="0" applyNumberFormat="1" applyFont="1" applyAlignment="1">
      <alignment vertical="center"/>
    </xf>
    <xf numFmtId="170" fontId="23" fillId="0" borderId="9" xfId="0" applyNumberFormat="1" applyFont="1" applyBorder="1" applyAlignment="1">
      <alignment vertical="center"/>
    </xf>
    <xf numFmtId="165" fontId="32" fillId="0" borderId="0" xfId="0" applyNumberFormat="1" applyFont="1" applyAlignment="1">
      <alignment vertical="center"/>
    </xf>
    <xf numFmtId="165" fontId="32" fillId="0" borderId="9" xfId="0" applyNumberFormat="1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166" fontId="38" fillId="0" borderId="0" xfId="39" applyNumberFormat="1" applyFont="1" applyBorder="1" applyAlignment="1">
      <alignment vertical="center"/>
    </xf>
    <xf numFmtId="166" fontId="38" fillId="0" borderId="9" xfId="39" applyNumberFormat="1" applyFont="1" applyBorder="1" applyAlignment="1">
      <alignment vertical="center"/>
    </xf>
    <xf numFmtId="0" fontId="32" fillId="0" borderId="9" xfId="0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7" xfId="0" applyNumberFormat="1" applyBorder="1" applyAlignment="1">
      <alignment vertical="center"/>
    </xf>
    <xf numFmtId="165" fontId="31" fillId="0" borderId="14" xfId="0" applyNumberFormat="1" applyFont="1" applyBorder="1" applyAlignment="1">
      <alignment vertical="center"/>
    </xf>
    <xf numFmtId="165" fontId="22" fillId="30" borderId="14" xfId="0" applyNumberFormat="1" applyFont="1" applyFill="1" applyBorder="1" applyAlignment="1">
      <alignment vertical="center"/>
    </xf>
    <xf numFmtId="165" fontId="23" fillId="30" borderId="14" xfId="0" applyNumberFormat="1" applyFont="1" applyFill="1" applyBorder="1" applyAlignment="1">
      <alignment vertical="center"/>
    </xf>
    <xf numFmtId="3" fontId="23" fillId="5" borderId="17" xfId="0" applyNumberFormat="1" applyFont="1" applyFill="1" applyBorder="1" applyAlignment="1">
      <alignment vertical="center"/>
    </xf>
    <xf numFmtId="0" fontId="23" fillId="30" borderId="0" xfId="0" applyFont="1" applyFill="1" applyAlignment="1">
      <alignment vertical="center"/>
    </xf>
    <xf numFmtId="167" fontId="23" fillId="0" borderId="9" xfId="0" applyNumberFormat="1" applyFont="1" applyBorder="1" applyAlignment="1">
      <alignment vertical="center"/>
    </xf>
    <xf numFmtId="2" fontId="23" fillId="0" borderId="9" xfId="0" applyNumberFormat="1" applyFont="1" applyBorder="1" applyAlignment="1">
      <alignment vertical="center"/>
    </xf>
    <xf numFmtId="165" fontId="30" fillId="3" borderId="73" xfId="0" applyNumberFormat="1" applyFont="1" applyFill="1" applyBorder="1" applyAlignment="1">
      <alignment vertical="center"/>
    </xf>
    <xf numFmtId="165" fontId="30" fillId="3" borderId="74" xfId="0" applyNumberFormat="1" applyFont="1" applyFill="1" applyBorder="1" applyAlignment="1">
      <alignment vertical="center"/>
    </xf>
    <xf numFmtId="165" fontId="30" fillId="3" borderId="75" xfId="0" applyNumberFormat="1" applyFont="1" applyFill="1" applyBorder="1" applyAlignment="1">
      <alignment vertical="center"/>
    </xf>
    <xf numFmtId="0" fontId="77" fillId="3" borderId="18" xfId="0" applyFont="1" applyFill="1" applyBorder="1" applyAlignment="1">
      <alignment vertical="center"/>
    </xf>
    <xf numFmtId="0" fontId="77" fillId="3" borderId="19" xfId="0" applyFont="1" applyFill="1" applyBorder="1" applyAlignment="1">
      <alignment vertical="center"/>
    </xf>
    <xf numFmtId="166" fontId="77" fillId="3" borderId="19" xfId="39" applyNumberFormat="1" applyFont="1" applyFill="1" applyBorder="1" applyAlignment="1">
      <alignment vertical="center"/>
    </xf>
    <xf numFmtId="166" fontId="77" fillId="3" borderId="20" xfId="39" applyNumberFormat="1" applyFont="1" applyFill="1" applyBorder="1" applyAlignment="1">
      <alignment vertical="center"/>
    </xf>
    <xf numFmtId="0" fontId="77" fillId="3" borderId="10" xfId="0" applyFont="1" applyFill="1" applyBorder="1" applyAlignment="1">
      <alignment vertical="center"/>
    </xf>
    <xf numFmtId="0" fontId="77" fillId="3" borderId="11" xfId="0" applyFont="1" applyFill="1" applyBorder="1" applyAlignment="1">
      <alignment vertical="center"/>
    </xf>
    <xf numFmtId="166" fontId="77" fillId="3" borderId="11" xfId="39" applyNumberFormat="1" applyFont="1" applyFill="1" applyBorder="1" applyAlignment="1">
      <alignment vertical="center"/>
    </xf>
    <xf numFmtId="166" fontId="77" fillId="3" borderId="12" xfId="39" applyNumberFormat="1" applyFont="1" applyFill="1" applyBorder="1" applyAlignment="1">
      <alignment vertical="center"/>
    </xf>
    <xf numFmtId="1" fontId="77" fillId="3" borderId="19" xfId="0" applyNumberFormat="1" applyFont="1" applyFill="1" applyBorder="1" applyAlignment="1">
      <alignment vertical="center"/>
    </xf>
    <xf numFmtId="1" fontId="77" fillId="3" borderId="20" xfId="0" applyNumberFormat="1" applyFont="1" applyFill="1" applyBorder="1" applyAlignment="1">
      <alignment vertical="center"/>
    </xf>
    <xf numFmtId="10" fontId="77" fillId="3" borderId="11" xfId="39" applyNumberFormat="1" applyFont="1" applyFill="1" applyBorder="1" applyAlignment="1">
      <alignment vertical="center"/>
    </xf>
    <xf numFmtId="10" fontId="77" fillId="3" borderId="12" xfId="39" applyNumberFormat="1" applyFont="1" applyFill="1" applyBorder="1" applyAlignment="1">
      <alignment vertical="center"/>
    </xf>
    <xf numFmtId="4" fontId="23" fillId="0" borderId="9" xfId="0" applyNumberFormat="1" applyFont="1" applyBorder="1" applyAlignment="1">
      <alignment vertical="center"/>
    </xf>
    <xf numFmtId="0" fontId="38" fillId="0" borderId="11" xfId="0" applyFont="1" applyBorder="1" applyAlignment="1">
      <alignment vertical="center"/>
    </xf>
    <xf numFmtId="166" fontId="38" fillId="0" borderId="11" xfId="39" applyNumberFormat="1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19" xfId="0" applyFont="1" applyBorder="1" applyAlignment="1">
      <alignment vertical="center"/>
    </xf>
    <xf numFmtId="166" fontId="23" fillId="0" borderId="19" xfId="39" applyNumberFormat="1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16" xfId="0" applyFont="1" applyBorder="1" applyAlignment="1">
      <alignment vertical="center"/>
    </xf>
    <xf numFmtId="0" fontId="23" fillId="0" borderId="17" xfId="0" applyFont="1" applyBorder="1" applyAlignment="1">
      <alignment vertical="center"/>
    </xf>
    <xf numFmtId="9" fontId="23" fillId="0" borderId="0" xfId="39" applyFont="1" applyAlignment="1">
      <alignment vertical="center"/>
    </xf>
    <xf numFmtId="0" fontId="30" fillId="3" borderId="4" xfId="0" applyFont="1" applyFill="1" applyBorder="1" applyAlignment="1">
      <alignment horizontal="center" vertical="center"/>
    </xf>
    <xf numFmtId="165" fontId="31" fillId="0" borderId="8" xfId="0" applyNumberFormat="1" applyFont="1" applyBorder="1" applyAlignment="1">
      <alignment vertical="center"/>
    </xf>
    <xf numFmtId="165" fontId="78" fillId="0" borderId="14" xfId="0" applyNumberFormat="1" applyFont="1" applyBorder="1" applyAlignment="1">
      <alignment vertical="center"/>
    </xf>
    <xf numFmtId="165" fontId="79" fillId="0" borderId="14" xfId="0" applyNumberFormat="1" applyFont="1" applyBorder="1" applyAlignment="1">
      <alignment vertical="center"/>
    </xf>
    <xf numFmtId="165" fontId="78" fillId="0" borderId="54" xfId="0" applyNumberFormat="1" applyFont="1" applyBorder="1" applyAlignment="1">
      <alignment vertical="center"/>
    </xf>
    <xf numFmtId="166" fontId="79" fillId="0" borderId="27" xfId="39" applyNumberFormat="1" applyFont="1" applyBorder="1" applyAlignment="1">
      <alignment vertical="center"/>
    </xf>
    <xf numFmtId="165" fontId="79" fillId="0" borderId="54" xfId="0" applyNumberFormat="1" applyFont="1" applyBorder="1" applyAlignment="1">
      <alignment vertical="center"/>
    </xf>
    <xf numFmtId="0" fontId="78" fillId="0" borderId="28" xfId="0" applyFont="1" applyBorder="1" applyAlignment="1">
      <alignment vertical="center"/>
    </xf>
    <xf numFmtId="0" fontId="79" fillId="0" borderId="26" xfId="0" applyFont="1" applyBorder="1" applyAlignment="1">
      <alignment vertical="center"/>
    </xf>
    <xf numFmtId="166" fontId="79" fillId="0" borderId="0" xfId="39" applyNumberFormat="1" applyFont="1" applyBorder="1" applyAlignment="1">
      <alignment vertical="center"/>
    </xf>
    <xf numFmtId="0" fontId="79" fillId="0" borderId="28" xfId="0" applyFon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30" xfId="0" applyNumberFormat="1" applyBorder="1" applyAlignment="1">
      <alignment vertical="center"/>
    </xf>
    <xf numFmtId="0" fontId="80" fillId="0" borderId="26" xfId="0" applyFont="1" applyBorder="1" applyAlignment="1">
      <alignment vertical="center"/>
    </xf>
    <xf numFmtId="165" fontId="34" fillId="3" borderId="28" xfId="0" applyNumberFormat="1" applyFont="1" applyFill="1" applyBorder="1" applyAlignment="1">
      <alignment vertical="center"/>
    </xf>
    <xf numFmtId="165" fontId="34" fillId="3" borderId="54" xfId="0" applyNumberFormat="1" applyFont="1" applyFill="1" applyBorder="1" applyAlignment="1">
      <alignment vertical="center"/>
    </xf>
    <xf numFmtId="0" fontId="30" fillId="3" borderId="24" xfId="0" applyFont="1" applyFill="1" applyBorder="1" applyAlignment="1">
      <alignment horizontal="center" vertical="center"/>
    </xf>
    <xf numFmtId="17" fontId="30" fillId="3" borderId="6" xfId="0" applyNumberFormat="1" applyFont="1" applyFill="1" applyBorder="1" applyAlignment="1">
      <alignment horizontal="center" vertical="center"/>
    </xf>
    <xf numFmtId="17" fontId="30" fillId="3" borderId="25" xfId="0" applyNumberFormat="1" applyFont="1" applyFill="1" applyBorder="1" applyAlignment="1">
      <alignment horizontal="center" vertical="center"/>
    </xf>
    <xf numFmtId="171" fontId="81" fillId="0" borderId="0" xfId="0" applyNumberFormat="1" applyFont="1" applyAlignment="1">
      <alignment vertical="center"/>
    </xf>
    <xf numFmtId="0" fontId="82" fillId="38" borderId="69" xfId="0" applyFont="1" applyFill="1" applyBorder="1" applyAlignment="1">
      <alignment horizontal="center" vertical="center"/>
    </xf>
    <xf numFmtId="17" fontId="82" fillId="38" borderId="6" xfId="0" applyNumberFormat="1" applyFont="1" applyFill="1" applyBorder="1" applyAlignment="1">
      <alignment horizontal="center" vertical="center"/>
    </xf>
    <xf numFmtId="17" fontId="82" fillId="38" borderId="25" xfId="0" applyNumberFormat="1" applyFont="1" applyFill="1" applyBorder="1" applyAlignment="1">
      <alignment horizontal="center" vertical="center"/>
    </xf>
    <xf numFmtId="0" fontId="81" fillId="0" borderId="26" xfId="0" applyFont="1" applyBorder="1" applyAlignment="1">
      <alignment vertical="center"/>
    </xf>
    <xf numFmtId="0" fontId="81" fillId="0" borderId="0" xfId="0" applyFont="1" applyAlignment="1">
      <alignment vertical="center"/>
    </xf>
    <xf numFmtId="0" fontId="81" fillId="0" borderId="27" xfId="0" applyFont="1" applyBorder="1" applyAlignment="1">
      <alignment vertical="center"/>
    </xf>
    <xf numFmtId="171" fontId="81" fillId="0" borderId="27" xfId="0" applyNumberFormat="1" applyFont="1" applyBorder="1" applyAlignment="1">
      <alignment vertical="center"/>
    </xf>
    <xf numFmtId="0" fontId="83" fillId="0" borderId="28" xfId="0" applyFont="1" applyBorder="1" applyAlignment="1">
      <alignment vertical="center"/>
    </xf>
    <xf numFmtId="171" fontId="83" fillId="0" borderId="14" xfId="0" applyNumberFormat="1" applyFont="1" applyBorder="1" applyAlignment="1">
      <alignment vertical="center"/>
    </xf>
    <xf numFmtId="165" fontId="84" fillId="38" borderId="28" xfId="0" applyNumberFormat="1" applyFont="1" applyFill="1" applyBorder="1" applyAlignment="1">
      <alignment vertical="center"/>
    </xf>
    <xf numFmtId="171" fontId="84" fillId="38" borderId="14" xfId="0" applyNumberFormat="1" applyFont="1" applyFill="1" applyBorder="1" applyAlignment="1">
      <alignment vertical="center"/>
    </xf>
    <xf numFmtId="3" fontId="81" fillId="0" borderId="0" xfId="0" applyNumberFormat="1" applyFont="1" applyAlignment="1">
      <alignment vertical="center"/>
    </xf>
    <xf numFmtId="3" fontId="81" fillId="0" borderId="27" xfId="0" applyNumberFormat="1" applyFont="1" applyBorder="1" applyAlignment="1">
      <alignment vertical="center"/>
    </xf>
    <xf numFmtId="3" fontId="83" fillId="0" borderId="14" xfId="0" applyNumberFormat="1" applyFont="1" applyBorder="1" applyAlignment="1">
      <alignment vertical="center"/>
    </xf>
    <xf numFmtId="3" fontId="83" fillId="0" borderId="54" xfId="0" applyNumberFormat="1" applyFont="1" applyBorder="1" applyAlignment="1">
      <alignment vertical="center"/>
    </xf>
    <xf numFmtId="0" fontId="81" fillId="0" borderId="29" xfId="0" applyFont="1" applyBorder="1" applyAlignment="1">
      <alignment vertical="center"/>
    </xf>
    <xf numFmtId="0" fontId="81" fillId="0" borderId="1" xfId="0" applyFont="1" applyBorder="1" applyAlignment="1">
      <alignment vertical="center"/>
    </xf>
    <xf numFmtId="0" fontId="81" fillId="0" borderId="30" xfId="0" applyFont="1" applyBorder="1" applyAlignment="1">
      <alignment vertical="center"/>
    </xf>
    <xf numFmtId="171" fontId="81" fillId="0" borderId="48" xfId="0" applyNumberFormat="1" applyFont="1" applyBorder="1" applyAlignment="1">
      <alignment vertical="center"/>
    </xf>
    <xf numFmtId="172" fontId="40" fillId="0" borderId="0" xfId="0" applyNumberFormat="1" applyFont="1" applyAlignment="1">
      <alignment vertical="center"/>
    </xf>
    <xf numFmtId="0" fontId="82" fillId="38" borderId="6" xfId="0" applyFont="1" applyFill="1" applyBorder="1" applyAlignment="1">
      <alignment horizontal="center" vertical="center"/>
    </xf>
    <xf numFmtId="172" fontId="40" fillId="34" borderId="49" xfId="0" applyNumberFormat="1" applyFont="1" applyFill="1" applyBorder="1" applyAlignment="1">
      <alignment vertical="center"/>
    </xf>
    <xf numFmtId="171" fontId="0" fillId="0" borderId="0" xfId="0" applyNumberFormat="1" applyAlignment="1">
      <alignment vertical="center"/>
    </xf>
    <xf numFmtId="171" fontId="81" fillId="30" borderId="0" xfId="0" applyNumberFormat="1" applyFont="1" applyFill="1" applyAlignment="1">
      <alignment vertical="center"/>
    </xf>
    <xf numFmtId="171" fontId="81" fillId="30" borderId="27" xfId="0" applyNumberFormat="1" applyFont="1" applyFill="1" applyBorder="1" applyAlignment="1">
      <alignment vertical="center"/>
    </xf>
    <xf numFmtId="166" fontId="23" fillId="5" borderId="0" xfId="39" applyNumberFormat="1" applyFont="1" applyFill="1" applyBorder="1" applyAlignment="1">
      <alignment vertical="center"/>
    </xf>
    <xf numFmtId="4" fontId="81" fillId="0" borderId="0" xfId="0" applyNumberFormat="1" applyFont="1" applyAlignment="1">
      <alignment vertical="center"/>
    </xf>
    <xf numFmtId="4" fontId="81" fillId="0" borderId="27" xfId="0" applyNumberFormat="1" applyFont="1" applyBorder="1" applyAlignment="1">
      <alignment vertical="center"/>
    </xf>
    <xf numFmtId="4" fontId="74" fillId="0" borderId="0" xfId="0" applyNumberFormat="1" applyFont="1" applyAlignment="1">
      <alignment vertical="center"/>
    </xf>
    <xf numFmtId="4" fontId="81" fillId="30" borderId="0" xfId="0" applyNumberFormat="1" applyFont="1" applyFill="1" applyAlignment="1">
      <alignment vertical="center"/>
    </xf>
    <xf numFmtId="4" fontId="81" fillId="30" borderId="27" xfId="0" applyNumberFormat="1" applyFont="1" applyFill="1" applyBorder="1" applyAlignment="1">
      <alignment vertical="center"/>
    </xf>
    <xf numFmtId="4" fontId="83" fillId="0" borderId="14" xfId="0" applyNumberFormat="1" applyFont="1" applyBorder="1" applyAlignment="1">
      <alignment vertical="center"/>
    </xf>
    <xf numFmtId="4" fontId="83" fillId="0" borderId="54" xfId="0" applyNumberFormat="1" applyFont="1" applyBorder="1" applyAlignment="1">
      <alignment vertical="center"/>
    </xf>
    <xf numFmtId="4" fontId="81" fillId="0" borderId="48" xfId="0" applyNumberFormat="1" applyFont="1" applyBorder="1" applyAlignment="1">
      <alignment vertical="center"/>
    </xf>
    <xf numFmtId="4" fontId="84" fillId="38" borderId="14" xfId="0" applyNumberFormat="1" applyFont="1" applyFill="1" applyBorder="1" applyAlignment="1">
      <alignment vertical="center"/>
    </xf>
    <xf numFmtId="4" fontId="84" fillId="38" borderId="54" xfId="0" applyNumberFormat="1" applyFont="1" applyFill="1" applyBorder="1" applyAlignment="1">
      <alignment vertical="center"/>
    </xf>
    <xf numFmtId="3" fontId="81" fillId="30" borderId="0" xfId="0" applyNumberFormat="1" applyFont="1" applyFill="1" applyAlignment="1">
      <alignment vertical="center"/>
    </xf>
    <xf numFmtId="3" fontId="81" fillId="30" borderId="27" xfId="0" applyNumberFormat="1" applyFont="1" applyFill="1" applyBorder="1" applyAlignment="1">
      <alignment vertical="center"/>
    </xf>
    <xf numFmtId="165" fontId="81" fillId="0" borderId="0" xfId="0" applyNumberFormat="1" applyFont="1" applyAlignment="1">
      <alignment vertical="center"/>
    </xf>
    <xf numFmtId="0" fontId="82" fillId="38" borderId="25" xfId="0" applyFont="1" applyFill="1" applyBorder="1" applyAlignment="1">
      <alignment horizontal="center" vertical="center" wrapText="1"/>
    </xf>
    <xf numFmtId="171" fontId="83" fillId="0" borderId="54" xfId="0" applyNumberFormat="1" applyFont="1" applyBorder="1" applyAlignment="1">
      <alignment vertical="center"/>
    </xf>
    <xf numFmtId="171" fontId="84" fillId="38" borderId="54" xfId="0" applyNumberFormat="1" applyFont="1" applyFill="1" applyBorder="1" applyAlignment="1">
      <alignment vertical="center"/>
    </xf>
    <xf numFmtId="1" fontId="23" fillId="0" borderId="0" xfId="0" applyNumberFormat="1" applyFont="1" applyAlignment="1">
      <alignment vertical="center"/>
    </xf>
    <xf numFmtId="1" fontId="23" fillId="0" borderId="9" xfId="0" applyNumberFormat="1" applyFont="1" applyBorder="1" applyAlignment="1">
      <alignment vertical="center"/>
    </xf>
    <xf numFmtId="0" fontId="30" fillId="3" borderId="25" xfId="0" applyFont="1" applyFill="1" applyBorder="1" applyAlignment="1">
      <alignment horizontal="center" vertical="center" wrapText="1"/>
    </xf>
    <xf numFmtId="2" fontId="0" fillId="0" borderId="0" xfId="39" applyNumberFormat="1" applyFont="1" applyAlignment="1">
      <alignment vertical="center"/>
    </xf>
    <xf numFmtId="166" fontId="80" fillId="0" borderId="0" xfId="39" applyNumberFormat="1" applyFont="1" applyAlignment="1">
      <alignment vertical="center"/>
    </xf>
    <xf numFmtId="0" fontId="0" fillId="30" borderId="0" xfId="0" applyFill="1" applyAlignment="1">
      <alignment vertical="center"/>
    </xf>
    <xf numFmtId="1" fontId="0" fillId="0" borderId="0" xfId="39" applyNumberFormat="1" applyFont="1" applyAlignment="1">
      <alignment vertical="center"/>
    </xf>
    <xf numFmtId="166" fontId="0" fillId="0" borderId="1" xfId="39" applyNumberFormat="1" applyFont="1" applyBorder="1" applyAlignment="1">
      <alignment vertical="center"/>
    </xf>
    <xf numFmtId="0" fontId="79" fillId="0" borderId="57" xfId="0" applyFont="1" applyBorder="1" applyAlignment="1">
      <alignment vertical="center"/>
    </xf>
    <xf numFmtId="166" fontId="79" fillId="0" borderId="19" xfId="39" applyNumberFormat="1" applyFont="1" applyBorder="1" applyAlignment="1">
      <alignment vertical="center"/>
    </xf>
    <xf numFmtId="166" fontId="79" fillId="0" borderId="48" xfId="39" applyNumberFormat="1" applyFont="1" applyBorder="1" applyAlignment="1">
      <alignment vertical="center"/>
    </xf>
    <xf numFmtId="167" fontId="23" fillId="5" borderId="1" xfId="0" applyNumberFormat="1" applyFont="1" applyFill="1" applyBorder="1" applyAlignment="1">
      <alignment vertical="center"/>
    </xf>
    <xf numFmtId="167" fontId="23" fillId="5" borderId="17" xfId="0" applyNumberFormat="1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73" fontId="0" fillId="0" borderId="0" xfId="44" applyNumberFormat="1" applyFont="1" applyAlignment="1">
      <alignment vertical="center"/>
    </xf>
    <xf numFmtId="165" fontId="0" fillId="0" borderId="67" xfId="0" applyNumberFormat="1" applyBorder="1" applyAlignment="1">
      <alignment vertical="center"/>
    </xf>
    <xf numFmtId="165" fontId="0" fillId="0" borderId="34" xfId="0" applyNumberFormat="1" applyBorder="1" applyAlignment="1">
      <alignment vertical="center"/>
    </xf>
    <xf numFmtId="17" fontId="30" fillId="3" borderId="66" xfId="0" applyNumberFormat="1" applyFont="1" applyFill="1" applyBorder="1" applyAlignment="1">
      <alignment horizontal="center" vertical="center"/>
    </xf>
    <xf numFmtId="0" fontId="0" fillId="0" borderId="70" xfId="0" applyBorder="1" applyAlignment="1">
      <alignment vertical="center"/>
    </xf>
    <xf numFmtId="165" fontId="34" fillId="3" borderId="64" xfId="0" applyNumberFormat="1" applyFont="1" applyFill="1" applyBorder="1" applyAlignment="1">
      <alignment vertical="center"/>
    </xf>
    <xf numFmtId="0" fontId="0" fillId="0" borderId="56" xfId="0" applyBorder="1" applyAlignment="1">
      <alignment vertical="center"/>
    </xf>
    <xf numFmtId="0" fontId="87" fillId="0" borderId="0" xfId="1531" applyFont="1"/>
    <xf numFmtId="0" fontId="86" fillId="0" borderId="0" xfId="1531"/>
    <xf numFmtId="0" fontId="88" fillId="39" borderId="0" xfId="1531" applyFont="1" applyFill="1"/>
    <xf numFmtId="0" fontId="88" fillId="0" borderId="0" xfId="1531" applyFont="1"/>
    <xf numFmtId="0" fontId="89" fillId="40" borderId="0" xfId="1531" applyFont="1" applyFill="1"/>
    <xf numFmtId="0" fontId="90" fillId="40" borderId="0" xfId="1531" applyFont="1" applyFill="1"/>
    <xf numFmtId="0" fontId="91" fillId="41" borderId="0" xfId="1531" applyFont="1" applyFill="1"/>
    <xf numFmtId="173" fontId="0" fillId="0" borderId="0" xfId="1533" applyNumberFormat="1" applyFont="1"/>
    <xf numFmtId="0" fontId="86" fillId="0" borderId="14" xfId="1531" applyBorder="1"/>
    <xf numFmtId="173" fontId="0" fillId="0" borderId="14" xfId="1533" applyNumberFormat="1" applyFont="1" applyBorder="1"/>
    <xf numFmtId="173" fontId="86" fillId="0" borderId="0" xfId="1531" applyNumberFormat="1"/>
    <xf numFmtId="166" fontId="0" fillId="0" borderId="0" xfId="1534" applyNumberFormat="1" applyFont="1"/>
    <xf numFmtId="0" fontId="86" fillId="0" borderId="0" xfId="1532"/>
    <xf numFmtId="174" fontId="0" fillId="0" borderId="0" xfId="1533" applyNumberFormat="1" applyFont="1"/>
    <xf numFmtId="175" fontId="0" fillId="0" borderId="0" xfId="1534" applyNumberFormat="1" applyFont="1"/>
    <xf numFmtId="175" fontId="88" fillId="0" borderId="0" xfId="1534" applyNumberFormat="1" applyFont="1"/>
    <xf numFmtId="174" fontId="88" fillId="0" borderId="0" xfId="1533" applyNumberFormat="1" applyFont="1"/>
    <xf numFmtId="173" fontId="0" fillId="0" borderId="0" xfId="1535" applyNumberFormat="1" applyFont="1"/>
    <xf numFmtId="173" fontId="88" fillId="0" borderId="0" xfId="1533" applyNumberFormat="1" applyFont="1"/>
    <xf numFmtId="173" fontId="88" fillId="0" borderId="0" xfId="1531" applyNumberFormat="1" applyFont="1"/>
    <xf numFmtId="43" fontId="88" fillId="0" borderId="0" xfId="1531" applyNumberFormat="1" applyFont="1"/>
    <xf numFmtId="43" fontId="86" fillId="0" borderId="0" xfId="1531" applyNumberFormat="1"/>
    <xf numFmtId="0" fontId="88" fillId="0" borderId="76" xfId="1531" applyFont="1" applyBorder="1"/>
    <xf numFmtId="173" fontId="88" fillId="0" borderId="76" xfId="1533" applyNumberFormat="1" applyFont="1" applyBorder="1"/>
    <xf numFmtId="174" fontId="0" fillId="39" borderId="0" xfId="1533" applyNumberFormat="1" applyFont="1" applyFill="1"/>
    <xf numFmtId="0" fontId="88" fillId="0" borderId="77" xfId="1531" applyFont="1" applyBorder="1"/>
    <xf numFmtId="173" fontId="0" fillId="0" borderId="77" xfId="1533" applyNumberFormat="1" applyFont="1" applyBorder="1"/>
    <xf numFmtId="0" fontId="86" fillId="0" borderId="78" xfId="1531" applyBorder="1"/>
    <xf numFmtId="173" fontId="0" fillId="0" borderId="78" xfId="1533" applyNumberFormat="1" applyFont="1" applyBorder="1"/>
    <xf numFmtId="43" fontId="0" fillId="0" borderId="0" xfId="1533" applyFont="1"/>
    <xf numFmtId="176" fontId="0" fillId="0" borderId="0" xfId="1533" applyNumberFormat="1" applyFont="1"/>
    <xf numFmtId="0" fontId="88" fillId="0" borderId="78" xfId="1531" applyFont="1" applyBorder="1"/>
    <xf numFmtId="173" fontId="88" fillId="0" borderId="78" xfId="1533" applyNumberFormat="1" applyFont="1" applyBorder="1"/>
    <xf numFmtId="173" fontId="88" fillId="0" borderId="77" xfId="1533" applyNumberFormat="1" applyFont="1" applyBorder="1"/>
    <xf numFmtId="174" fontId="88" fillId="0" borderId="78" xfId="1533" applyNumberFormat="1" applyFont="1" applyBorder="1"/>
    <xf numFmtId="173" fontId="86" fillId="0" borderId="78" xfId="1531" applyNumberFormat="1" applyBorder="1"/>
    <xf numFmtId="173" fontId="88" fillId="0" borderId="78" xfId="1531" applyNumberFormat="1" applyFont="1" applyBorder="1"/>
    <xf numFmtId="2" fontId="86" fillId="0" borderId="0" xfId="1531" applyNumberFormat="1"/>
    <xf numFmtId="0" fontId="0" fillId="0" borderId="0" xfId="1533" applyNumberFormat="1" applyFont="1"/>
    <xf numFmtId="174" fontId="71" fillId="0" borderId="19" xfId="0" applyNumberFormat="1" applyFont="1" applyBorder="1" applyAlignment="1">
      <alignment vertical="center"/>
    </xf>
    <xf numFmtId="0" fontId="30" fillId="3" borderId="3" xfId="0" applyFont="1" applyFill="1" applyBorder="1" applyAlignment="1">
      <alignment horizontal="center" vertical="center"/>
    </xf>
    <xf numFmtId="0" fontId="30" fillId="3" borderId="2" xfId="0" applyFont="1" applyFill="1" applyBorder="1" applyAlignment="1">
      <alignment horizontal="center" vertical="center"/>
    </xf>
    <xf numFmtId="0" fontId="30" fillId="3" borderId="71" xfId="0" applyFont="1" applyFill="1" applyBorder="1" applyAlignment="1">
      <alignment horizontal="center" vertical="center"/>
    </xf>
    <xf numFmtId="0" fontId="78" fillId="0" borderId="13" xfId="0" applyFont="1" applyBorder="1" applyAlignment="1">
      <alignment vertical="center"/>
    </xf>
    <xf numFmtId="166" fontId="78" fillId="0" borderId="78" xfId="39" applyNumberFormat="1" applyFont="1" applyBorder="1" applyAlignment="1">
      <alignment vertical="center"/>
    </xf>
    <xf numFmtId="166" fontId="78" fillId="0" borderId="54" xfId="39" applyNumberFormat="1" applyFont="1" applyBorder="1" applyAlignment="1">
      <alignment vertical="center"/>
    </xf>
    <xf numFmtId="166" fontId="78" fillId="0" borderId="15" xfId="39" applyNumberFormat="1" applyFont="1" applyBorder="1" applyAlignment="1">
      <alignment vertical="center"/>
    </xf>
    <xf numFmtId="4" fontId="78" fillId="0" borderId="78" xfId="44" applyNumberFormat="1" applyFont="1" applyBorder="1" applyAlignment="1">
      <alignment vertical="center"/>
    </xf>
    <xf numFmtId="4" fontId="78" fillId="0" borderId="54" xfId="44" applyNumberFormat="1" applyFont="1" applyBorder="1" applyAlignment="1">
      <alignment vertical="center"/>
    </xf>
    <xf numFmtId="4" fontId="78" fillId="0" borderId="15" xfId="44" applyNumberFormat="1" applyFont="1" applyBorder="1" applyAlignment="1">
      <alignment vertical="center"/>
    </xf>
    <xf numFmtId="4" fontId="0" fillId="0" borderId="0" xfId="44" applyNumberFormat="1" applyFont="1" applyBorder="1" applyAlignment="1">
      <alignment vertical="center"/>
    </xf>
    <xf numFmtId="4" fontId="0" fillId="0" borderId="27" xfId="44" applyNumberFormat="1" applyFont="1" applyBorder="1" applyAlignment="1">
      <alignment vertical="center"/>
    </xf>
    <xf numFmtId="4" fontId="0" fillId="0" borderId="9" xfId="44" applyNumberFormat="1" applyFont="1" applyBorder="1" applyAlignment="1">
      <alignment vertical="center"/>
    </xf>
    <xf numFmtId="4" fontId="0" fillId="0" borderId="30" xfId="0" applyNumberFormat="1" applyBorder="1" applyAlignment="1">
      <alignment vertical="center"/>
    </xf>
    <xf numFmtId="0" fontId="92" fillId="0" borderId="0" xfId="0" applyFont="1" applyAlignment="1">
      <alignment vertical="center"/>
    </xf>
    <xf numFmtId="166" fontId="0" fillId="0" borderId="17" xfId="39" applyNumberFormat="1" applyFont="1" applyBorder="1" applyAlignment="1">
      <alignment vertical="center"/>
    </xf>
    <xf numFmtId="4" fontId="0" fillId="0" borderId="9" xfId="0" applyNumberFormat="1" applyBorder="1" applyAlignment="1">
      <alignment vertical="center"/>
    </xf>
    <xf numFmtId="4" fontId="0" fillId="0" borderId="78" xfId="0" applyNumberFormat="1" applyBorder="1" applyAlignment="1">
      <alignment vertical="center"/>
    </xf>
    <xf numFmtId="4" fontId="0" fillId="0" borderId="54" xfId="0" applyNumberFormat="1" applyBorder="1" applyAlignment="1">
      <alignment vertical="center"/>
    </xf>
    <xf numFmtId="4" fontId="0" fillId="0" borderId="15" xfId="0" applyNumberFormat="1" applyBorder="1" applyAlignment="1">
      <alignment vertical="center"/>
    </xf>
    <xf numFmtId="165" fontId="0" fillId="0" borderId="17" xfId="0" applyNumberFormat="1" applyBorder="1" applyAlignment="1">
      <alignment vertical="center"/>
    </xf>
    <xf numFmtId="166" fontId="0" fillId="0" borderId="78" xfId="39" applyNumberFormat="1" applyFont="1" applyBorder="1" applyAlignment="1">
      <alignment vertical="center"/>
    </xf>
    <xf numFmtId="43" fontId="0" fillId="0" borderId="0" xfId="0" applyNumberFormat="1" applyAlignment="1">
      <alignment vertical="center"/>
    </xf>
    <xf numFmtId="0" fontId="30" fillId="3" borderId="69" xfId="0" applyFont="1" applyFill="1" applyBorder="1" applyAlignment="1">
      <alignment horizontal="center" vertical="center"/>
    </xf>
    <xf numFmtId="166" fontId="93" fillId="0" borderId="0" xfId="39" applyNumberFormat="1" applyFont="1" applyBorder="1" applyAlignment="1">
      <alignment vertical="center"/>
    </xf>
    <xf numFmtId="166" fontId="93" fillId="0" borderId="9" xfId="39" applyNumberFormat="1" applyFont="1" applyBorder="1" applyAlignment="1">
      <alignment vertical="center"/>
    </xf>
    <xf numFmtId="166" fontId="93" fillId="0" borderId="26" xfId="39" applyNumberFormat="1" applyFont="1" applyBorder="1" applyAlignment="1">
      <alignment vertical="center"/>
    </xf>
    <xf numFmtId="166" fontId="93" fillId="0" borderId="48" xfId="39" applyNumberFormat="1" applyFont="1" applyBorder="1" applyAlignment="1">
      <alignment vertical="center"/>
    </xf>
    <xf numFmtId="4" fontId="78" fillId="0" borderId="14" xfId="0" applyNumberFormat="1" applyFont="1" applyBorder="1" applyAlignment="1">
      <alignment vertical="center"/>
    </xf>
    <xf numFmtId="165" fontId="79" fillId="0" borderId="78" xfId="0" applyNumberFormat="1" applyFont="1" applyBorder="1" applyAlignment="1">
      <alignment vertical="center"/>
    </xf>
    <xf numFmtId="9" fontId="23" fillId="5" borderId="0" xfId="39" applyFont="1" applyFill="1" applyAlignment="1">
      <alignment vertical="center"/>
    </xf>
    <xf numFmtId="165" fontId="30" fillId="3" borderId="78" xfId="0" applyNumberFormat="1" applyFont="1" applyFill="1" applyBorder="1" applyAlignment="1">
      <alignment vertical="center"/>
    </xf>
    <xf numFmtId="0" fontId="32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71" fillId="0" borderId="18" xfId="0" applyFont="1" applyBorder="1" applyAlignment="1">
      <alignment vertical="center"/>
    </xf>
    <xf numFmtId="165" fontId="38" fillId="0" borderId="0" xfId="0" applyNumberFormat="1" applyFont="1" applyAlignment="1">
      <alignment vertical="center"/>
    </xf>
    <xf numFmtId="165" fontId="38" fillId="0" borderId="9" xfId="0" applyNumberFormat="1" applyFont="1" applyBorder="1" applyAlignment="1">
      <alignment vertical="center"/>
    </xf>
    <xf numFmtId="0" fontId="71" fillId="0" borderId="8" xfId="0" applyFont="1" applyBorder="1" applyAlignment="1">
      <alignment vertical="center"/>
    </xf>
    <xf numFmtId="165" fontId="71" fillId="0" borderId="0" xfId="0" applyNumberFormat="1" applyFont="1" applyAlignment="1">
      <alignment vertical="center"/>
    </xf>
    <xf numFmtId="165" fontId="71" fillId="0" borderId="9" xfId="0" applyNumberFormat="1" applyFont="1" applyBorder="1" applyAlignment="1">
      <alignment vertical="center"/>
    </xf>
    <xf numFmtId="0" fontId="38" fillId="0" borderId="10" xfId="0" applyFont="1" applyBorder="1" applyAlignment="1">
      <alignment vertical="center"/>
    </xf>
    <xf numFmtId="166" fontId="38" fillId="0" borderId="12" xfId="39" applyNumberFormat="1" applyFont="1" applyBorder="1" applyAlignment="1">
      <alignment vertical="center"/>
    </xf>
    <xf numFmtId="166" fontId="78" fillId="0" borderId="14" xfId="39" applyNumberFormat="1" applyFont="1" applyBorder="1" applyAlignment="1">
      <alignment vertical="center"/>
    </xf>
    <xf numFmtId="166" fontId="79" fillId="0" borderId="14" xfId="39" applyNumberFormat="1" applyFont="1" applyBorder="1" applyAlignment="1">
      <alignment vertical="center"/>
    </xf>
    <xf numFmtId="166" fontId="79" fillId="0" borderId="54" xfId="39" applyNumberFormat="1" applyFont="1" applyBorder="1" applyAlignment="1">
      <alignment vertical="center"/>
    </xf>
    <xf numFmtId="165" fontId="71" fillId="0" borderId="20" xfId="0" applyNumberFormat="1" applyFont="1" applyBorder="1" applyAlignment="1">
      <alignment vertical="center"/>
    </xf>
    <xf numFmtId="0" fontId="74" fillId="34" borderId="0" xfId="0" applyFont="1" applyFill="1" applyAlignment="1">
      <alignment vertical="center"/>
    </xf>
    <xf numFmtId="4" fontId="74" fillId="34" borderId="0" xfId="0" applyNumberFormat="1" applyFont="1" applyFill="1" applyAlignment="1">
      <alignment vertical="center"/>
    </xf>
    <xf numFmtId="2" fontId="78" fillId="0" borderId="14" xfId="0" applyNumberFormat="1" applyFont="1" applyBorder="1" applyAlignment="1">
      <alignment vertical="center"/>
    </xf>
    <xf numFmtId="2" fontId="78" fillId="0" borderId="54" xfId="0" applyNumberFormat="1" applyFont="1" applyBorder="1" applyAlignment="1">
      <alignment vertical="center"/>
    </xf>
    <xf numFmtId="17" fontId="0" fillId="0" borderId="0" xfId="0" applyNumberFormat="1" applyAlignment="1">
      <alignment vertical="center"/>
    </xf>
    <xf numFmtId="174" fontId="0" fillId="0" borderId="0" xfId="44" applyNumberFormat="1" applyFont="1" applyAlignment="1">
      <alignment vertical="center"/>
    </xf>
    <xf numFmtId="174" fontId="0" fillId="0" borderId="27" xfId="44" applyNumberFormat="1" applyFont="1" applyBorder="1" applyAlignment="1">
      <alignment vertical="center"/>
    </xf>
    <xf numFmtId="173" fontId="0" fillId="0" borderId="27" xfId="44" applyNumberFormat="1" applyFont="1" applyBorder="1" applyAlignment="1">
      <alignment vertical="center"/>
    </xf>
    <xf numFmtId="173" fontId="0" fillId="0" borderId="0" xfId="44" applyNumberFormat="1" applyFont="1" applyBorder="1" applyAlignment="1">
      <alignment vertical="center"/>
    </xf>
    <xf numFmtId="173" fontId="74" fillId="0" borderId="0" xfId="44" applyNumberFormat="1" applyFont="1" applyAlignment="1">
      <alignment vertical="center"/>
    </xf>
    <xf numFmtId="167" fontId="58" fillId="0" borderId="0" xfId="0" applyNumberFormat="1" applyFont="1" applyAlignment="1">
      <alignment vertical="center"/>
    </xf>
    <xf numFmtId="2" fontId="81" fillId="0" borderId="0" xfId="0" applyNumberFormat="1" applyFont="1" applyAlignment="1">
      <alignment vertical="center"/>
    </xf>
    <xf numFmtId="167" fontId="74" fillId="0" borderId="0" xfId="0" applyNumberFormat="1" applyFont="1" applyAlignment="1">
      <alignment vertical="center"/>
    </xf>
    <xf numFmtId="167" fontId="74" fillId="0" borderId="27" xfId="0" applyNumberFormat="1" applyFont="1" applyBorder="1" applyAlignment="1">
      <alignment vertical="center"/>
    </xf>
    <xf numFmtId="167" fontId="78" fillId="0" borderId="14" xfId="0" applyNumberFormat="1" applyFont="1" applyBorder="1" applyAlignment="1">
      <alignment vertical="center"/>
    </xf>
    <xf numFmtId="167" fontId="78" fillId="0" borderId="54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166" fontId="18" fillId="0" borderId="78" xfId="39" applyNumberFormat="1" applyFont="1" applyBorder="1" applyAlignment="1">
      <alignment vertical="center"/>
    </xf>
    <xf numFmtId="43" fontId="18" fillId="0" borderId="78" xfId="44" applyFont="1" applyBorder="1" applyAlignment="1">
      <alignment vertical="center"/>
    </xf>
    <xf numFmtId="43" fontId="0" fillId="0" borderId="0" xfId="44" applyFont="1" applyBorder="1" applyAlignment="1">
      <alignment vertical="center"/>
    </xf>
    <xf numFmtId="166" fontId="18" fillId="0" borderId="13" xfId="39" applyNumberFormat="1" applyFont="1" applyBorder="1" applyAlignment="1">
      <alignment vertical="center"/>
    </xf>
    <xf numFmtId="166" fontId="18" fillId="0" borderId="15" xfId="39" applyNumberFormat="1" applyFont="1" applyBorder="1" applyAlignment="1">
      <alignment vertical="center"/>
    </xf>
    <xf numFmtId="166" fontId="0" fillId="0" borderId="16" xfId="39" applyNumberFormat="1" applyFont="1" applyBorder="1" applyAlignment="1">
      <alignment vertical="center"/>
    </xf>
    <xf numFmtId="43" fontId="0" fillId="0" borderId="1" xfId="44" applyFont="1" applyBorder="1" applyAlignment="1">
      <alignment vertical="center"/>
    </xf>
    <xf numFmtId="0" fontId="94" fillId="0" borderId="1" xfId="0" applyFont="1" applyBorder="1" applyAlignment="1">
      <alignment vertical="center"/>
    </xf>
    <xf numFmtId="0" fontId="95" fillId="42" borderId="0" xfId="0" applyFont="1" applyFill="1" applyAlignment="1">
      <alignment vertical="center"/>
    </xf>
    <xf numFmtId="0" fontId="94" fillId="42" borderId="0" xfId="0" applyFont="1" applyFill="1" applyAlignment="1">
      <alignment vertical="center"/>
    </xf>
    <xf numFmtId="0" fontId="94" fillId="0" borderId="2" xfId="0" applyFont="1" applyBorder="1" applyAlignment="1">
      <alignment vertical="center"/>
    </xf>
    <xf numFmtId="10" fontId="0" fillId="0" borderId="0" xfId="39" applyNumberFormat="1" applyFont="1" applyAlignment="1">
      <alignment vertical="center"/>
    </xf>
    <xf numFmtId="173" fontId="0" fillId="0" borderId="11" xfId="44" applyNumberFormat="1" applyFont="1" applyBorder="1" applyAlignment="1">
      <alignment vertical="center"/>
    </xf>
    <xf numFmtId="173" fontId="0" fillId="0" borderId="38" xfId="44" applyNumberFormat="1" applyFont="1" applyBorder="1" applyAlignment="1">
      <alignment vertical="center"/>
    </xf>
    <xf numFmtId="0" fontId="32" fillId="43" borderId="0" xfId="1531" applyFont="1" applyFill="1" applyAlignment="1">
      <alignment vertical="center"/>
    </xf>
    <xf numFmtId="10" fontId="32" fillId="43" borderId="0" xfId="1534" applyNumberFormat="1" applyFont="1" applyFill="1" applyAlignment="1">
      <alignment vertical="center"/>
    </xf>
    <xf numFmtId="0" fontId="32" fillId="43" borderId="0" xfId="1531" applyFont="1" applyFill="1"/>
    <xf numFmtId="0" fontId="29" fillId="43" borderId="0" xfId="1531" applyFont="1" applyFill="1" applyAlignment="1">
      <alignment vertical="center"/>
    </xf>
    <xf numFmtId="0" fontId="32" fillId="43" borderId="0" xfId="1531" applyFont="1" applyFill="1" applyAlignment="1">
      <alignment vertical="center" wrapText="1"/>
    </xf>
    <xf numFmtId="167" fontId="32" fillId="43" borderId="0" xfId="1531" applyNumberFormat="1" applyFont="1" applyFill="1" applyAlignment="1">
      <alignment horizontal="right" vertical="center" wrapText="1"/>
    </xf>
    <xf numFmtId="165" fontId="23" fillId="43" borderId="0" xfId="1531" applyNumberFormat="1" applyFont="1" applyFill="1" applyAlignment="1">
      <alignment vertical="center"/>
    </xf>
    <xf numFmtId="165" fontId="32" fillId="43" borderId="0" xfId="1531" applyNumberFormat="1" applyFont="1" applyFill="1" applyAlignment="1">
      <alignment vertical="center"/>
    </xf>
    <xf numFmtId="165" fontId="32" fillId="43" borderId="0" xfId="1531" applyNumberFormat="1" applyFont="1" applyFill="1" applyAlignment="1">
      <alignment horizontal="right" vertical="center" wrapText="1"/>
    </xf>
    <xf numFmtId="0" fontId="32" fillId="43" borderId="0" xfId="1531" applyFont="1" applyFill="1" applyAlignment="1">
      <alignment horizontal="right" vertical="center" wrapText="1"/>
    </xf>
    <xf numFmtId="166" fontId="23" fillId="43" borderId="0" xfId="1534" applyNumberFormat="1" applyFont="1" applyFill="1" applyBorder="1" applyAlignment="1">
      <alignment vertical="center"/>
    </xf>
    <xf numFmtId="171" fontId="32" fillId="43" borderId="0" xfId="1531" applyNumberFormat="1" applyFont="1" applyFill="1" applyAlignment="1">
      <alignment vertical="center"/>
    </xf>
    <xf numFmtId="165" fontId="96" fillId="43" borderId="0" xfId="1531" applyNumberFormat="1" applyFont="1" applyFill="1" applyAlignment="1">
      <alignment vertical="center"/>
    </xf>
    <xf numFmtId="172" fontId="97" fillId="43" borderId="0" xfId="1531" applyNumberFormat="1" applyFont="1" applyFill="1" applyAlignment="1">
      <alignment vertical="center"/>
    </xf>
    <xf numFmtId="0" fontId="69" fillId="43" borderId="0" xfId="1532" applyFont="1" applyFill="1" applyAlignment="1">
      <alignment vertical="center"/>
    </xf>
    <xf numFmtId="172" fontId="69" fillId="43" borderId="49" xfId="1532" applyNumberFormat="1" applyFont="1" applyFill="1" applyBorder="1" applyAlignment="1">
      <alignment vertical="center"/>
    </xf>
    <xf numFmtId="0" fontId="58" fillId="43" borderId="0" xfId="1532" applyFont="1" applyFill="1" applyAlignment="1">
      <alignment vertical="center"/>
    </xf>
    <xf numFmtId="165" fontId="58" fillId="43" borderId="0" xfId="1532" applyNumberFormat="1" applyFont="1" applyFill="1" applyAlignment="1">
      <alignment vertical="center"/>
    </xf>
    <xf numFmtId="0" fontId="3" fillId="43" borderId="1" xfId="1532" applyFont="1" applyFill="1" applyBorder="1" applyAlignment="1">
      <alignment vertical="center"/>
    </xf>
    <xf numFmtId="165" fontId="3" fillId="43" borderId="1" xfId="1532" applyNumberFormat="1" applyFont="1" applyFill="1" applyBorder="1" applyAlignment="1">
      <alignment vertical="center"/>
    </xf>
    <xf numFmtId="0" fontId="3" fillId="43" borderId="0" xfId="1532" applyFont="1" applyFill="1" applyAlignment="1">
      <alignment vertical="center"/>
    </xf>
    <xf numFmtId="0" fontId="28" fillId="2" borderId="0" xfId="1532" applyFont="1" applyFill="1" applyAlignment="1">
      <alignment vertical="center"/>
    </xf>
    <xf numFmtId="0" fontId="23" fillId="2" borderId="1" xfId="1532" applyFont="1" applyFill="1" applyBorder="1" applyAlignment="1">
      <alignment vertical="center"/>
    </xf>
    <xf numFmtId="0" fontId="58" fillId="43" borderId="0" xfId="1532" applyFont="1" applyFill="1"/>
    <xf numFmtId="0" fontId="78" fillId="34" borderId="19" xfId="1536" applyFont="1" applyFill="1" applyBorder="1" applyAlignment="1">
      <alignment vertical="center"/>
    </xf>
    <xf numFmtId="0" fontId="78" fillId="34" borderId="19" xfId="1536" applyFont="1" applyFill="1" applyBorder="1" applyAlignment="1">
      <alignment horizontal="right" vertical="center"/>
    </xf>
    <xf numFmtId="0" fontId="81" fillId="43" borderId="0" xfId="1536" applyFont="1" applyFill="1"/>
    <xf numFmtId="0" fontId="81" fillId="43" borderId="0" xfId="1537" applyFont="1" applyFill="1"/>
    <xf numFmtId="174" fontId="58" fillId="43" borderId="0" xfId="1538" applyNumberFormat="1" applyFont="1" applyFill="1"/>
    <xf numFmtId="173" fontId="58" fillId="43" borderId="0" xfId="1538" applyNumberFormat="1" applyFont="1" applyFill="1"/>
    <xf numFmtId="165" fontId="34" fillId="3" borderId="13" xfId="1532" applyNumberFormat="1" applyFont="1" applyFill="1" applyBorder="1" applyAlignment="1">
      <alignment vertical="center"/>
    </xf>
    <xf numFmtId="165" fontId="34" fillId="3" borderId="78" xfId="1532" applyNumberFormat="1" applyFont="1" applyFill="1" applyBorder="1" applyAlignment="1">
      <alignment vertical="center"/>
    </xf>
    <xf numFmtId="173" fontId="34" fillId="3" borderId="78" xfId="1538" applyNumberFormat="1" applyFont="1" applyFill="1" applyBorder="1" applyAlignment="1">
      <alignment vertical="center"/>
    </xf>
    <xf numFmtId="173" fontId="74" fillId="43" borderId="0" xfId="1538" applyNumberFormat="1" applyFont="1" applyFill="1"/>
    <xf numFmtId="9" fontId="58" fillId="43" borderId="0" xfId="1539" applyFont="1" applyFill="1"/>
    <xf numFmtId="0" fontId="74" fillId="43" borderId="0" xfId="1536" applyFont="1" applyFill="1"/>
    <xf numFmtId="9" fontId="34" fillId="3" borderId="78" xfId="1539" applyFont="1" applyFill="1" applyBorder="1" applyAlignment="1">
      <alignment vertical="center"/>
    </xf>
    <xf numFmtId="0" fontId="98" fillId="43" borderId="0" xfId="1536" applyFont="1" applyFill="1"/>
    <xf numFmtId="173" fontId="98" fillId="43" borderId="0" xfId="1536" applyNumberFormat="1" applyFont="1" applyFill="1"/>
    <xf numFmtId="9" fontId="81" fillId="43" borderId="0" xfId="1540" applyFont="1" applyFill="1" applyBorder="1"/>
    <xf numFmtId="0" fontId="99" fillId="43" borderId="0" xfId="1536" applyFont="1" applyFill="1"/>
    <xf numFmtId="173" fontId="58" fillId="43" borderId="0" xfId="1533" applyNumberFormat="1" applyFont="1" applyFill="1"/>
    <xf numFmtId="173" fontId="34" fillId="3" borderId="78" xfId="1533" applyNumberFormat="1" applyFont="1" applyFill="1" applyBorder="1" applyAlignment="1">
      <alignment vertical="center"/>
    </xf>
    <xf numFmtId="173" fontId="74" fillId="43" borderId="0" xfId="1533" applyNumberFormat="1" applyFont="1" applyFill="1"/>
    <xf numFmtId="0" fontId="32" fillId="0" borderId="0" xfId="1531" applyFont="1"/>
    <xf numFmtId="0" fontId="100" fillId="3" borderId="5" xfId="1532" applyFont="1" applyFill="1" applyBorder="1" applyAlignment="1">
      <alignment horizontal="left" vertical="center"/>
    </xf>
    <xf numFmtId="0" fontId="30" fillId="3" borderId="6" xfId="1532" applyFont="1" applyFill="1" applyBorder="1" applyAlignment="1">
      <alignment horizontal="center" vertical="center"/>
    </xf>
    <xf numFmtId="0" fontId="81" fillId="0" borderId="0" xfId="1537" applyFont="1"/>
    <xf numFmtId="0" fontId="100" fillId="43" borderId="0" xfId="1532" applyFont="1" applyFill="1" applyAlignment="1">
      <alignment horizontal="left" vertical="center"/>
    </xf>
    <xf numFmtId="0" fontId="30" fillId="43" borderId="0" xfId="1532" applyFont="1" applyFill="1" applyAlignment="1">
      <alignment horizontal="center" vertical="center"/>
    </xf>
    <xf numFmtId="0" fontId="78" fillId="34" borderId="19" xfId="1537" applyFont="1" applyFill="1" applyBorder="1" applyAlignment="1">
      <alignment vertical="center"/>
    </xf>
    <xf numFmtId="0" fontId="78" fillId="34" borderId="19" xfId="1537" applyFont="1" applyFill="1" applyBorder="1" applyAlignment="1">
      <alignment horizontal="right" vertical="center"/>
    </xf>
    <xf numFmtId="0" fontId="99" fillId="0" borderId="0" xfId="1537" applyFont="1"/>
    <xf numFmtId="0" fontId="99" fillId="43" borderId="0" xfId="1537" applyFont="1" applyFill="1"/>
    <xf numFmtId="174" fontId="99" fillId="43" borderId="0" xfId="1537" applyNumberFormat="1" applyFont="1" applyFill="1"/>
    <xf numFmtId="173" fontId="99" fillId="43" borderId="0" xfId="1537" applyNumberFormat="1" applyFont="1" applyFill="1"/>
    <xf numFmtId="0" fontId="99" fillId="44" borderId="0" xfId="1537" applyFont="1" applyFill="1"/>
    <xf numFmtId="0" fontId="58" fillId="43" borderId="0" xfId="1537" applyFont="1" applyFill="1"/>
    <xf numFmtId="0" fontId="58" fillId="43" borderId="0" xfId="1537" applyFont="1" applyFill="1" applyAlignment="1">
      <alignment vertical="center"/>
    </xf>
    <xf numFmtId="173" fontId="58" fillId="43" borderId="0" xfId="1538" applyNumberFormat="1" applyFont="1" applyFill="1" applyBorder="1" applyAlignment="1">
      <alignment vertical="center"/>
    </xf>
    <xf numFmtId="0" fontId="58" fillId="0" borderId="0" xfId="1537" applyFont="1"/>
    <xf numFmtId="0" fontId="58" fillId="43" borderId="11" xfId="1537" applyFont="1" applyFill="1" applyBorder="1" applyAlignment="1">
      <alignment vertical="center"/>
    </xf>
    <xf numFmtId="0" fontId="58" fillId="43" borderId="11" xfId="1537" applyFont="1" applyFill="1" applyBorder="1"/>
    <xf numFmtId="173" fontId="58" fillId="43" borderId="11" xfId="1538" applyNumberFormat="1" applyFont="1" applyFill="1" applyBorder="1" applyAlignment="1">
      <alignment vertical="center"/>
    </xf>
    <xf numFmtId="0" fontId="81" fillId="43" borderId="0" xfId="1537" applyFont="1" applyFill="1" applyAlignment="1">
      <alignment vertical="center"/>
    </xf>
    <xf numFmtId="174" fontId="58" fillId="43" borderId="0" xfId="1538" applyNumberFormat="1" applyFont="1" applyFill="1" applyBorder="1" applyAlignment="1">
      <alignment vertical="center"/>
    </xf>
    <xf numFmtId="0" fontId="81" fillId="44" borderId="0" xfId="1537" applyFont="1" applyFill="1"/>
    <xf numFmtId="174" fontId="58" fillId="43" borderId="11" xfId="1538" applyNumberFormat="1" applyFont="1" applyFill="1" applyBorder="1" applyAlignment="1">
      <alignment vertical="center"/>
    </xf>
    <xf numFmtId="9" fontId="58" fillId="43" borderId="0" xfId="1539" applyFont="1" applyFill="1" applyBorder="1" applyAlignment="1">
      <alignment vertical="center"/>
    </xf>
    <xf numFmtId="9" fontId="58" fillId="43" borderId="11" xfId="1539" applyFont="1" applyFill="1" applyBorder="1" applyAlignment="1">
      <alignment vertical="center"/>
    </xf>
    <xf numFmtId="0" fontId="29" fillId="34" borderId="3" xfId="1532" applyFont="1" applyFill="1" applyBorder="1" applyAlignment="1">
      <alignment vertical="center"/>
    </xf>
    <xf numFmtId="0" fontId="32" fillId="34" borderId="2" xfId="1532" applyFont="1" applyFill="1" applyBorder="1" applyAlignment="1">
      <alignment vertical="center"/>
    </xf>
    <xf numFmtId="0" fontId="32" fillId="34" borderId="4" xfId="1532" applyFont="1" applyFill="1" applyBorder="1" applyAlignment="1">
      <alignment vertical="center"/>
    </xf>
    <xf numFmtId="0" fontId="32" fillId="34" borderId="8" xfId="1532" applyFont="1" applyFill="1" applyBorder="1" applyAlignment="1">
      <alignment vertical="center"/>
    </xf>
    <xf numFmtId="0" fontId="32" fillId="34" borderId="0" xfId="1532" applyFont="1" applyFill="1" applyAlignment="1">
      <alignment vertical="center"/>
    </xf>
    <xf numFmtId="0" fontId="32" fillId="34" borderId="9" xfId="1532" applyFont="1" applyFill="1" applyBorder="1" applyAlignment="1">
      <alignment vertical="center"/>
    </xf>
    <xf numFmtId="0" fontId="102" fillId="34" borderId="8" xfId="1541" applyFont="1" applyFill="1" applyBorder="1" applyAlignment="1">
      <alignment vertical="center"/>
    </xf>
    <xf numFmtId="0" fontId="102" fillId="34" borderId="0" xfId="1541" applyFont="1" applyFill="1" applyAlignment="1">
      <alignment vertical="center"/>
    </xf>
    <xf numFmtId="0" fontId="103" fillId="34" borderId="8" xfId="1537" applyFont="1" applyFill="1" applyBorder="1" applyAlignment="1">
      <alignment vertical="center"/>
    </xf>
    <xf numFmtId="0" fontId="23" fillId="34" borderId="0" xfId="1537" applyFont="1" applyFill="1" applyAlignment="1">
      <alignment vertical="center"/>
    </xf>
    <xf numFmtId="0" fontId="2" fillId="34" borderId="0" xfId="1537" applyFill="1" applyAlignment="1">
      <alignment vertical="center"/>
    </xf>
    <xf numFmtId="0" fontId="23" fillId="34" borderId="16" xfId="1537" applyFont="1" applyFill="1" applyBorder="1" applyAlignment="1">
      <alignment vertical="center"/>
    </xf>
    <xf numFmtId="0" fontId="23" fillId="34" borderId="1" xfId="1537" applyFont="1" applyFill="1" applyBorder="1" applyAlignment="1">
      <alignment vertical="center"/>
    </xf>
    <xf numFmtId="0" fontId="2" fillId="34" borderId="1" xfId="1537" applyFill="1" applyBorder="1" applyAlignment="1">
      <alignment vertical="center"/>
    </xf>
    <xf numFmtId="0" fontId="32" fillId="34" borderId="1" xfId="1532" applyFont="1" applyFill="1" applyBorder="1" applyAlignment="1">
      <alignment vertical="center"/>
    </xf>
    <xf numFmtId="0" fontId="32" fillId="34" borderId="17" xfId="1532" applyFont="1" applyFill="1" applyBorder="1" applyAlignment="1">
      <alignment vertical="center"/>
    </xf>
    <xf numFmtId="0" fontId="29" fillId="43" borderId="1" xfId="1531" applyFont="1" applyFill="1" applyBorder="1" applyAlignment="1">
      <alignment vertical="center"/>
    </xf>
    <xf numFmtId="172" fontId="97" fillId="43" borderId="1" xfId="1531" applyNumberFormat="1" applyFont="1" applyFill="1" applyBorder="1" applyAlignment="1">
      <alignment vertical="center"/>
    </xf>
    <xf numFmtId="0" fontId="32" fillId="43" borderId="1" xfId="1531" applyFont="1" applyFill="1" applyBorder="1" applyAlignment="1">
      <alignment vertical="center"/>
    </xf>
    <xf numFmtId="165" fontId="32" fillId="43" borderId="1" xfId="1531" applyNumberFormat="1" applyFont="1" applyFill="1" applyBorder="1" applyAlignment="1">
      <alignment vertical="center"/>
    </xf>
    <xf numFmtId="171" fontId="32" fillId="43" borderId="1" xfId="1531" applyNumberFormat="1" applyFont="1" applyFill="1" applyBorder="1" applyAlignment="1">
      <alignment vertical="center"/>
    </xf>
    <xf numFmtId="165" fontId="96" fillId="43" borderId="1" xfId="1531" applyNumberFormat="1" applyFont="1" applyFill="1" applyBorder="1" applyAlignment="1">
      <alignment vertical="center"/>
    </xf>
    <xf numFmtId="0" fontId="104" fillId="2" borderId="0" xfId="1532" applyFont="1" applyFill="1" applyAlignment="1">
      <alignment vertical="center"/>
    </xf>
    <xf numFmtId="0" fontId="3" fillId="2" borderId="0" xfId="1532" applyFont="1" applyFill="1" applyAlignment="1">
      <alignment vertical="center"/>
    </xf>
    <xf numFmtId="0" fontId="3" fillId="0" borderId="0" xfId="1532" applyFont="1" applyAlignment="1">
      <alignment vertical="center"/>
    </xf>
    <xf numFmtId="0" fontId="58" fillId="0" borderId="0" xfId="1532" applyFont="1" applyAlignment="1">
      <alignment vertical="center"/>
    </xf>
    <xf numFmtId="0" fontId="3" fillId="2" borderId="1" xfId="1532" applyFont="1" applyFill="1" applyBorder="1" applyAlignment="1">
      <alignment vertical="center"/>
    </xf>
    <xf numFmtId="0" fontId="58" fillId="0" borderId="0" xfId="1532" applyFont="1"/>
    <xf numFmtId="0" fontId="28" fillId="2" borderId="2" xfId="1531" applyFont="1" applyFill="1" applyBorder="1" applyAlignment="1">
      <alignment vertical="center"/>
    </xf>
    <xf numFmtId="0" fontId="23" fillId="2" borderId="2" xfId="1531" applyFont="1" applyFill="1" applyBorder="1" applyAlignment="1">
      <alignment vertical="center"/>
    </xf>
    <xf numFmtId="0" fontId="32" fillId="0" borderId="0" xfId="1531" applyFont="1" applyAlignment="1">
      <alignment vertical="center"/>
    </xf>
    <xf numFmtId="0" fontId="23" fillId="2" borderId="1" xfId="1531" applyFont="1" applyFill="1" applyBorder="1" applyAlignment="1">
      <alignment vertical="center"/>
    </xf>
    <xf numFmtId="0" fontId="23" fillId="43" borderId="2" xfId="1531" applyFont="1" applyFill="1" applyBorder="1" applyAlignment="1">
      <alignment vertical="center"/>
    </xf>
    <xf numFmtId="0" fontId="23" fillId="43" borderId="0" xfId="1531" applyFont="1" applyFill="1" applyAlignment="1">
      <alignment vertical="center"/>
    </xf>
    <xf numFmtId="0" fontId="30" fillId="3" borderId="5" xfId="1531" applyFont="1" applyFill="1" applyBorder="1" applyAlignment="1">
      <alignment horizontal="center" vertical="center"/>
    </xf>
    <xf numFmtId="0" fontId="30" fillId="3" borderId="6" xfId="1531" applyFont="1" applyFill="1" applyBorder="1" applyAlignment="1">
      <alignment horizontal="center" vertical="center"/>
    </xf>
    <xf numFmtId="0" fontId="23" fillId="43" borderId="8" xfId="1531" applyFont="1" applyFill="1" applyBorder="1" applyAlignment="1">
      <alignment vertical="center"/>
    </xf>
    <xf numFmtId="165" fontId="23" fillId="43" borderId="8" xfId="1531" applyNumberFormat="1" applyFont="1" applyFill="1" applyBorder="1" applyAlignment="1">
      <alignment vertical="center"/>
    </xf>
    <xf numFmtId="173" fontId="23" fillId="43" borderId="0" xfId="1533" applyNumberFormat="1" applyFont="1" applyFill="1" applyAlignment="1">
      <alignment vertical="center"/>
    </xf>
    <xf numFmtId="165" fontId="105" fillId="43" borderId="13" xfId="1531" applyNumberFormat="1" applyFont="1" applyFill="1" applyBorder="1" applyAlignment="1">
      <alignment vertical="center"/>
    </xf>
    <xf numFmtId="165" fontId="105" fillId="43" borderId="78" xfId="1531" applyNumberFormat="1" applyFont="1" applyFill="1" applyBorder="1" applyAlignment="1">
      <alignment vertical="center"/>
    </xf>
    <xf numFmtId="173" fontId="105" fillId="43" borderId="78" xfId="1533" applyNumberFormat="1" applyFont="1" applyFill="1" applyBorder="1" applyAlignment="1">
      <alignment vertical="center"/>
    </xf>
    <xf numFmtId="165" fontId="105" fillId="43" borderId="8" xfId="1531" applyNumberFormat="1" applyFont="1" applyFill="1" applyBorder="1" applyAlignment="1">
      <alignment vertical="center"/>
    </xf>
    <xf numFmtId="165" fontId="105" fillId="43" borderId="0" xfId="1531" applyNumberFormat="1" applyFont="1" applyFill="1" applyAlignment="1">
      <alignment vertical="center"/>
    </xf>
    <xf numFmtId="173" fontId="105" fillId="43" borderId="0" xfId="1533" applyNumberFormat="1" applyFont="1" applyFill="1" applyBorder="1" applyAlignment="1">
      <alignment vertical="center"/>
    </xf>
    <xf numFmtId="0" fontId="106" fillId="43" borderId="0" xfId="1531" applyFont="1" applyFill="1" applyAlignment="1">
      <alignment vertical="center"/>
    </xf>
    <xf numFmtId="173" fontId="106" fillId="43" borderId="0" xfId="1531" applyNumberFormat="1" applyFont="1" applyFill="1" applyAlignment="1">
      <alignment vertical="center"/>
    </xf>
    <xf numFmtId="9" fontId="23" fillId="43" borderId="0" xfId="1534" applyFont="1" applyFill="1" applyAlignment="1">
      <alignment vertical="center"/>
    </xf>
    <xf numFmtId="9" fontId="105" fillId="43" borderId="78" xfId="1534" applyFont="1" applyFill="1" applyBorder="1" applyAlignment="1">
      <alignment vertical="center"/>
    </xf>
    <xf numFmtId="173" fontId="58" fillId="43" borderId="0" xfId="1533" applyNumberFormat="1" applyFont="1" applyFill="1" applyAlignment="1">
      <alignment vertical="center"/>
    </xf>
    <xf numFmtId="165" fontId="30" fillId="3" borderId="13" xfId="1531" applyNumberFormat="1" applyFont="1" applyFill="1" applyBorder="1" applyAlignment="1">
      <alignment vertical="center"/>
    </xf>
    <xf numFmtId="165" fontId="30" fillId="3" borderId="78" xfId="1531" applyNumberFormat="1" applyFont="1" applyFill="1" applyBorder="1" applyAlignment="1">
      <alignment vertical="center"/>
    </xf>
    <xf numFmtId="0" fontId="32" fillId="43" borderId="8" xfId="1531" applyFont="1" applyFill="1" applyBorder="1" applyAlignment="1">
      <alignment vertical="center"/>
    </xf>
    <xf numFmtId="173" fontId="32" fillId="43" borderId="0" xfId="1538" applyNumberFormat="1" applyFont="1" applyFill="1" applyAlignment="1">
      <alignment vertical="center"/>
    </xf>
    <xf numFmtId="173" fontId="30" fillId="3" borderId="78" xfId="1538" applyNumberFormat="1" applyFont="1" applyFill="1" applyBorder="1" applyAlignment="1">
      <alignment vertical="center"/>
    </xf>
    <xf numFmtId="166" fontId="38" fillId="43" borderId="8" xfId="1534" applyNumberFormat="1" applyFont="1" applyFill="1" applyBorder="1" applyAlignment="1">
      <alignment vertical="center"/>
    </xf>
    <xf numFmtId="166" fontId="38" fillId="43" borderId="0" xfId="1534" applyNumberFormat="1" applyFont="1" applyFill="1" applyBorder="1" applyAlignment="1">
      <alignment vertical="center"/>
    </xf>
    <xf numFmtId="174" fontId="81" fillId="43" borderId="0" xfId="1533" applyNumberFormat="1" applyFont="1" applyFill="1"/>
    <xf numFmtId="173" fontId="81" fillId="43" borderId="0" xfId="1533" applyNumberFormat="1" applyFont="1" applyFill="1"/>
    <xf numFmtId="10" fontId="34" fillId="3" borderId="78" xfId="1539" applyNumberFormat="1" applyFont="1" applyFill="1" applyBorder="1" applyAlignment="1">
      <alignment vertical="center"/>
    </xf>
    <xf numFmtId="0" fontId="81" fillId="43" borderId="0" xfId="1542" applyFont="1" applyFill="1"/>
    <xf numFmtId="0" fontId="98" fillId="43" borderId="0" xfId="1542" applyFont="1" applyFill="1"/>
    <xf numFmtId="173" fontId="98" fillId="43" borderId="0" xfId="1542" applyNumberFormat="1" applyFont="1" applyFill="1"/>
    <xf numFmtId="0" fontId="107" fillId="45" borderId="8" xfId="0" applyFont="1" applyFill="1" applyBorder="1" applyAlignment="1">
      <alignment vertical="center"/>
    </xf>
    <xf numFmtId="166" fontId="79" fillId="0" borderId="0" xfId="39" applyNumberFormat="1" applyFont="1" applyFill="1" applyBorder="1" applyAlignment="1">
      <alignment vertical="center"/>
    </xf>
    <xf numFmtId="4" fontId="81" fillId="34" borderId="0" xfId="0" applyNumberFormat="1" applyFont="1" applyFill="1" applyAlignment="1">
      <alignment horizontal="center" vertical="center"/>
    </xf>
    <xf numFmtId="4" fontId="81" fillId="34" borderId="27" xfId="0" applyNumberFormat="1" applyFont="1" applyFill="1" applyBorder="1" applyAlignment="1">
      <alignment horizontal="center" vertical="center"/>
    </xf>
    <xf numFmtId="4" fontId="84" fillId="38" borderId="14" xfId="0" applyNumberFormat="1" applyFont="1" applyFill="1" applyBorder="1" applyAlignment="1">
      <alignment horizontal="center" vertical="center"/>
    </xf>
    <xf numFmtId="4" fontId="84" fillId="38" borderId="54" xfId="0" applyNumberFormat="1" applyFont="1" applyFill="1" applyBorder="1" applyAlignment="1">
      <alignment horizontal="center" vertical="center"/>
    </xf>
    <xf numFmtId="165" fontId="0" fillId="0" borderId="7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21" fillId="0" borderId="64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21" fillId="0" borderId="14" xfId="0" applyNumberFormat="1" applyFont="1" applyBorder="1" applyAlignment="1">
      <alignment horizontal="center" vertical="center"/>
    </xf>
    <xf numFmtId="165" fontId="21" fillId="7" borderId="64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1" fillId="31" borderId="5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" fontId="18" fillId="37" borderId="66" xfId="0" applyNumberFormat="1" applyFont="1" applyFill="1" applyBorder="1" applyAlignment="1">
      <alignment horizontal="center" vertical="center"/>
    </xf>
    <xf numFmtId="0" fontId="18" fillId="37" borderId="6" xfId="0" applyFont="1" applyFill="1" applyBorder="1" applyAlignment="1">
      <alignment horizontal="center" vertical="center"/>
    </xf>
    <xf numFmtId="0" fontId="18" fillId="37" borderId="25" xfId="0" applyFont="1" applyFill="1" applyBorder="1" applyAlignment="1">
      <alignment vertical="center"/>
    </xf>
    <xf numFmtId="17" fontId="18" fillId="37" borderId="6" xfId="0" applyNumberFormat="1" applyFont="1" applyFill="1" applyBorder="1" applyAlignment="1">
      <alignment horizontal="center" vertical="center"/>
    </xf>
    <xf numFmtId="0" fontId="18" fillId="37" borderId="7" xfId="0" applyFont="1" applyFill="1" applyBorder="1" applyAlignment="1">
      <alignment vertical="center"/>
    </xf>
    <xf numFmtId="0" fontId="41" fillId="31" borderId="50" xfId="0" applyFont="1" applyFill="1" applyBorder="1" applyAlignment="1">
      <alignment horizontal="center" vertical="center"/>
    </xf>
    <xf numFmtId="0" fontId="41" fillId="31" borderId="51" xfId="0" applyFont="1" applyFill="1" applyBorder="1" applyAlignment="1">
      <alignment horizontal="center" vertical="center"/>
    </xf>
  </cellXfs>
  <cellStyles count="15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Comma" xfId="44" builtinId="3"/>
    <cellStyle name="Comma 2" xfId="1533" xr:uid="{A60BC6C9-74BB-2046-8D8D-4237101DFF52}"/>
    <cellStyle name="Comma 2 2" xfId="1538" xr:uid="{21C34E9C-069B-F546-99EC-BA1600D5A727}"/>
    <cellStyle name="Comma 3" xfId="1535" xr:uid="{C2C6F34A-DD6F-0545-A151-80FD1F110682}"/>
    <cellStyle name="Explanatory Text" xfId="28" xr:uid="{00000000-0005-0000-0000-00001C000000}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Good" xfId="29" xr:uid="{00000000-0005-0000-0000-000004030000}"/>
    <cellStyle name="Heading 1" xfId="30" xr:uid="{00000000-0005-0000-0000-000005030000}"/>
    <cellStyle name="Heading 2" xfId="31" xr:uid="{00000000-0005-0000-0000-000006030000}"/>
    <cellStyle name="Heading 3" xfId="32" xr:uid="{00000000-0005-0000-0000-000007030000}"/>
    <cellStyle name="Heading 4" xfId="33" xr:uid="{00000000-0005-0000-0000-000008030000}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Input" xfId="34" xr:uid="{00000000-0005-0000-0000-0000F0050000}"/>
    <cellStyle name="Linked Cell" xfId="35" xr:uid="{00000000-0005-0000-0000-0000F1050000}"/>
    <cellStyle name="Neutral" xfId="36" xr:uid="{00000000-0005-0000-0000-0000F2050000}"/>
    <cellStyle name="Normal" xfId="0" builtinId="0"/>
    <cellStyle name="Normal 2" xfId="1531" xr:uid="{61C7C9C5-B7D5-0E4E-A998-9DF4E4B79D47}"/>
    <cellStyle name="Normal 2 2 2" xfId="1537" xr:uid="{A197962E-9771-DB42-86DD-265D065C5807}"/>
    <cellStyle name="Normal 2 3" xfId="1536" xr:uid="{22427669-701B-9243-B1C1-FC2FB4658914}"/>
    <cellStyle name="Normal 2 3 2" xfId="1542" xr:uid="{10178E32-5AF7-AF46-9D0B-BA4BDC7D1A9B}"/>
    <cellStyle name="Normal 3" xfId="1532" xr:uid="{55DE185F-1198-4648-9A97-6A595408E09C}"/>
    <cellStyle name="Normal 4" xfId="1541" xr:uid="{71607930-4CC4-244B-A7AE-49E58A653DFB}"/>
    <cellStyle name="Note" xfId="37" xr:uid="{00000000-0005-0000-0000-0000F4050000}"/>
    <cellStyle name="Output" xfId="38" xr:uid="{00000000-0005-0000-0000-0000F5050000}"/>
    <cellStyle name="Per cent" xfId="39" builtinId="5"/>
    <cellStyle name="Per cent 2" xfId="1534" xr:uid="{715D789D-EFB0-0B43-8B5E-99ED7DF7E45F}"/>
    <cellStyle name="Per cent 2 2" xfId="1540" xr:uid="{244964F4-374E-114E-9BB2-5EEC17C8D5C9}"/>
    <cellStyle name="Per cent 3" xfId="1539" xr:uid="{CD90BCAA-006A-E141-AF9D-255BCCCB4E38}"/>
    <cellStyle name="Percent 18 8" xfId="40" xr:uid="{00000000-0005-0000-0000-0000F7050000}"/>
    <cellStyle name="Title" xfId="41" xr:uid="{00000000-0005-0000-0000-0000F8050000}"/>
    <cellStyle name="Total" xfId="42" xr:uid="{00000000-0005-0000-0000-0000F9050000}"/>
    <cellStyle name="Warning Text" xfId="43" xr:uid="{00000000-0005-0000-0000-0000FA05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r>
              <a:rPr lang="en-GB" sz="1680">
                <a:latin typeface="Apercu" panose="02000506040000020004" pitchFamily="2" charset="77"/>
              </a:rPr>
              <a:t>Total Land Gambling Market GGR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'Overview (LC)'!$E$19</c:f>
              <c:strCache>
                <c:ptCount val="1"/>
                <c:pt idx="0">
                  <c:v>Land Betting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'Overview (LC)'!$G$17:$AH$17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(LC)'!$G$19:$AH$19</c:f>
              <c:numCache>
                <c:formatCode>_(* #,##0_);_(* \(#,##0\);_(* "-"??_);_(@_)</c:formatCode>
                <c:ptCount val="28"/>
                <c:pt idx="0">
                  <c:v>1317.608468285237</c:v>
                </c:pt>
                <c:pt idx="1">
                  <c:v>1335.389817144553</c:v>
                </c:pt>
                <c:pt idx="2">
                  <c:v>1328.402016674426</c:v>
                </c:pt>
                <c:pt idx="3">
                  <c:v>1564.2098938074255</c:v>
                </c:pt>
                <c:pt idx="4">
                  <c:v>1506.2142561769626</c:v>
                </c:pt>
                <c:pt idx="5">
                  <c:v>1557.868609796456</c:v>
                </c:pt>
                <c:pt idx="6">
                  <c:v>1329.9455479215283</c:v>
                </c:pt>
                <c:pt idx="7">
                  <c:v>1266.330719</c:v>
                </c:pt>
                <c:pt idx="8">
                  <c:v>1092.0061716999999</c:v>
                </c:pt>
                <c:pt idx="9">
                  <c:v>814</c:v>
                </c:pt>
                <c:pt idx="10">
                  <c:v>818.8</c:v>
                </c:pt>
                <c:pt idx="11">
                  <c:v>959</c:v>
                </c:pt>
                <c:pt idx="12">
                  <c:v>855</c:v>
                </c:pt>
                <c:pt idx="13">
                  <c:v>924</c:v>
                </c:pt>
                <c:pt idx="14">
                  <c:v>1148</c:v>
                </c:pt>
                <c:pt idx="15">
                  <c:v>1217.1792881000001</c:v>
                </c:pt>
                <c:pt idx="16">
                  <c:v>1256.2500122000001</c:v>
                </c:pt>
                <c:pt idx="17">
                  <c:v>805.66058479057278</c:v>
                </c:pt>
                <c:pt idx="18">
                  <c:v>594.12543541637524</c:v>
                </c:pt>
                <c:pt idx="19">
                  <c:v>1298.4336948700002</c:v>
                </c:pt>
                <c:pt idx="20">
                  <c:v>1417.1433929663503</c:v>
                </c:pt>
                <c:pt idx="21">
                  <c:v>1490.3884447871599</c:v>
                </c:pt>
                <c:pt idx="22">
                  <c:v>1647.0037222782917</c:v>
                </c:pt>
                <c:pt idx="23">
                  <c:v>1656.5545495830095</c:v>
                </c:pt>
                <c:pt idx="24">
                  <c:v>1710.3392051760345</c:v>
                </c:pt>
                <c:pt idx="25">
                  <c:v>1760.3589908198819</c:v>
                </c:pt>
                <c:pt idx="26">
                  <c:v>1804.2206212923625</c:v>
                </c:pt>
                <c:pt idx="27">
                  <c:v>1944.1656404821888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23-C849-B5AA-9244F1BB76A7}"/>
            </c:ext>
          </c:extLst>
        </c:ser>
        <c:ser>
          <c:idx val="1"/>
          <c:order val="1"/>
          <c:tx>
            <c:strRef>
              <c:f>'Overview (LC)'!$E$20</c:f>
              <c:strCache>
                <c:ptCount val="1"/>
                <c:pt idx="0">
                  <c:v>Land Gaming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(LC)'!$G$17:$AH$17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(LC)'!$G$20:$AH$20</c:f>
              <c:numCache>
                <c:formatCode>_(* #,##0_);_(* \(#,##0\);_(* "-"??_);_(@_)</c:formatCode>
                <c:ptCount val="28"/>
                <c:pt idx="0">
                  <c:v>1159.7592699884126</c:v>
                </c:pt>
                <c:pt idx="1">
                  <c:v>2340.8988180764777</c:v>
                </c:pt>
                <c:pt idx="2">
                  <c:v>4017.2604322132097</c:v>
                </c:pt>
                <c:pt idx="3">
                  <c:v>5155.6101645422941</c:v>
                </c:pt>
                <c:pt idx="4">
                  <c:v>5994.4049999999997</c:v>
                </c:pt>
                <c:pt idx="5">
                  <c:v>6637.8459999999995</c:v>
                </c:pt>
                <c:pt idx="6">
                  <c:v>7177.78</c:v>
                </c:pt>
                <c:pt idx="7">
                  <c:v>8760.2164782608706</c:v>
                </c:pt>
                <c:pt idx="8">
                  <c:v>10091.263999999999</c:v>
                </c:pt>
                <c:pt idx="9">
                  <c:v>11166.225851342795</c:v>
                </c:pt>
                <c:pt idx="10">
                  <c:v>10307</c:v>
                </c:pt>
                <c:pt idx="11">
                  <c:v>10087.628063246008</c:v>
                </c:pt>
                <c:pt idx="12">
                  <c:v>10324</c:v>
                </c:pt>
                <c:pt idx="13">
                  <c:v>11251.303750636036</c:v>
                </c:pt>
                <c:pt idx="14">
                  <c:v>11310.288274863637</c:v>
                </c:pt>
                <c:pt idx="15">
                  <c:v>11044.680135870001</c:v>
                </c:pt>
                <c:pt idx="16">
                  <c:v>11075.539858558968</c:v>
                </c:pt>
                <c:pt idx="17">
                  <c:v>5168.6387078692142</c:v>
                </c:pt>
                <c:pt idx="18">
                  <c:v>5027.2541122339999</c:v>
                </c:pt>
                <c:pt idx="19">
                  <c:v>9206.4855368249991</c:v>
                </c:pt>
                <c:pt idx="20">
                  <c:v>9161.2154860808514</c:v>
                </c:pt>
                <c:pt idx="21">
                  <c:v>8769.6666536056728</c:v>
                </c:pt>
                <c:pt idx="22">
                  <c:v>8323.4650519280203</c:v>
                </c:pt>
                <c:pt idx="23">
                  <c:v>8012.7254418336006</c:v>
                </c:pt>
                <c:pt idx="24">
                  <c:v>7777.2383145300782</c:v>
                </c:pt>
                <c:pt idx="25">
                  <c:v>7622.8969553288771</c:v>
                </c:pt>
                <c:pt idx="26">
                  <c:v>7526.2710318408162</c:v>
                </c:pt>
                <c:pt idx="27">
                  <c:v>7474.5577446154839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23-C849-B5AA-9244F1BB76A7}"/>
            </c:ext>
          </c:extLst>
        </c:ser>
        <c:ser>
          <c:idx val="2"/>
          <c:order val="2"/>
          <c:tx>
            <c:strRef>
              <c:f>'Overview (LC)'!$E$21</c:f>
              <c:strCache>
                <c:ptCount val="1"/>
                <c:pt idx="0">
                  <c:v>Land Lottery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(LC)'!$G$17:$AH$17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(LC)'!$G$21:$AH$21</c:f>
              <c:numCache>
                <c:formatCode>_(* #,##0_);_(* \(#,##0\);_(* "-"??_);_(@_)</c:formatCode>
                <c:ptCount val="28"/>
                <c:pt idx="0">
                  <c:v>4837.583494642764</c:v>
                </c:pt>
                <c:pt idx="1">
                  <c:v>6972.3117955686721</c:v>
                </c:pt>
                <c:pt idx="2">
                  <c:v>5157.7037586161332</c:v>
                </c:pt>
                <c:pt idx="3">
                  <c:v>5547.207045627827</c:v>
                </c:pt>
                <c:pt idx="4">
                  <c:v>6357</c:v>
                </c:pt>
                <c:pt idx="5">
                  <c:v>6962</c:v>
                </c:pt>
                <c:pt idx="6">
                  <c:v>7541.1911202587271</c:v>
                </c:pt>
                <c:pt idx="7">
                  <c:v>6878.4308349999992</c:v>
                </c:pt>
                <c:pt idx="8">
                  <c:v>6978.4114690000006</c:v>
                </c:pt>
                <c:pt idx="9">
                  <c:v>5923</c:v>
                </c:pt>
                <c:pt idx="10">
                  <c:v>5644</c:v>
                </c:pt>
                <c:pt idx="11">
                  <c:v>5419</c:v>
                </c:pt>
                <c:pt idx="12">
                  <c:v>5401</c:v>
                </c:pt>
                <c:pt idx="13">
                  <c:v>6199</c:v>
                </c:pt>
                <c:pt idx="14">
                  <c:v>5442.1</c:v>
                </c:pt>
                <c:pt idx="15">
                  <c:v>5344.47</c:v>
                </c:pt>
                <c:pt idx="16">
                  <c:v>5496.15</c:v>
                </c:pt>
                <c:pt idx="17">
                  <c:v>4469.5499999999993</c:v>
                </c:pt>
                <c:pt idx="18">
                  <c:v>6219.59</c:v>
                </c:pt>
                <c:pt idx="19">
                  <c:v>6076.8600000000006</c:v>
                </c:pt>
                <c:pt idx="20">
                  <c:v>5824.6882238673825</c:v>
                </c:pt>
                <c:pt idx="21">
                  <c:v>6345.9203353775147</c:v>
                </c:pt>
                <c:pt idx="22">
                  <c:v>6502.1395610708205</c:v>
                </c:pt>
                <c:pt idx="23">
                  <c:v>6676.8400526829846</c:v>
                </c:pt>
                <c:pt idx="24">
                  <c:v>6877.6656023594387</c:v>
                </c:pt>
                <c:pt idx="25">
                  <c:v>7080.1394633857908</c:v>
                </c:pt>
                <c:pt idx="26">
                  <c:v>7293.8584180352373</c:v>
                </c:pt>
                <c:pt idx="27">
                  <c:v>7520.7887034084142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23-C849-B5AA-9244F1BB7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04624"/>
        <c:axId val="73545040"/>
      </c:barChart>
      <c:catAx>
        <c:axId val="7380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545040"/>
        <c:crosses val="autoZero"/>
        <c:auto val="1"/>
        <c:lblAlgn val="ctr"/>
        <c:lblOffset val="100"/>
        <c:noMultiLvlLbl val="0"/>
      </c:catAx>
      <c:valAx>
        <c:axId val="7354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80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sz="1200"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r>
              <a:rPr lang="en-GB" sz="1680">
                <a:latin typeface="Apercu" panose="02000506040000020004" pitchFamily="2" charset="77"/>
              </a:rPr>
              <a:t>Online Gambling Market by Product Split as % of Total Market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'Overview (Current € FX)'!$E$37</c:f>
              <c:strCache>
                <c:ptCount val="1"/>
                <c:pt idx="0">
                  <c:v>Online Betting</c:v>
                </c:pt>
              </c:strCache>
            </c:strRef>
          </c:tx>
          <c:spPr>
            <a:ln w="28575" cap="rnd">
              <a:solidFill>
                <a:schemeClr val="accent1">
                  <a:shade val="58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'Overview (Current € FX)'!$G$15:$AH$15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(Current € FX)'!$G$37:$AH$37</c:f>
              <c:numCache>
                <c:formatCode>0%</c:formatCode>
                <c:ptCount val="28"/>
                <c:pt idx="0">
                  <c:v>4.175071979124502E-2</c:v>
                </c:pt>
                <c:pt idx="1">
                  <c:v>4.8494441417135777E-2</c:v>
                </c:pt>
                <c:pt idx="2">
                  <c:v>6.4274971428694816E-2</c:v>
                </c:pt>
                <c:pt idx="3">
                  <c:v>6.3335762444172189E-2</c:v>
                </c:pt>
                <c:pt idx="4">
                  <c:v>0.10348430836858885</c:v>
                </c:pt>
                <c:pt idx="5">
                  <c:v>0.12392772523427527</c:v>
                </c:pt>
                <c:pt idx="6">
                  <c:v>0.1525409927151854</c:v>
                </c:pt>
                <c:pt idx="7">
                  <c:v>0.1808098904063955</c:v>
                </c:pt>
                <c:pt idx="8">
                  <c:v>0.19617800927436932</c:v>
                </c:pt>
                <c:pt idx="9">
                  <c:v>0.21364829297195909</c:v>
                </c:pt>
                <c:pt idx="10">
                  <c:v>0.23584803775844021</c:v>
                </c:pt>
                <c:pt idx="11">
                  <c:v>0.23190862481591673</c:v>
                </c:pt>
                <c:pt idx="12">
                  <c:v>0.28693926462130104</c:v>
                </c:pt>
                <c:pt idx="13">
                  <c:v>0.31925438848296395</c:v>
                </c:pt>
                <c:pt idx="14">
                  <c:v>0.35730045902435525</c:v>
                </c:pt>
                <c:pt idx="15">
                  <c:v>0.37849357873490191</c:v>
                </c:pt>
                <c:pt idx="16">
                  <c:v>0.40027582995997896</c:v>
                </c:pt>
                <c:pt idx="17">
                  <c:v>0.58722915369866169</c:v>
                </c:pt>
                <c:pt idx="18">
                  <c:v>0.73478180827082462</c:v>
                </c:pt>
                <c:pt idx="19">
                  <c:v>0.5449164040791874</c:v>
                </c:pt>
                <c:pt idx="20">
                  <c:v>0.54730631948605257</c:v>
                </c:pt>
                <c:pt idx="21">
                  <c:v>0.56026149526873681</c:v>
                </c:pt>
                <c:pt idx="22">
                  <c:v>0.56375566774647301</c:v>
                </c:pt>
                <c:pt idx="23">
                  <c:v>0.59258510787177399</c:v>
                </c:pt>
                <c:pt idx="24">
                  <c:v>0.60814930524971533</c:v>
                </c:pt>
                <c:pt idx="25">
                  <c:v>0.62388498254227875</c:v>
                </c:pt>
                <c:pt idx="26">
                  <c:v>0.6398139221209731</c:v>
                </c:pt>
                <c:pt idx="27">
                  <c:v>0.63697191983372714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689-DB41-A0CE-6EC9DBEA4196}"/>
            </c:ext>
          </c:extLst>
        </c:ser>
        <c:ser>
          <c:idx val="1"/>
          <c:order val="1"/>
          <c:tx>
            <c:strRef>
              <c:f>'Overview (Current € FX)'!$E$38</c:f>
              <c:strCache>
                <c:ptCount val="1"/>
                <c:pt idx="0">
                  <c:v>Online Gaming</c:v>
                </c:pt>
              </c:strCache>
            </c:strRef>
          </c:tx>
          <c:spPr>
            <a:ln w="28575" cap="rnd">
              <a:solidFill>
                <a:schemeClr val="tx2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'Overview (Current € FX)'!$G$15:$AH$15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(Current € FX)'!$G$38:$AH$38</c:f>
              <c:numCache>
                <c:formatCode>0%</c:formatCode>
                <c:ptCount val="28"/>
                <c:pt idx="0">
                  <c:v>1.6666954098672099E-2</c:v>
                </c:pt>
                <c:pt idx="1">
                  <c:v>2.929708314584225E-2</c:v>
                </c:pt>
                <c:pt idx="2">
                  <c:v>3.3549048395906465E-2</c:v>
                </c:pt>
                <c:pt idx="3">
                  <c:v>3.2941649781304268E-2</c:v>
                </c:pt>
                <c:pt idx="4">
                  <c:v>4.1511861535892258E-2</c:v>
                </c:pt>
                <c:pt idx="5">
                  <c:v>5.0006182033460425E-2</c:v>
                </c:pt>
                <c:pt idx="6">
                  <c:v>8.0305685990914727E-2</c:v>
                </c:pt>
                <c:pt idx="7">
                  <c:v>8.0694921544387649E-2</c:v>
                </c:pt>
                <c:pt idx="8">
                  <c:v>7.5928592455129035E-2</c:v>
                </c:pt>
                <c:pt idx="9">
                  <c:v>6.9543651252687452E-2</c:v>
                </c:pt>
                <c:pt idx="10">
                  <c:v>6.9966053616233273E-2</c:v>
                </c:pt>
                <c:pt idx="11">
                  <c:v>6.5320562061984694E-2</c:v>
                </c:pt>
                <c:pt idx="12">
                  <c:v>6.3550768528074689E-2</c:v>
                </c:pt>
                <c:pt idx="13">
                  <c:v>6.4477796303827217E-2</c:v>
                </c:pt>
                <c:pt idx="14">
                  <c:v>7.3975143648419797E-2</c:v>
                </c:pt>
                <c:pt idx="15">
                  <c:v>8.5458891395849487E-2</c:v>
                </c:pt>
                <c:pt idx="16">
                  <c:v>9.3386245788975836E-2</c:v>
                </c:pt>
                <c:pt idx="17">
                  <c:v>0.23878363278237802</c:v>
                </c:pt>
                <c:pt idx="18">
                  <c:v>0.29891614971577407</c:v>
                </c:pt>
                <c:pt idx="19">
                  <c:v>0.20466723847067828</c:v>
                </c:pt>
                <c:pt idx="20">
                  <c:v>0.22982253451199766</c:v>
                </c:pt>
                <c:pt idx="21">
                  <c:v>0.26407067518624616</c:v>
                </c:pt>
                <c:pt idx="22">
                  <c:v>0.29580448437037621</c:v>
                </c:pt>
                <c:pt idx="23">
                  <c:v>0.32453797421554043</c:v>
                </c:pt>
                <c:pt idx="24">
                  <c:v>0.35063770247185527</c:v>
                </c:pt>
                <c:pt idx="25">
                  <c:v>0.37430640740530607</c:v>
                </c:pt>
                <c:pt idx="26">
                  <c:v>0.39557926653049158</c:v>
                </c:pt>
                <c:pt idx="27">
                  <c:v>0.41469072078913294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689-DB41-A0CE-6EC9DBEA4196}"/>
            </c:ext>
          </c:extLst>
        </c:ser>
        <c:ser>
          <c:idx val="2"/>
          <c:order val="2"/>
          <c:tx>
            <c:strRef>
              <c:f>'Overview (Current € FX)'!$E$39</c:f>
              <c:strCache>
                <c:ptCount val="1"/>
                <c:pt idx="0">
                  <c:v>Online Lottery</c:v>
                </c:pt>
              </c:strCache>
            </c:strRef>
          </c:tx>
          <c:spPr>
            <a:ln w="28575" cap="rnd">
              <a:solidFill>
                <a:schemeClr val="accent1">
                  <a:tint val="86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'Overview (Current € FX)'!$G$15:$AH$15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(Current € FX)'!$G$39:$AH$39</c:f>
              <c:numCache>
                <c:formatCode>0%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5.0482170195782544E-4</c:v>
                </c:pt>
                <c:pt idx="7">
                  <c:v>1.534208883727682E-3</c:v>
                </c:pt>
                <c:pt idx="8">
                  <c:v>1.086248353850558E-3</c:v>
                </c:pt>
                <c:pt idx="9">
                  <c:v>2.1900269541778976E-3</c:v>
                </c:pt>
                <c:pt idx="10">
                  <c:v>2.2980378292381124E-3</c:v>
                </c:pt>
                <c:pt idx="11">
                  <c:v>3.1272994849153787E-3</c:v>
                </c:pt>
                <c:pt idx="12">
                  <c:v>3.3216460601587007E-3</c:v>
                </c:pt>
                <c:pt idx="13">
                  <c:v>4.8161823727725164E-3</c:v>
                </c:pt>
                <c:pt idx="14">
                  <c:v>6.9160583941605801E-3</c:v>
                </c:pt>
                <c:pt idx="15">
                  <c:v>9.046476528111011E-3</c:v>
                </c:pt>
                <c:pt idx="16">
                  <c:v>1.0462239794320037E-2</c:v>
                </c:pt>
                <c:pt idx="17">
                  <c:v>1.6922944953139681E-2</c:v>
                </c:pt>
                <c:pt idx="18">
                  <c:v>1.5275321521135768E-2</c:v>
                </c:pt>
                <c:pt idx="19">
                  <c:v>1.9488063198249656E-2</c:v>
                </c:pt>
                <c:pt idx="20">
                  <c:v>1.8586651412404061E-2</c:v>
                </c:pt>
                <c:pt idx="21">
                  <c:v>2.1461452348072497E-2</c:v>
                </c:pt>
                <c:pt idx="22">
                  <c:v>2.3143842778802416E-2</c:v>
                </c:pt>
                <c:pt idx="23">
                  <c:v>2.5045395252447023E-2</c:v>
                </c:pt>
                <c:pt idx="24">
                  <c:v>2.7239157906680141E-2</c:v>
                </c:pt>
                <c:pt idx="25">
                  <c:v>2.9730132274613689E-2</c:v>
                </c:pt>
                <c:pt idx="26">
                  <c:v>3.2579207377999707E-2</c:v>
                </c:pt>
                <c:pt idx="27">
                  <c:v>3.5843190817974414E-2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689-DB41-A0CE-6EC9DBEA4196}"/>
            </c:ext>
          </c:extLst>
        </c:ser>
        <c:ser>
          <c:idx val="3"/>
          <c:order val="3"/>
          <c:tx>
            <c:strRef>
              <c:f>'Overview (Current € FX)'!$E$40</c:f>
              <c:strCache>
                <c:ptCount val="1"/>
                <c:pt idx="0">
                  <c:v>Online Total</c:v>
                </c:pt>
              </c:strCache>
            </c:strRef>
          </c:tx>
          <c:spPr>
            <a:ln w="28575" cap="rnd">
              <a:solidFill>
                <a:schemeClr val="tx2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'Overview (Current € FX)'!$G$15:$AH$15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(Current € FX)'!$G$40:$AH$40</c:f>
              <c:numCache>
                <c:formatCode>0%</c:formatCode>
                <c:ptCount val="28"/>
                <c:pt idx="0">
                  <c:v>1.0425464590765649E-2</c:v>
                </c:pt>
                <c:pt idx="1">
                  <c:v>1.285870715357116E-2</c:v>
                </c:pt>
                <c:pt idx="2">
                  <c:v>2.1492482579416643E-2</c:v>
                </c:pt>
                <c:pt idx="3">
                  <c:v>2.242425759441085E-2</c:v>
                </c:pt>
                <c:pt idx="4">
                  <c:v>3.0331998840086014E-2</c:v>
                </c:pt>
                <c:pt idx="5">
                  <c:v>3.6228231148717205E-2</c:v>
                </c:pt>
                <c:pt idx="6">
                  <c:v>5.1418620132640834E-2</c:v>
                </c:pt>
                <c:pt idx="7">
                  <c:v>5.8952711054115953E-2</c:v>
                </c:pt>
                <c:pt idx="8">
                  <c:v>5.7268403949856668E-2</c:v>
                </c:pt>
                <c:pt idx="9">
                  <c:v>5.6332594290553019E-2</c:v>
                </c:pt>
                <c:pt idx="10">
                  <c:v>5.8453276201475453E-2</c:v>
                </c:pt>
                <c:pt idx="11">
                  <c:v>5.7877179931641723E-2</c:v>
                </c:pt>
                <c:pt idx="12">
                  <c:v>6.0233459481404066E-2</c:v>
                </c:pt>
                <c:pt idx="13">
                  <c:v>6.316158664238683E-2</c:v>
                </c:pt>
                <c:pt idx="14">
                  <c:v>8.1089937176385171E-2</c:v>
                </c:pt>
                <c:pt idx="15">
                  <c:v>9.378570871516119E-2</c:v>
                </c:pt>
                <c:pt idx="16">
                  <c:v>0.10256121957166126</c:v>
                </c:pt>
                <c:pt idx="17">
                  <c:v>0.21405667142465873</c:v>
                </c:pt>
                <c:pt idx="18">
                  <c:v>0.24708800118094407</c:v>
                </c:pt>
                <c:pt idx="19">
                  <c:v>0.19609169669338294</c:v>
                </c:pt>
                <c:pt idx="20">
                  <c:v>0.21742717001122816</c:v>
                </c:pt>
                <c:pt idx="21">
                  <c:v>0.23793685644366905</c:v>
                </c:pt>
                <c:pt idx="22">
                  <c:v>0.25970550650490004</c:v>
                </c:pt>
                <c:pt idx="23">
                  <c:v>0.28233964215331631</c:v>
                </c:pt>
                <c:pt idx="24">
                  <c:v>0.30098188310347923</c:v>
                </c:pt>
                <c:pt idx="25">
                  <c:v>0.31858419655801634</c:v>
                </c:pt>
                <c:pt idx="26">
                  <c:v>0.33504364800520603</c:v>
                </c:pt>
                <c:pt idx="27">
                  <c:v>0.34662228627961589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89-DB41-A0CE-6EC9DBEA4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804624"/>
        <c:axId val="73545040"/>
      </c:lineChart>
      <c:catAx>
        <c:axId val="7380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545040"/>
        <c:crosses val="autoZero"/>
        <c:auto val="1"/>
        <c:lblAlgn val="ctr"/>
        <c:lblOffset val="100"/>
        <c:noMultiLvlLbl val="0"/>
      </c:catAx>
      <c:valAx>
        <c:axId val="735450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80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sz="1200"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r>
              <a:rPr lang="en-GB" sz="1680">
                <a:latin typeface="Apercu" panose="02000506040000020004" pitchFamily="2" charset="77"/>
              </a:rPr>
              <a:t>Total Online Betting and Gaming Market GGR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'Overview (Current € FX)'!$E$32</c:f>
              <c:strCache>
                <c:ptCount val="1"/>
                <c:pt idx="0">
                  <c:v>Onshore Online Betting &amp; Gaming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(Current € FX)'!$G$15:$AH$15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(Current € FX)'!$G$32:$AH$32</c:f>
              <c:numCache>
                <c:formatCode>_(* #,##0_);_(* \(#,##0\);_(* "-"??_);_(@_)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72.785718440272575</c:v>
                </c:pt>
                <c:pt idx="5">
                  <c:v>207.77058469385315</c:v>
                </c:pt>
                <c:pt idx="6">
                  <c:v>491.09232455266374</c:v>
                </c:pt>
                <c:pt idx="7">
                  <c:v>662.3595874717123</c:v>
                </c:pt>
                <c:pt idx="8">
                  <c:v>717.88088617714618</c:v>
                </c:pt>
                <c:pt idx="9">
                  <c:v>730.75440480291331</c:v>
                </c:pt>
                <c:pt idx="10">
                  <c:v>713.20004764230077</c:v>
                </c:pt>
                <c:pt idx="11">
                  <c:v>711.00020196186301</c:v>
                </c:pt>
                <c:pt idx="12">
                  <c:v>803.99996438285405</c:v>
                </c:pt>
                <c:pt idx="13">
                  <c:v>990.0000511993984</c:v>
                </c:pt>
                <c:pt idx="14">
                  <c:v>1338.8804376118806</c:v>
                </c:pt>
                <c:pt idx="15">
                  <c:v>1572.9300519221686</c:v>
                </c:pt>
                <c:pt idx="16">
                  <c:v>1789.1022556524038</c:v>
                </c:pt>
                <c:pt idx="17">
                  <c:v>2594.3209570105923</c:v>
                </c:pt>
                <c:pt idx="18">
                  <c:v>3620.9419111201228</c:v>
                </c:pt>
                <c:pt idx="19">
                  <c:v>3759.38678407014</c:v>
                </c:pt>
                <c:pt idx="20">
                  <c:v>4282.8411214573525</c:v>
                </c:pt>
                <c:pt idx="21">
                  <c:v>4898.2183142005724</c:v>
                </c:pt>
                <c:pt idx="22">
                  <c:v>5489.6121966933715</c:v>
                </c:pt>
                <c:pt idx="23">
                  <c:v>6135.6338585248177</c:v>
                </c:pt>
                <c:pt idx="24">
                  <c:v>6743.9858980748822</c:v>
                </c:pt>
                <c:pt idx="25">
                  <c:v>7384.7082617017168</c:v>
                </c:pt>
                <c:pt idx="26">
                  <c:v>8051.6561804807188</c:v>
                </c:pt>
                <c:pt idx="27">
                  <c:v>8639.1158467263649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44-4947-AEDE-9AEBAD03AE6B}"/>
            </c:ext>
          </c:extLst>
        </c:ser>
        <c:ser>
          <c:idx val="1"/>
          <c:order val="1"/>
          <c:tx>
            <c:strRef>
              <c:f>'Overview (Current € FX)'!$E$33</c:f>
              <c:strCache>
                <c:ptCount val="1"/>
                <c:pt idx="0">
                  <c:v>Offshore Online Betting &amp; Gaming</c:v>
                </c:pt>
              </c:strCache>
            </c:strRef>
          </c:tx>
          <c:spPr>
            <a:solidFill>
              <a:schemeClr val="tx2">
                <a:lumMod val="90000"/>
                <a:lumOff val="10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(Current € FX)'!$G$15:$AH$15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(Current € FX)'!$G$33:$AH$33</c:f>
              <c:numCache>
                <c:formatCode>_(* #,##0_);_(* \(#,##0\);_(* "-"??_);_(@_)</c:formatCode>
                <c:ptCount val="28"/>
                <c:pt idx="0">
                  <c:v>77.065210084824926</c:v>
                </c:pt>
                <c:pt idx="1">
                  <c:v>138.71088599630514</c:v>
                </c:pt>
                <c:pt idx="2">
                  <c:v>230.70181933355417</c:v>
                </c:pt>
                <c:pt idx="3">
                  <c:v>281.38884001388828</c:v>
                </c:pt>
                <c:pt idx="4">
                  <c:v>360.69166156955788</c:v>
                </c:pt>
                <c:pt idx="5">
                  <c:v>362.00855689836999</c:v>
                </c:pt>
                <c:pt idx="6">
                  <c:v>375.04303470470842</c:v>
                </c:pt>
                <c:pt idx="7">
                  <c:v>386.09801466971203</c:v>
                </c:pt>
                <c:pt idx="8">
                  <c:v>377.80386100269732</c:v>
                </c:pt>
                <c:pt idx="9">
                  <c:v>324.98602375062302</c:v>
                </c:pt>
                <c:pt idx="10">
                  <c:v>314.905816921292</c:v>
                </c:pt>
                <c:pt idx="11">
                  <c:v>283.52861779822877</c:v>
                </c:pt>
                <c:pt idx="12">
                  <c:v>240.6796178875459</c:v>
                </c:pt>
                <c:pt idx="13">
                  <c:v>218.79440935875076</c:v>
                </c:pt>
                <c:pt idx="14">
                  <c:v>202.85382956917149</c:v>
                </c:pt>
                <c:pt idx="15">
                  <c:v>200.39000067567324</c:v>
                </c:pt>
                <c:pt idx="16">
                  <c:v>190.20291098534108</c:v>
                </c:pt>
                <c:pt idx="17">
                  <c:v>173.18894249794999</c:v>
                </c:pt>
                <c:pt idx="18">
                  <c:v>168.50613725396636</c:v>
                </c:pt>
                <c:pt idx="19">
                  <c:v>164.50913694433783</c:v>
                </c:pt>
                <c:pt idx="20">
                  <c:v>164.20921231190678</c:v>
                </c:pt>
                <c:pt idx="21">
                  <c:v>147.4387946812603</c:v>
                </c:pt>
                <c:pt idx="22">
                  <c:v>135.15572144091377</c:v>
                </c:pt>
                <c:pt idx="23">
                  <c:v>123.68306984345425</c:v>
                </c:pt>
                <c:pt idx="24">
                  <c:v>109.94000902595296</c:v>
                </c:pt>
                <c:pt idx="25">
                  <c:v>95.525286995113007</c:v>
                </c:pt>
                <c:pt idx="26">
                  <c:v>79.027214395734873</c:v>
                </c:pt>
                <c:pt idx="27">
                  <c:v>67.843271659680312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44-4947-AEDE-9AEBAD03A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04624"/>
        <c:axId val="73545040"/>
      </c:barChart>
      <c:catAx>
        <c:axId val="7380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545040"/>
        <c:crosses val="autoZero"/>
        <c:auto val="1"/>
        <c:lblAlgn val="ctr"/>
        <c:lblOffset val="100"/>
        <c:noMultiLvlLbl val="0"/>
      </c:catAx>
      <c:valAx>
        <c:axId val="7354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80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sz="1200"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r>
              <a:rPr lang="en-GB" sz="1680">
                <a:latin typeface="Apercu" panose="02000506040000020004" pitchFamily="2" charset="77"/>
              </a:rPr>
              <a:t>Total Online Betting and Gaming Onshore / Offshore Split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'Overview (Current € FX)'!$E$32</c:f>
              <c:strCache>
                <c:ptCount val="1"/>
                <c:pt idx="0">
                  <c:v>Onshore Online Betting &amp; Gaming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(Current € FX)'!$G$15:$AH$15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(Current € FX)'!$G$32:$AH$32</c:f>
              <c:numCache>
                <c:formatCode>_(* #,##0_);_(* \(#,##0\);_(* "-"??_);_(@_)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72.785718440272575</c:v>
                </c:pt>
                <c:pt idx="5">
                  <c:v>207.77058469385315</c:v>
                </c:pt>
                <c:pt idx="6">
                  <c:v>491.09232455266374</c:v>
                </c:pt>
                <c:pt idx="7">
                  <c:v>662.3595874717123</c:v>
                </c:pt>
                <c:pt idx="8">
                  <c:v>717.88088617714618</c:v>
                </c:pt>
                <c:pt idx="9">
                  <c:v>730.75440480291331</c:v>
                </c:pt>
                <c:pt idx="10">
                  <c:v>713.20004764230077</c:v>
                </c:pt>
                <c:pt idx="11">
                  <c:v>711.00020196186301</c:v>
                </c:pt>
                <c:pt idx="12">
                  <c:v>803.99996438285405</c:v>
                </c:pt>
                <c:pt idx="13">
                  <c:v>990.0000511993984</c:v>
                </c:pt>
                <c:pt idx="14">
                  <c:v>1338.8804376118806</c:v>
                </c:pt>
                <c:pt idx="15">
                  <c:v>1572.9300519221686</c:v>
                </c:pt>
                <c:pt idx="16">
                  <c:v>1789.1022556524038</c:v>
                </c:pt>
                <c:pt idx="17">
                  <c:v>2594.3209570105923</c:v>
                </c:pt>
                <c:pt idx="18">
                  <c:v>3620.9419111201228</c:v>
                </c:pt>
                <c:pt idx="19">
                  <c:v>3759.38678407014</c:v>
                </c:pt>
                <c:pt idx="20">
                  <c:v>4282.8411214573525</c:v>
                </c:pt>
                <c:pt idx="21">
                  <c:v>4898.2183142005724</c:v>
                </c:pt>
                <c:pt idx="22">
                  <c:v>5489.6121966933715</c:v>
                </c:pt>
                <c:pt idx="23">
                  <c:v>6135.6338585248177</c:v>
                </c:pt>
                <c:pt idx="24">
                  <c:v>6743.9858980748822</c:v>
                </c:pt>
                <c:pt idx="25">
                  <c:v>7384.7082617017168</c:v>
                </c:pt>
                <c:pt idx="26">
                  <c:v>8051.6561804807188</c:v>
                </c:pt>
                <c:pt idx="27">
                  <c:v>8639.1158467263649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EB-704F-9252-098064D246A9}"/>
            </c:ext>
          </c:extLst>
        </c:ser>
        <c:ser>
          <c:idx val="1"/>
          <c:order val="1"/>
          <c:tx>
            <c:strRef>
              <c:f>'Overview (Current € FX)'!$E$33</c:f>
              <c:strCache>
                <c:ptCount val="1"/>
                <c:pt idx="0">
                  <c:v>Offshore Online Betting &amp; Gaming</c:v>
                </c:pt>
              </c:strCache>
            </c:strRef>
          </c:tx>
          <c:spPr>
            <a:solidFill>
              <a:schemeClr val="tx2">
                <a:lumMod val="90000"/>
                <a:lumOff val="10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(Current € FX)'!$G$15:$AH$15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(Current € FX)'!$G$33:$AH$33</c:f>
              <c:numCache>
                <c:formatCode>_(* #,##0_);_(* \(#,##0\);_(* "-"??_);_(@_)</c:formatCode>
                <c:ptCount val="28"/>
                <c:pt idx="0">
                  <c:v>77.065210084824926</c:v>
                </c:pt>
                <c:pt idx="1">
                  <c:v>138.71088599630514</c:v>
                </c:pt>
                <c:pt idx="2">
                  <c:v>230.70181933355417</c:v>
                </c:pt>
                <c:pt idx="3">
                  <c:v>281.38884001388828</c:v>
                </c:pt>
                <c:pt idx="4">
                  <c:v>360.69166156955788</c:v>
                </c:pt>
                <c:pt idx="5">
                  <c:v>362.00855689836999</c:v>
                </c:pt>
                <c:pt idx="6">
                  <c:v>375.04303470470842</c:v>
                </c:pt>
                <c:pt idx="7">
                  <c:v>386.09801466971203</c:v>
                </c:pt>
                <c:pt idx="8">
                  <c:v>377.80386100269732</c:v>
                </c:pt>
                <c:pt idx="9">
                  <c:v>324.98602375062302</c:v>
                </c:pt>
                <c:pt idx="10">
                  <c:v>314.905816921292</c:v>
                </c:pt>
                <c:pt idx="11">
                  <c:v>283.52861779822877</c:v>
                </c:pt>
                <c:pt idx="12">
                  <c:v>240.6796178875459</c:v>
                </c:pt>
                <c:pt idx="13">
                  <c:v>218.79440935875076</c:v>
                </c:pt>
                <c:pt idx="14">
                  <c:v>202.85382956917149</c:v>
                </c:pt>
                <c:pt idx="15">
                  <c:v>200.39000067567324</c:v>
                </c:pt>
                <c:pt idx="16">
                  <c:v>190.20291098534108</c:v>
                </c:pt>
                <c:pt idx="17">
                  <c:v>173.18894249794999</c:v>
                </c:pt>
                <c:pt idx="18">
                  <c:v>168.50613725396636</c:v>
                </c:pt>
                <c:pt idx="19">
                  <c:v>164.50913694433783</c:v>
                </c:pt>
                <c:pt idx="20">
                  <c:v>164.20921231190678</c:v>
                </c:pt>
                <c:pt idx="21">
                  <c:v>147.4387946812603</c:v>
                </c:pt>
                <c:pt idx="22">
                  <c:v>135.15572144091377</c:v>
                </c:pt>
                <c:pt idx="23">
                  <c:v>123.68306984345425</c:v>
                </c:pt>
                <c:pt idx="24">
                  <c:v>109.94000902595296</c:v>
                </c:pt>
                <c:pt idx="25">
                  <c:v>95.525286995113007</c:v>
                </c:pt>
                <c:pt idx="26">
                  <c:v>79.027214395734873</c:v>
                </c:pt>
                <c:pt idx="27">
                  <c:v>67.843271659680312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EB-704F-9252-098064D24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04624"/>
        <c:axId val="73545040"/>
      </c:barChart>
      <c:catAx>
        <c:axId val="7380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545040"/>
        <c:crosses val="autoZero"/>
        <c:auto val="1"/>
        <c:lblAlgn val="ctr"/>
        <c:lblOffset val="100"/>
        <c:noMultiLvlLbl val="0"/>
      </c:catAx>
      <c:valAx>
        <c:axId val="7354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80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sz="1200"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strRef>
              <c:f>Annual!$BC$12:$CH$12</c:f>
              <c:strCache>
                <c:ptCount val="3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2024e</c:v>
                </c:pt>
                <c:pt idx="26">
                  <c:v>2025e</c:v>
                </c:pt>
                <c:pt idx="27">
                  <c:v>2026e</c:v>
                </c:pt>
                <c:pt idx="28">
                  <c:v>2027e</c:v>
                </c:pt>
                <c:pt idx="29">
                  <c:v>2028e</c:v>
                </c:pt>
                <c:pt idx="30">
                  <c:v>2029e</c:v>
                </c:pt>
                <c:pt idx="31">
                  <c:v>2030e</c:v>
                </c:pt>
              </c:strCache>
            </c:strRef>
          </c:cat>
          <c:val>
            <c:numRef>
              <c:f>Annual!$BC$92:$CH$92</c:f>
              <c:numCache>
                <c:formatCode>0.00</c:formatCode>
                <c:ptCount val="32"/>
                <c:pt idx="0">
                  <c:v>8.1912249226806235</c:v>
                </c:pt>
                <c:pt idx="1">
                  <c:v>6.9098457354603537</c:v>
                </c:pt>
                <c:pt idx="2">
                  <c:v>7.0771233096086563</c:v>
                </c:pt>
                <c:pt idx="3">
                  <c:v>7.4837594760184869</c:v>
                </c:pt>
                <c:pt idx="4">
                  <c:v>7.3920164385508835</c:v>
                </c:pt>
                <c:pt idx="5">
                  <c:v>10.787311307872034</c:v>
                </c:pt>
                <c:pt idx="6">
                  <c:v>10.734067976494858</c:v>
                </c:pt>
                <c:pt idx="7">
                  <c:v>12.548416017147904</c:v>
                </c:pt>
                <c:pt idx="8">
                  <c:v>14.291096787354556</c:v>
                </c:pt>
                <c:pt idx="9">
                  <c:v>15.727493893977513</c:v>
                </c:pt>
                <c:pt idx="10">
                  <c:v>16.918861163418985</c:v>
                </c:pt>
                <c:pt idx="11">
                  <c:v>17.964004817650569</c:v>
                </c:pt>
                <c:pt idx="12">
                  <c:v>19.264954857558408</c:v>
                </c:pt>
                <c:pt idx="13">
                  <c:v>18.971965909835781</c:v>
                </c:pt>
                <c:pt idx="14">
                  <c:v>17.810905795885343</c:v>
                </c:pt>
                <c:pt idx="15">
                  <c:v>17.477156600507033</c:v>
                </c:pt>
                <c:pt idx="16">
                  <c:v>17.64267962854964</c:v>
                </c:pt>
                <c:pt idx="17">
                  <c:v>19.613098148679491</c:v>
                </c:pt>
                <c:pt idx="18">
                  <c:v>19.480022038130215</c:v>
                </c:pt>
                <c:pt idx="19">
                  <c:v>19.428439380499711</c:v>
                </c:pt>
                <c:pt idx="20">
                  <c:v>19.865354896129922</c:v>
                </c:pt>
                <c:pt idx="21">
                  <c:v>13.288298167236913</c:v>
                </c:pt>
                <c:pt idx="22">
                  <c:v>15.726897122403363</c:v>
                </c:pt>
                <c:pt idx="23">
                  <c:v>20.626455981971088</c:v>
                </c:pt>
                <c:pt idx="24">
                  <c:v>20.960409656887691</c:v>
                </c:pt>
                <c:pt idx="25">
                  <c:v>21.790812971580021</c:v>
                </c:pt>
                <c:pt idx="26">
                  <c:v>22.25142626349437</c:v>
                </c:pt>
                <c:pt idx="27">
                  <c:v>22.776958299808545</c:v>
                </c:pt>
                <c:pt idx="28">
                  <c:v>23.411758188362068</c:v>
                </c:pt>
                <c:pt idx="29">
                  <c:v>24.160571748371932</c:v>
                </c:pt>
                <c:pt idx="30">
                  <c:v>25.000663609419242</c:v>
                </c:pt>
                <c:pt idx="31">
                  <c:v>25.926063489449579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96-664C-9114-06DEA9DE6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6295512"/>
        <c:axId val="1805801400"/>
      </c:barChart>
      <c:catAx>
        <c:axId val="1806295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805801400"/>
        <c:crosses val="autoZero"/>
        <c:auto val="1"/>
        <c:lblAlgn val="ctr"/>
        <c:lblOffset val="100"/>
        <c:noMultiLvlLbl val="0"/>
      </c:catAx>
      <c:valAx>
        <c:axId val="1805801400"/>
        <c:scaling>
          <c:orientation val="minMax"/>
          <c:max val="27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80629551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400">
          <a:latin typeface="Apercu" panose="02000506040000020004" pitchFamily="2" charset="77"/>
          <a:cs typeface="Arial" panose="020B0604020202020204" pitchFamily="34" charset="0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strRef>
              <c:f>Annual!$D$111:$AH$111</c:f>
              <c:strCache>
                <c:ptCount val="3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2024e</c:v>
                </c:pt>
                <c:pt idx="25">
                  <c:v>2025e</c:v>
                </c:pt>
                <c:pt idx="26">
                  <c:v>2026e</c:v>
                </c:pt>
                <c:pt idx="27">
                  <c:v>2027e</c:v>
                </c:pt>
                <c:pt idx="28">
                  <c:v>2028e</c:v>
                </c:pt>
                <c:pt idx="29">
                  <c:v>2029e</c:v>
                </c:pt>
                <c:pt idx="30">
                  <c:v>2030e</c:v>
                </c:pt>
              </c:strCache>
            </c:strRef>
          </c:cat>
          <c:val>
            <c:numRef>
              <c:f>Annual!$D$144:$AH$144</c:f>
              <c:numCache>
                <c:formatCode>0</c:formatCode>
                <c:ptCount val="31"/>
                <c:pt idx="0">
                  <c:v>147.17844753938104</c:v>
                </c:pt>
                <c:pt idx="1">
                  <c:v>150.37994129567375</c:v>
                </c:pt>
                <c:pt idx="2">
                  <c:v>158.58705616688303</c:v>
                </c:pt>
                <c:pt idx="3">
                  <c:v>155.72454148197255</c:v>
                </c:pt>
                <c:pt idx="4">
                  <c:v>225.56596716787828</c:v>
                </c:pt>
                <c:pt idx="5">
                  <c:v>223.28149545263514</c:v>
                </c:pt>
                <c:pt idx="6">
                  <c:v>260.24919036641677</c:v>
                </c:pt>
                <c:pt idx="7">
                  <c:v>294.89798482076986</c:v>
                </c:pt>
                <c:pt idx="8">
                  <c:v>322.36487264564215</c:v>
                </c:pt>
                <c:pt idx="9">
                  <c:v>345.1773967856135</c:v>
                </c:pt>
                <c:pt idx="10">
                  <c:v>365.23376003259102</c:v>
                </c:pt>
                <c:pt idx="11">
                  <c:v>390.70775028435867</c:v>
                </c:pt>
                <c:pt idx="12">
                  <c:v>383.37912553701284</c:v>
                </c:pt>
                <c:pt idx="13">
                  <c:v>355.38623396398566</c:v>
                </c:pt>
                <c:pt idx="14">
                  <c:v>345.11461249281825</c:v>
                </c:pt>
                <c:pt idx="15">
                  <c:v>348.25230450948595</c:v>
                </c:pt>
                <c:pt idx="16">
                  <c:v>387.19590652292192</c:v>
                </c:pt>
                <c:pt idx="17">
                  <c:v>384.48248806425744</c:v>
                </c:pt>
                <c:pt idx="18">
                  <c:v>383.42661479560962</c:v>
                </c:pt>
                <c:pt idx="19">
                  <c:v>395.67976359340724</c:v>
                </c:pt>
                <c:pt idx="20">
                  <c:v>265.3307589347811</c:v>
                </c:pt>
                <c:pt idx="21">
                  <c:v>314.87402119228659</c:v>
                </c:pt>
                <c:pt idx="22">
                  <c:v>413.29434982682625</c:v>
                </c:pt>
                <c:pt idx="23">
                  <c:v>420.18931677339543</c:v>
                </c:pt>
                <c:pt idx="24">
                  <c:v>437.17952538083114</c:v>
                </c:pt>
                <c:pt idx="25">
                  <c:v>446.81015026250748</c:v>
                </c:pt>
                <c:pt idx="26">
                  <c:v>457.83708968829558</c:v>
                </c:pt>
                <c:pt idx="27">
                  <c:v>471.14192809425577</c:v>
                </c:pt>
                <c:pt idx="28">
                  <c:v>486.87502952282955</c:v>
                </c:pt>
                <c:pt idx="29">
                  <c:v>504.58884652382005</c:v>
                </c:pt>
                <c:pt idx="30">
                  <c:v>524.20173970016458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7A-904A-9791-2E42C5300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0404552"/>
        <c:axId val="1806627640"/>
      </c:barChart>
      <c:catAx>
        <c:axId val="1950404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806627640"/>
        <c:crosses val="autoZero"/>
        <c:auto val="1"/>
        <c:lblAlgn val="ctr"/>
        <c:lblOffset val="100"/>
        <c:noMultiLvlLbl val="0"/>
      </c:catAx>
      <c:valAx>
        <c:axId val="1806627640"/>
        <c:scaling>
          <c:orientation val="minMax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95040455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400">
          <a:latin typeface="Apercu" panose="02000506040000020004" pitchFamily="2" charset="77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strRef>
              <c:f>Annual!$D$111:$AH$111</c:f>
              <c:strCache>
                <c:ptCount val="3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2024e</c:v>
                </c:pt>
                <c:pt idx="25">
                  <c:v>2025e</c:v>
                </c:pt>
                <c:pt idx="26">
                  <c:v>2026e</c:v>
                </c:pt>
                <c:pt idx="27">
                  <c:v>2027e</c:v>
                </c:pt>
                <c:pt idx="28">
                  <c:v>2028e</c:v>
                </c:pt>
                <c:pt idx="29">
                  <c:v>2029e</c:v>
                </c:pt>
                <c:pt idx="30">
                  <c:v>2030e</c:v>
                </c:pt>
              </c:strCache>
            </c:strRef>
          </c:cat>
          <c:val>
            <c:numRef>
              <c:f>Annual!$D$145:$AH$145</c:f>
              <c:numCache>
                <c:formatCode>0.00%</c:formatCode>
                <c:ptCount val="31"/>
                <c:pt idx="0">
                  <c:v>5.565669711980515E-3</c:v>
                </c:pt>
                <c:pt idx="1">
                  <c:v>5.4266716683973046E-3</c:v>
                </c:pt>
                <c:pt idx="2">
                  <c:v>5.5424622061534022E-3</c:v>
                </c:pt>
                <c:pt idx="3">
                  <c:v>5.2823284201434654E-3</c:v>
                </c:pt>
                <c:pt idx="4">
                  <c:v>7.4019689807453045E-3</c:v>
                </c:pt>
                <c:pt idx="5">
                  <c:v>7.1604704884250855E-3</c:v>
                </c:pt>
                <c:pt idx="6">
                  <c:v>8.0445577416671608E-3</c:v>
                </c:pt>
                <c:pt idx="7">
                  <c:v>8.8123410091758194E-3</c:v>
                </c:pt>
                <c:pt idx="8">
                  <c:v>9.5682433933177782E-3</c:v>
                </c:pt>
                <c:pt idx="9">
                  <c:v>1.0680377754418725E-2</c:v>
                </c:pt>
                <c:pt idx="10">
                  <c:v>1.1102983056057917E-2</c:v>
                </c:pt>
                <c:pt idx="11">
                  <c:v>1.1623866637197189E-2</c:v>
                </c:pt>
                <c:pt idx="12">
                  <c:v>1.1618578926091437E-2</c:v>
                </c:pt>
                <c:pt idx="13">
                  <c:v>1.0985828197962663E-2</c:v>
                </c:pt>
                <c:pt idx="14">
                  <c:v>1.0683707507630211E-2</c:v>
                </c:pt>
                <c:pt idx="15">
                  <c:v>1.0607174283883776E-2</c:v>
                </c:pt>
                <c:pt idx="16">
                  <c:v>1.1504254992022489E-2</c:v>
                </c:pt>
                <c:pt idx="17">
                  <c:v>1.1166574398152253E-2</c:v>
                </c:pt>
                <c:pt idx="18">
                  <c:v>1.092870479692223E-2</c:v>
                </c:pt>
                <c:pt idx="19">
                  <c:v>1.1011422460866178E-2</c:v>
                </c:pt>
                <c:pt idx="20">
                  <c:v>7.9570028300599543E-3</c:v>
                </c:pt>
                <c:pt idx="21">
                  <c:v>8.5355969461192623E-3</c:v>
                </c:pt>
                <c:pt idx="22">
                  <c:v>1.0323179536058304E-2</c:v>
                </c:pt>
                <c:pt idx="23">
                  <c:v>9.8341457090171131E-3</c:v>
                </c:pt>
                <c:pt idx="24">
                  <c:v>9.9402435161968922E-3</c:v>
                </c:pt>
                <c:pt idx="25">
                  <c:v>9.8902524646237774E-3</c:v>
                </c:pt>
                <c:pt idx="26">
                  <c:v>9.8470342547067359E-3</c:v>
                </c:pt>
                <c:pt idx="27">
                  <c:v>9.8668925872210655E-3</c:v>
                </c:pt>
                <c:pt idx="28">
                  <c:v>9.9153976195285754E-3</c:v>
                </c:pt>
                <c:pt idx="29">
                  <c:v>9.9890657033011553E-3</c:v>
                </c:pt>
                <c:pt idx="30">
                  <c:v>1.0085101731629268E-2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C-7B4B-885E-8C2BBD419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0394264"/>
        <c:axId val="1806428616"/>
      </c:barChart>
      <c:catAx>
        <c:axId val="1950394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806428616"/>
        <c:crosses val="autoZero"/>
        <c:auto val="1"/>
        <c:lblAlgn val="ctr"/>
        <c:lblOffset val="100"/>
        <c:noMultiLvlLbl val="0"/>
      </c:catAx>
      <c:valAx>
        <c:axId val="1806428616"/>
        <c:scaling>
          <c:orientation val="minMax"/>
          <c:max val="1.2E-2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95039426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strRef>
              <c:f>Annual!$G$111:$AH$111</c:f>
              <c:strCach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2024e</c:v>
                </c:pt>
                <c:pt idx="22">
                  <c:v>2025e</c:v>
                </c:pt>
                <c:pt idx="23">
                  <c:v>2026e</c:v>
                </c:pt>
                <c:pt idx="24">
                  <c:v>2027e</c:v>
                </c:pt>
                <c:pt idx="25">
                  <c:v>2028e</c:v>
                </c:pt>
                <c:pt idx="26">
                  <c:v>2029e</c:v>
                </c:pt>
                <c:pt idx="27">
                  <c:v>2030e</c:v>
                </c:pt>
              </c:strCache>
            </c:strRef>
          </c:cat>
          <c:val>
            <c:numRef>
              <c:f>Annual!$G$141:$AH$141</c:f>
              <c:numCache>
                <c:formatCode>0.0%</c:formatCode>
                <c:ptCount val="28"/>
                <c:pt idx="0">
                  <c:v>1.0425464590765649E-2</c:v>
                </c:pt>
                <c:pt idx="1">
                  <c:v>1.285870715357116E-2</c:v>
                </c:pt>
                <c:pt idx="2">
                  <c:v>2.149248257941664E-2</c:v>
                </c:pt>
                <c:pt idx="3">
                  <c:v>2.2424257594410846E-2</c:v>
                </c:pt>
                <c:pt idx="4">
                  <c:v>3.0331998840086014E-2</c:v>
                </c:pt>
                <c:pt idx="5">
                  <c:v>3.6228231148717205E-2</c:v>
                </c:pt>
                <c:pt idx="6">
                  <c:v>5.1418620132640834E-2</c:v>
                </c:pt>
                <c:pt idx="7">
                  <c:v>5.8952711054115953E-2</c:v>
                </c:pt>
                <c:pt idx="8">
                  <c:v>5.7268403949856668E-2</c:v>
                </c:pt>
                <c:pt idx="9">
                  <c:v>5.6332594290553012E-2</c:v>
                </c:pt>
                <c:pt idx="10">
                  <c:v>5.8397130825633262E-2</c:v>
                </c:pt>
                <c:pt idx="11">
                  <c:v>5.7877179931641716E-2</c:v>
                </c:pt>
                <c:pt idx="12">
                  <c:v>6.0233459481404052E-2</c:v>
                </c:pt>
                <c:pt idx="13">
                  <c:v>6.3161586642386816E-2</c:v>
                </c:pt>
                <c:pt idx="14">
                  <c:v>8.1089937176385157E-2</c:v>
                </c:pt>
                <c:pt idx="15">
                  <c:v>9.378570871516119E-2</c:v>
                </c:pt>
                <c:pt idx="16">
                  <c:v>0.10256121957166126</c:v>
                </c:pt>
                <c:pt idx="17">
                  <c:v>0.2140566714246587</c:v>
                </c:pt>
                <c:pt idx="18">
                  <c:v>0.24708800118094407</c:v>
                </c:pt>
                <c:pt idx="19">
                  <c:v>0.19609169669338292</c:v>
                </c:pt>
                <c:pt idx="20">
                  <c:v>0.21742717001122822</c:v>
                </c:pt>
                <c:pt idx="21">
                  <c:v>0.23793685644366908</c:v>
                </c:pt>
                <c:pt idx="22">
                  <c:v>0.25970550650490004</c:v>
                </c:pt>
                <c:pt idx="23">
                  <c:v>0.28233964215331625</c:v>
                </c:pt>
                <c:pt idx="24">
                  <c:v>0.30098188310347918</c:v>
                </c:pt>
                <c:pt idx="25">
                  <c:v>0.31858419655801634</c:v>
                </c:pt>
                <c:pt idx="26">
                  <c:v>0.33504364800520597</c:v>
                </c:pt>
                <c:pt idx="27">
                  <c:v>0.346622286279616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C-3C49-93FF-A7C31E03D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6331432"/>
        <c:axId val="1805889560"/>
      </c:barChart>
      <c:catAx>
        <c:axId val="1806331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805889560"/>
        <c:crosses val="autoZero"/>
        <c:auto val="1"/>
        <c:lblAlgn val="ctr"/>
        <c:lblOffset val="100"/>
        <c:noMultiLvlLbl val="0"/>
      </c:catAx>
      <c:valAx>
        <c:axId val="1805889560"/>
        <c:scaling>
          <c:orientation val="minMax"/>
          <c:max val="0.35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80633143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400">
          <a:latin typeface="Apercu" panose="02000506040000020004" pitchFamily="2" charset="77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577123179353614E-2"/>
          <c:y val="2.7765025774655866E-2"/>
          <c:w val="0.93624665218876935"/>
          <c:h val="0.833915746143242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Annual!$BL$142</c:f>
              <c:strCache>
                <c:ptCount val="1"/>
                <c:pt idx="0">
                  <c:v>Offshore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  <a:effectLst/>
          </c:spPr>
          <c:invertIfNegative val="0"/>
          <c:cat>
            <c:strRef>
              <c:f>Annual!$G$111:$AH$111</c:f>
              <c:strCach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2024e</c:v>
                </c:pt>
                <c:pt idx="22">
                  <c:v>2025e</c:v>
                </c:pt>
                <c:pt idx="23">
                  <c:v>2026e</c:v>
                </c:pt>
                <c:pt idx="24">
                  <c:v>2027e</c:v>
                </c:pt>
                <c:pt idx="25">
                  <c:v>2028e</c:v>
                </c:pt>
                <c:pt idx="26">
                  <c:v>2029e</c:v>
                </c:pt>
                <c:pt idx="27">
                  <c:v>2030e</c:v>
                </c:pt>
              </c:strCache>
            </c:strRef>
          </c:cat>
          <c:val>
            <c:numRef>
              <c:f>Annual!$G$124:$AH$124</c:f>
              <c:numCache>
                <c:formatCode>#,##0.0</c:formatCode>
                <c:ptCount val="28"/>
                <c:pt idx="0">
                  <c:v>77.065205634469834</c:v>
                </c:pt>
                <c:pt idx="1">
                  <c:v>138.71087708233318</c:v>
                </c:pt>
                <c:pt idx="2">
                  <c:v>230.70176899108975</c:v>
                </c:pt>
                <c:pt idx="3">
                  <c:v>281.38891317035558</c:v>
                </c:pt>
                <c:pt idx="4">
                  <c:v>360.69178735455802</c:v>
                </c:pt>
                <c:pt idx="5">
                  <c:v>362.00864749202947</c:v>
                </c:pt>
                <c:pt idx="6">
                  <c:v>375.04314565856646</c:v>
                </c:pt>
                <c:pt idx="7">
                  <c:v>386.0980213897007</c:v>
                </c:pt>
                <c:pt idx="8">
                  <c:v>377.80383985840825</c:v>
                </c:pt>
                <c:pt idx="9">
                  <c:v>324.98590983577714</c:v>
                </c:pt>
                <c:pt idx="10">
                  <c:v>314.90579588534604</c:v>
                </c:pt>
                <c:pt idx="11">
                  <c:v>283.52853726102535</c:v>
                </c:pt>
                <c:pt idx="12">
                  <c:v>240.67962854963724</c:v>
                </c:pt>
                <c:pt idx="13">
                  <c:v>218.79439804345628</c:v>
                </c:pt>
                <c:pt idx="14">
                  <c:v>202.85376326657769</c:v>
                </c:pt>
                <c:pt idx="15">
                  <c:v>200.38998981971272</c:v>
                </c:pt>
                <c:pt idx="16">
                  <c:v>190.20289741019627</c:v>
                </c:pt>
                <c:pt idx="17">
                  <c:v>173.18887835841855</c:v>
                </c:pt>
                <c:pt idx="18">
                  <c:v>168.50611619336297</c:v>
                </c:pt>
                <c:pt idx="19">
                  <c:v>164.5091717110887</c:v>
                </c:pt>
                <c:pt idx="20">
                  <c:v>164.20922870942462</c:v>
                </c:pt>
                <c:pt idx="21">
                  <c:v>147.43881701497398</c:v>
                </c:pt>
                <c:pt idx="22">
                  <c:v>135.15572648699643</c:v>
                </c:pt>
                <c:pt idx="23">
                  <c:v>123.68309841540623</c:v>
                </c:pt>
                <c:pt idx="24">
                  <c:v>109.94003167121519</c:v>
                </c:pt>
                <c:pt idx="25">
                  <c:v>95.525281329340757</c:v>
                </c:pt>
                <c:pt idx="26">
                  <c:v>79.027210196191973</c:v>
                </c:pt>
                <c:pt idx="27">
                  <c:v>67.843285708778808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39-0647-9222-6CBB80128850}"/>
            </c:ext>
          </c:extLst>
        </c:ser>
        <c:ser>
          <c:idx val="1"/>
          <c:order val="1"/>
          <c:tx>
            <c:strRef>
              <c:f>Annual!$BL$143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strRef>
              <c:f>Annual!$G$111:$AH$111</c:f>
              <c:strCach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2024e</c:v>
                </c:pt>
                <c:pt idx="22">
                  <c:v>2025e</c:v>
                </c:pt>
                <c:pt idx="23">
                  <c:v>2026e</c:v>
                </c:pt>
                <c:pt idx="24">
                  <c:v>2027e</c:v>
                </c:pt>
                <c:pt idx="25">
                  <c:v>2028e</c:v>
                </c:pt>
                <c:pt idx="26">
                  <c:v>2029e</c:v>
                </c:pt>
                <c:pt idx="27">
                  <c:v>2030e</c:v>
                </c:pt>
              </c:strCache>
            </c:strRef>
          </c:cat>
          <c:val>
            <c:numRef>
              <c:f>Annual!$G$118:$AH$118</c:f>
              <c:numCache>
                <c:formatCode>#,##0.0</c:formatCode>
                <c:ptCount val="28"/>
                <c:pt idx="4">
                  <c:v>72.78574382303735</c:v>
                </c:pt>
                <c:pt idx="5">
                  <c:v>207.77063668902628</c:v>
                </c:pt>
                <c:pt idx="6">
                  <c:v>494.90134958016409</c:v>
                </c:pt>
                <c:pt idx="7">
                  <c:v>672.928764</c:v>
                </c:pt>
                <c:pt idx="8">
                  <c:v>725.46937700000001</c:v>
                </c:pt>
                <c:pt idx="9">
                  <c:v>743.7541486572045</c:v>
                </c:pt>
                <c:pt idx="10">
                  <c:v>725.2</c:v>
                </c:pt>
                <c:pt idx="11">
                  <c:v>728</c:v>
                </c:pt>
                <c:pt idx="12">
                  <c:v>822</c:v>
                </c:pt>
                <c:pt idx="13">
                  <c:v>1020</c:v>
                </c:pt>
                <c:pt idx="14">
                  <c:v>1376.7800000000002</c:v>
                </c:pt>
                <c:pt idx="15">
                  <c:v>1621.7199667099999</c:v>
                </c:pt>
                <c:pt idx="16">
                  <c:v>1847.2121279607607</c:v>
                </c:pt>
                <c:pt idx="17">
                  <c:v>2671.2599962187078</c:v>
                </c:pt>
                <c:pt idx="18">
                  <c:v>3717.4214585596246</c:v>
                </c:pt>
                <c:pt idx="19">
                  <c:v>3880.167578565</c:v>
                </c:pt>
                <c:pt idx="20">
                  <c:v>4393.1533252636855</c:v>
                </c:pt>
                <c:pt idx="21">
                  <c:v>5037.398720794703</c:v>
                </c:pt>
                <c:pt idx="22">
                  <c:v>5643.6622017302443</c:v>
                </c:pt>
                <c:pt idx="23">
                  <c:v>6307.155157293545</c:v>
                </c:pt>
                <c:pt idx="24">
                  <c:v>6936.5750346252989</c:v>
                </c:pt>
                <c:pt idx="25">
                  <c:v>7601.6510575080383</c:v>
                </c:pt>
                <c:pt idx="26">
                  <c:v>8297.2863280546298</c:v>
                </c:pt>
                <c:pt idx="27">
                  <c:v>8918.7081152347146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39-0647-9222-6CBB80128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50760408"/>
        <c:axId val="1950462456"/>
      </c:barChart>
      <c:catAx>
        <c:axId val="1950760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950462456"/>
        <c:crosses val="autoZero"/>
        <c:auto val="1"/>
        <c:lblAlgn val="ctr"/>
        <c:lblOffset val="100"/>
        <c:noMultiLvlLbl val="0"/>
      </c:catAx>
      <c:valAx>
        <c:axId val="1950462456"/>
        <c:scaling>
          <c:orientation val="minMax"/>
          <c:max val="90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95076040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strRef>
              <c:f>Annual!$K$111:$AH$111</c:f>
              <c:strCache>
                <c:ptCount val="2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2024e</c:v>
                </c:pt>
                <c:pt idx="18">
                  <c:v>2025e</c:v>
                </c:pt>
                <c:pt idx="19">
                  <c:v>2026e</c:v>
                </c:pt>
                <c:pt idx="20">
                  <c:v>2027e</c:v>
                </c:pt>
                <c:pt idx="21">
                  <c:v>2028e</c:v>
                </c:pt>
                <c:pt idx="22">
                  <c:v>2029e</c:v>
                </c:pt>
                <c:pt idx="23">
                  <c:v>2030e</c:v>
                </c:pt>
              </c:strCache>
            </c:strRef>
          </c:cat>
          <c:val>
            <c:numRef>
              <c:f>Annual!$CJ$133:$DG$133</c:f>
              <c:numCache>
                <c:formatCode>General</c:formatCode>
                <c:ptCount val="24"/>
                <c:pt idx="0">
                  <c:v>9.9028222888486186E-2</c:v>
                </c:pt>
                <c:pt idx="1">
                  <c:v>0.14485512832433076</c:v>
                </c:pt>
                <c:pt idx="2">
                  <c:v>0.1872120413483068</c:v>
                </c:pt>
                <c:pt idx="3">
                  <c:v>0.22033022774327121</c:v>
                </c:pt>
                <c:pt idx="4">
                  <c:v>0.22873461993428257</c:v>
                </c:pt>
                <c:pt idx="5">
                  <c:v>0.24</c:v>
                </c:pt>
                <c:pt idx="6">
                  <c:v>0.24552429667519182</c:v>
                </c:pt>
                <c:pt idx="7">
                  <c:v>0.26289926289926291</c:v>
                </c:pt>
                <c:pt idx="8">
                  <c:v>0.34012738853503183</c:v>
                </c:pt>
                <c:pt idx="9">
                  <c:v>0.37380191693290737</c:v>
                </c:pt>
                <c:pt idx="10">
                  <c:v>0.41263940520446096</c:v>
                </c:pt>
                <c:pt idx="11">
                  <c:v>0.43036985352585627</c:v>
                </c:pt>
                <c:pt idx="12">
                  <c:v>0.45431789737171463</c:v>
                </c:pt>
                <c:pt idx="13">
                  <c:v>0.63148080989873423</c:v>
                </c:pt>
                <c:pt idx="14">
                  <c:v>0.78859886647895039</c:v>
                </c:pt>
                <c:pt idx="15">
                  <c:v>0.61014996397291188</c:v>
                </c:pt>
                <c:pt idx="16">
                  <c:v>0.61353239624053901</c:v>
                </c:pt>
                <c:pt idx="17">
                  <c:v>0.62970023412336207</c:v>
                </c:pt>
                <c:pt idx="18" formatCode="0.0%">
                  <c:v>0.6305448070035955</c:v>
                </c:pt>
                <c:pt idx="19" formatCode="0.0%">
                  <c:v>0.66782014047401728</c:v>
                </c:pt>
                <c:pt idx="20" formatCode="0.0%">
                  <c:v>0.68688009364934499</c:v>
                </c:pt>
                <c:pt idx="21" formatCode="0.0%">
                  <c:v>0.70594004682467237</c:v>
                </c:pt>
                <c:pt idx="22" formatCode="0.0%">
                  <c:v>0.72499999999999998</c:v>
                </c:pt>
                <c:pt idx="23" formatCode="0.0%">
                  <c:v>0.72499999999999998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AA-6E45-AD5A-B2B966F98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6331432"/>
        <c:axId val="1805889560"/>
      </c:barChart>
      <c:catAx>
        <c:axId val="1806331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805889560"/>
        <c:crosses val="autoZero"/>
        <c:auto val="1"/>
        <c:lblAlgn val="ctr"/>
        <c:lblOffset val="100"/>
        <c:noMultiLvlLbl val="0"/>
      </c:catAx>
      <c:valAx>
        <c:axId val="1805889560"/>
        <c:scaling>
          <c:orientation val="minMax"/>
          <c:max val="0.8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crossAx val="180633143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800">
          <a:latin typeface="Apercu" panose="02000506040000020004" pitchFamily="2" charset="77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10759356012662"/>
          <c:y val="3.4970675927670759E-2"/>
          <c:w val="0.76527487087213897"/>
          <c:h val="0.9424434734739383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tx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863-6F4F-8183-85FAB904E740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863-6F4F-8183-85FAB904E740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863-6F4F-8183-85FAB904E740}"/>
              </c:ext>
            </c:extLst>
          </c:dPt>
          <c:dPt>
            <c:idx val="3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863-6F4F-8183-85FAB904E740}"/>
              </c:ext>
            </c:extLst>
          </c:dPt>
          <c:dLbls>
            <c:dLbl>
              <c:idx val="0"/>
              <c:layout>
                <c:manualLayout>
                  <c:x val="0.19828409198316158"/>
                  <c:y val="1.080065823004980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percu" panose="02000506040000020004" pitchFamily="2" charset="77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6749350292328"/>
                      <c:h val="9.767551790653736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1863-6F4F-8183-85FAB904E74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Annual!$DF$27:$DF$30</c:f>
              <c:strCache>
                <c:ptCount val="4"/>
                <c:pt idx="0">
                  <c:v>Betting</c:v>
                </c:pt>
                <c:pt idx="1">
                  <c:v>Gaming</c:v>
                </c:pt>
                <c:pt idx="2">
                  <c:v>Lottery</c:v>
                </c:pt>
                <c:pt idx="3">
                  <c:v>Online</c:v>
                </c:pt>
              </c:strCache>
            </c:strRef>
          </c:cat>
          <c:val>
            <c:numRef>
              <c:f>Annual!$DG$27:$DG$30</c:f>
              <c:numCache>
                <c:formatCode>#,##0.0</c:formatCode>
                <c:ptCount val="4"/>
                <c:pt idx="0">
                  <c:v>1256.2500122000001</c:v>
                </c:pt>
                <c:pt idx="1">
                  <c:v>11075.539858558968</c:v>
                </c:pt>
                <c:pt idx="2">
                  <c:v>5496.1500000000005</c:v>
                </c:pt>
                <c:pt idx="3">
                  <c:v>1847.2121279607607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3-6F4F-8183-85FAB904E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r>
              <a:rPr lang="en-GB" sz="1680">
                <a:latin typeface="Apercu" panose="02000506040000020004" pitchFamily="2" charset="77"/>
              </a:rPr>
              <a:t>Total Online Gambling Market GGR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'Overview (LC)'!$E$24</c:f>
              <c:strCache>
                <c:ptCount val="1"/>
                <c:pt idx="0">
                  <c:v>Online Betting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(LC)'!$G$17:$AH$17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(LC)'!$G$24:$AH$24</c:f>
              <c:numCache>
                <c:formatCode>_(* #,##0_);_(* \(#,##0\);_(* "-"??_);_(@_)</c:formatCode>
                <c:ptCount val="28"/>
                <c:pt idx="0">
                  <c:v>57.407924107142854</c:v>
                </c:pt>
                <c:pt idx="1">
                  <c:v>68.059490217803585</c:v>
                </c:pt>
                <c:pt idx="2">
                  <c:v>91.247961805547504</c:v>
                </c:pt>
                <c:pt idx="3">
                  <c:v>105.7694126398266</c:v>
                </c:pt>
                <c:pt idx="4">
                  <c:v>173.86147505320508</c:v>
                </c:pt>
                <c:pt idx="5">
                  <c:v>220.37349952386711</c:v>
                </c:pt>
                <c:pt idx="6">
                  <c:v>239.38764281599052</c:v>
                </c:pt>
                <c:pt idx="7">
                  <c:v>279.50181018937138</c:v>
                </c:pt>
                <c:pt idx="8">
                  <c:v>266.51124173157086</c:v>
                </c:pt>
                <c:pt idx="9">
                  <c:v>221.16021231320752</c:v>
                </c:pt>
                <c:pt idx="10">
                  <c:v>252.71462072823303</c:v>
                </c:pt>
                <c:pt idx="11">
                  <c:v>289.54936662993123</c:v>
                </c:pt>
                <c:pt idx="12">
                  <c:v>344.05634622542857</c:v>
                </c:pt>
                <c:pt idx="13">
                  <c:v>433.33522826665535</c:v>
                </c:pt>
                <c:pt idx="14">
                  <c:v>638.21568370390924</c:v>
                </c:pt>
                <c:pt idx="15">
                  <c:v>741.25468209517339</c:v>
                </c:pt>
                <c:pt idx="16">
                  <c:v>838.46298246914489</c:v>
                </c:pt>
                <c:pt idx="17">
                  <c:v>1146.174415209427</c:v>
                </c:pt>
                <c:pt idx="18">
                  <c:v>1646.0128882136248</c:v>
                </c:pt>
                <c:pt idx="19">
                  <c:v>1554.7425270563465</c:v>
                </c:pt>
                <c:pt idx="20">
                  <c:v>1713.3252969377238</c:v>
                </c:pt>
                <c:pt idx="21">
                  <c:v>1898.8722834676446</c:v>
                </c:pt>
                <c:pt idx="22">
                  <c:v>2128.4120264382368</c:v>
                </c:pt>
                <c:pt idx="23">
                  <c:v>2409.4591911754915</c:v>
                </c:pt>
                <c:pt idx="24">
                  <c:v>2654.4334699521423</c:v>
                </c:pt>
                <c:pt idx="25">
                  <c:v>2920.0151211171997</c:v>
                </c:pt>
                <c:pt idx="26">
                  <c:v>3204.9141901267858</c:v>
                </c:pt>
                <c:pt idx="27">
                  <c:v>3411.2482977226155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B3-EB49-B374-7992D77DDD8F}"/>
            </c:ext>
          </c:extLst>
        </c:ser>
        <c:ser>
          <c:idx val="1"/>
          <c:order val="1"/>
          <c:tx>
            <c:strRef>
              <c:f>'Overview (LC)'!$E$25</c:f>
              <c:strCache>
                <c:ptCount val="1"/>
                <c:pt idx="0">
                  <c:v>Online Gaming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(LC)'!$G$17:$AH$17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(LC)'!$G$25:$AH$25</c:f>
              <c:numCache>
                <c:formatCode>_(* #,##0_);_(* \(#,##0\);_(* "-"??_);_(@_)</c:formatCode>
                <c:ptCount val="28"/>
                <c:pt idx="0">
                  <c:v>19.657281527326969</c:v>
                </c:pt>
                <c:pt idx="1">
                  <c:v>70.651386864529613</c:v>
                </c:pt>
                <c:pt idx="2">
                  <c:v>139.45380718554227</c:v>
                </c:pt>
                <c:pt idx="3">
                  <c:v>175.61950053052902</c:v>
                </c:pt>
                <c:pt idx="4">
                  <c:v>259.6160561243903</c:v>
                </c:pt>
                <c:pt idx="5">
                  <c:v>349.40578465718858</c:v>
                </c:pt>
                <c:pt idx="6">
                  <c:v>626.74797268146824</c:v>
                </c:pt>
                <c:pt idx="7">
                  <c:v>768.95581020032944</c:v>
                </c:pt>
                <c:pt idx="8">
                  <c:v>829.17344412683747</c:v>
                </c:pt>
                <c:pt idx="9">
                  <c:v>834.57984617977411</c:v>
                </c:pt>
                <c:pt idx="10">
                  <c:v>775.39117515711291</c:v>
                </c:pt>
                <c:pt idx="11">
                  <c:v>704.97917063109401</c:v>
                </c:pt>
                <c:pt idx="12">
                  <c:v>700.62328232420873</c:v>
                </c:pt>
                <c:pt idx="13">
                  <c:v>775.45916977680099</c:v>
                </c:pt>
                <c:pt idx="14">
                  <c:v>903.5180795626685</c:v>
                </c:pt>
                <c:pt idx="15">
                  <c:v>1032.0652744345393</c:v>
                </c:pt>
                <c:pt idx="16">
                  <c:v>1140.8420429018124</c:v>
                </c:pt>
                <c:pt idx="17">
                  <c:v>1621.3344593676993</c:v>
                </c:pt>
                <c:pt idx="18">
                  <c:v>2143.4346865393627</c:v>
                </c:pt>
                <c:pt idx="19">
                  <c:v>2369.1542232197421</c:v>
                </c:pt>
                <c:pt idx="20">
                  <c:v>2733.7254809027677</c:v>
                </c:pt>
                <c:pt idx="21">
                  <c:v>3146.7855897195486</c:v>
                </c:pt>
                <c:pt idx="22">
                  <c:v>3496.3561016985823</c:v>
                </c:pt>
                <c:pt idx="23">
                  <c:v>3849.8591831538401</c:v>
                </c:pt>
                <c:pt idx="24">
                  <c:v>4199.4938489090782</c:v>
                </c:pt>
                <c:pt idx="25">
                  <c:v>4560.2179839138635</c:v>
                </c:pt>
                <c:pt idx="26">
                  <c:v>4925.7687726813729</c:v>
                </c:pt>
                <c:pt idx="27">
                  <c:v>5295.7126237151278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B3-EB49-B374-7992D77DDD8F}"/>
            </c:ext>
          </c:extLst>
        </c:ser>
        <c:ser>
          <c:idx val="2"/>
          <c:order val="2"/>
          <c:tx>
            <c:strRef>
              <c:f>'Overview (LC)'!$E$26</c:f>
              <c:strCache>
                <c:ptCount val="1"/>
                <c:pt idx="0">
                  <c:v>Online Lottery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(LC)'!$G$17:$AH$17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(LC)'!$G$26:$AH$26</c:f>
              <c:numCache>
                <c:formatCode>_(* #,##0_);_(* \(#,##0\);_(* "-"??_);_(@_)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3.8088797412717925</c:v>
                </c:pt>
                <c:pt idx="7">
                  <c:v>10.569165</c:v>
                </c:pt>
                <c:pt idx="8">
                  <c:v>7.5885309999999997</c:v>
                </c:pt>
                <c:pt idx="9">
                  <c:v>13</c:v>
                </c:pt>
                <c:pt idx="10">
                  <c:v>13</c:v>
                </c:pt>
                <c:pt idx="11">
                  <c:v>17</c:v>
                </c:pt>
                <c:pt idx="12">
                  <c:v>18</c:v>
                </c:pt>
                <c:pt idx="13">
                  <c:v>30</c:v>
                </c:pt>
                <c:pt idx="14">
                  <c:v>37.899999999999977</c:v>
                </c:pt>
                <c:pt idx="15">
                  <c:v>48.789999999999992</c:v>
                </c:pt>
                <c:pt idx="16">
                  <c:v>58.11</c:v>
                </c:pt>
                <c:pt idx="17">
                  <c:v>76.94</c:v>
                </c:pt>
                <c:pt idx="18">
                  <c:v>96.47999999999999</c:v>
                </c:pt>
                <c:pt idx="19">
                  <c:v>120.78</c:v>
                </c:pt>
                <c:pt idx="20">
                  <c:v>110.31177613261812</c:v>
                </c:pt>
                <c:pt idx="21">
                  <c:v>139.17966462248495</c:v>
                </c:pt>
                <c:pt idx="22">
                  <c:v>154.04980008042165</c:v>
                </c:pt>
                <c:pt idx="23">
                  <c:v>171.51988137961996</c:v>
                </c:pt>
                <c:pt idx="24">
                  <c:v>192.58774743529293</c:v>
                </c:pt>
                <c:pt idx="25">
                  <c:v>216.94323380631619</c:v>
                </c:pt>
                <c:pt idx="26">
                  <c:v>245.6305754426628</c:v>
                </c:pt>
                <c:pt idx="27">
                  <c:v>279.59047950574762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B3-EB49-B374-7992D77DD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04624"/>
        <c:axId val="73545040"/>
      </c:barChart>
      <c:catAx>
        <c:axId val="7380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545040"/>
        <c:crosses val="autoZero"/>
        <c:auto val="1"/>
        <c:lblAlgn val="ctr"/>
        <c:lblOffset val="100"/>
        <c:noMultiLvlLbl val="0"/>
      </c:catAx>
      <c:valAx>
        <c:axId val="7354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80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sz="1200"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10759356012662"/>
          <c:y val="3.4970675927670759E-2"/>
          <c:w val="0.76527487087213897"/>
          <c:h val="0.9424434734739383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tx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E6D-5642-9FF2-D665072535E9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E6D-5642-9FF2-D665072535E9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E6D-5642-9FF2-D665072535E9}"/>
              </c:ext>
            </c:extLst>
          </c:dPt>
          <c:dPt>
            <c:idx val="3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E6D-5642-9FF2-D665072535E9}"/>
              </c:ext>
            </c:extLst>
          </c:dPt>
          <c:dLbls>
            <c:dLbl>
              <c:idx val="0"/>
              <c:layout>
                <c:manualLayout>
                  <c:x val="0.2226882879195507"/>
                  <c:y val="2.019253495183224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percu" panose="02000506040000020004" pitchFamily="2" charset="77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981888171375104"/>
                      <c:h val="9.767551790653736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0E6D-5642-9FF2-D665072535E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Annual!$DF$27:$DF$30</c:f>
              <c:strCache>
                <c:ptCount val="4"/>
                <c:pt idx="0">
                  <c:v>Betting</c:v>
                </c:pt>
                <c:pt idx="1">
                  <c:v>Gaming</c:v>
                </c:pt>
                <c:pt idx="2">
                  <c:v>Lottery</c:v>
                </c:pt>
                <c:pt idx="3">
                  <c:v>Online</c:v>
                </c:pt>
              </c:strCache>
            </c:strRef>
          </c:cat>
          <c:val>
            <c:numRef>
              <c:f>Annual!$DH$27:$DH$30</c:f>
              <c:numCache>
                <c:formatCode>#,##0.0</c:formatCode>
                <c:ptCount val="4"/>
                <c:pt idx="0">
                  <c:v>805.66058479057278</c:v>
                </c:pt>
                <c:pt idx="1">
                  <c:v>5168.6387078692142</c:v>
                </c:pt>
                <c:pt idx="2">
                  <c:v>4469.55</c:v>
                </c:pt>
                <c:pt idx="3">
                  <c:v>2671.2599962187078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6D-5642-9FF2-D66507253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10759356012662"/>
          <c:y val="3.4970675927670759E-2"/>
          <c:w val="0.76527487087213897"/>
          <c:h val="0.9424434734739383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tx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0B-544C-8A98-BDD9450D8AB8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50B-544C-8A98-BDD9450D8AB8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50B-544C-8A98-BDD9450D8AB8}"/>
              </c:ext>
            </c:extLst>
          </c:dPt>
          <c:dPt>
            <c:idx val="3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0B-544C-8A98-BDD9450D8AB8}"/>
              </c:ext>
            </c:extLst>
          </c:dPt>
          <c:dLbls>
            <c:dLbl>
              <c:idx val="0"/>
              <c:layout>
                <c:manualLayout>
                  <c:x val="0.2226882879195507"/>
                  <c:y val="2.019253495183224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percu" panose="02000506040000020004" pitchFamily="2" charset="77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981888171375104"/>
                      <c:h val="9.767551790653736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350B-544C-8A98-BDD9450D8AB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Annual!$DF$27:$DF$30</c:f>
              <c:strCache>
                <c:ptCount val="4"/>
                <c:pt idx="0">
                  <c:v>Betting</c:v>
                </c:pt>
                <c:pt idx="1">
                  <c:v>Gaming</c:v>
                </c:pt>
                <c:pt idx="2">
                  <c:v>Lottery</c:v>
                </c:pt>
                <c:pt idx="3">
                  <c:v>Online</c:v>
                </c:pt>
              </c:strCache>
            </c:strRef>
          </c:cat>
          <c:val>
            <c:numRef>
              <c:f>Annual!$DJ$27:$DJ$30</c:f>
              <c:numCache>
                <c:formatCode>#,##0.0</c:formatCode>
                <c:ptCount val="4"/>
                <c:pt idx="0">
                  <c:v>1298.4336948700002</c:v>
                </c:pt>
                <c:pt idx="1">
                  <c:v>9206.485536825001</c:v>
                </c:pt>
                <c:pt idx="2">
                  <c:v>6076.86</c:v>
                </c:pt>
                <c:pt idx="3">
                  <c:v>3880.167578565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0B-544C-8A98-BDD9450D8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10759356012662"/>
          <c:y val="3.4970675927670759E-2"/>
          <c:w val="0.76527487087213897"/>
          <c:h val="0.9424434734739383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tx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2A0-CD49-A49A-21FEFB9B13CE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2A0-CD49-A49A-21FEFB9B13C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2A0-CD49-A49A-21FEFB9B13CE}"/>
              </c:ext>
            </c:extLst>
          </c:dPt>
          <c:dPt>
            <c:idx val="3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2A0-CD49-A49A-21FEFB9B13CE}"/>
              </c:ext>
            </c:extLst>
          </c:dPt>
          <c:dLbls>
            <c:dLbl>
              <c:idx val="0"/>
              <c:layout>
                <c:manualLayout>
                  <c:x val="0.2226882879195507"/>
                  <c:y val="2.019253495183224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percu" panose="02000506040000020004" pitchFamily="2" charset="77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981888171375104"/>
                      <c:h val="9.767551790653736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2A0-CD49-A49A-21FEFB9B13C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Annual!$DF$27:$DF$30</c:f>
              <c:strCache>
                <c:ptCount val="4"/>
                <c:pt idx="0">
                  <c:v>Betting</c:v>
                </c:pt>
                <c:pt idx="1">
                  <c:v>Gaming</c:v>
                </c:pt>
                <c:pt idx="2">
                  <c:v>Lottery</c:v>
                </c:pt>
                <c:pt idx="3">
                  <c:v>Online</c:v>
                </c:pt>
              </c:strCache>
            </c:strRef>
          </c:cat>
          <c:val>
            <c:numRef>
              <c:f>Annual!$DI$27:$DI$30</c:f>
              <c:numCache>
                <c:formatCode>#,##0.0</c:formatCode>
                <c:ptCount val="4"/>
                <c:pt idx="0">
                  <c:v>594.12543541637524</c:v>
                </c:pt>
                <c:pt idx="1">
                  <c:v>5027.2541122339999</c:v>
                </c:pt>
                <c:pt idx="2">
                  <c:v>6219.59</c:v>
                </c:pt>
                <c:pt idx="3">
                  <c:v>3717.4214585596246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2A0-CD49-A49A-21FEFB9B1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029040523807962E-2"/>
          <c:y val="2.2891917205449492E-2"/>
          <c:w val="0.97712806516044393"/>
          <c:h val="0.760952587170563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'New Summary Monthly'!$A$23</c:f>
              <c:strCache>
                <c:ptCount val="1"/>
                <c:pt idx="0">
                  <c:v> Landbased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'New Summary Monthly'!$B$12:$GP$12</c:f>
              <c:numCache>
                <c:formatCode>mmm\-yy</c:formatCode>
                <c:ptCount val="197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</c:numCache>
            </c:numRef>
          </c:cat>
          <c:val>
            <c:numRef>
              <c:f>'New Summary Monthly'!$B$23:$GP$23</c:f>
              <c:numCache>
                <c:formatCode>#,##0.0</c:formatCode>
                <c:ptCount val="197"/>
                <c:pt idx="0">
                  <c:v>87.344025936382721</c:v>
                </c:pt>
                <c:pt idx="1">
                  <c:v>140.75368621935999</c:v>
                </c:pt>
                <c:pt idx="2">
                  <c:v>92.847562490675273</c:v>
                </c:pt>
                <c:pt idx="3">
                  <c:v>56.801514328961161</c:v>
                </c:pt>
                <c:pt idx="4">
                  <c:v>40.804205893370629</c:v>
                </c:pt>
                <c:pt idx="5">
                  <c:v>34.003688218430682</c:v>
                </c:pt>
                <c:pt idx="6">
                  <c:v>22.955872017907481</c:v>
                </c:pt>
                <c:pt idx="7">
                  <c:v>-6.9967980699580892</c:v>
                </c:pt>
                <c:pt idx="8">
                  <c:v>93.530778355405587</c:v>
                </c:pt>
                <c:pt idx="9">
                  <c:v>102.6790681652372</c:v>
                </c:pt>
                <c:pt idx="10">
                  <c:v>113.73376215732777</c:v>
                </c:pt>
                <c:pt idx="11">
                  <c:v>29.270856577243908</c:v>
                </c:pt>
                <c:pt idx="12">
                  <c:v>52.014137000000012</c:v>
                </c:pt>
                <c:pt idx="13">
                  <c:v>50.617198000000002</c:v>
                </c:pt>
                <c:pt idx="14">
                  <c:v>66.94265900000002</c:v>
                </c:pt>
                <c:pt idx="15">
                  <c:v>62.69618999999998</c:v>
                </c:pt>
                <c:pt idx="16">
                  <c:v>36.481238999999995</c:v>
                </c:pt>
                <c:pt idx="17">
                  <c:v>38.063546660728555</c:v>
                </c:pt>
                <c:pt idx="18">
                  <c:v>50.348712999999996</c:v>
                </c:pt>
                <c:pt idx="19">
                  <c:v>51.807050336299994</c:v>
                </c:pt>
                <c:pt idx="20">
                  <c:v>74.039338999999984</c:v>
                </c:pt>
                <c:pt idx="21">
                  <c:v>9.4374589999999845</c:v>
                </c:pt>
                <c:pt idx="22">
                  <c:v>75.725446000000005</c:v>
                </c:pt>
                <c:pt idx="23">
                  <c:v>29.270824619500001</c:v>
                </c:pt>
                <c:pt idx="24">
                  <c:v>54.043257319199974</c:v>
                </c:pt>
                <c:pt idx="25">
                  <c:v>96.693539166999983</c:v>
                </c:pt>
                <c:pt idx="26">
                  <c:v>8.9873827846000118</c:v>
                </c:pt>
                <c:pt idx="27">
                  <c:v>81.763830501300021</c:v>
                </c:pt>
                <c:pt idx="28">
                  <c:v>21.760537576450009</c:v>
                </c:pt>
                <c:pt idx="29">
                  <c:v>4.7601869339800071</c:v>
                </c:pt>
                <c:pt idx="30">
                  <c:v>27.684689280000011</c:v>
                </c:pt>
                <c:pt idx="31">
                  <c:v>27.889372380900014</c:v>
                </c:pt>
                <c:pt idx="32">
                  <c:v>54.444000000000003</c:v>
                </c:pt>
                <c:pt idx="33">
                  <c:v>84.365897892000007</c:v>
                </c:pt>
                <c:pt idx="34">
                  <c:v>74.349343137400012</c:v>
                </c:pt>
                <c:pt idx="35">
                  <c:v>77.816644999999994</c:v>
                </c:pt>
                <c:pt idx="36">
                  <c:v>99.739152999999988</c:v>
                </c:pt>
                <c:pt idx="37">
                  <c:v>75.605353000000008</c:v>
                </c:pt>
                <c:pt idx="38">
                  <c:v>72.382471210499972</c:v>
                </c:pt>
                <c:pt idx="39">
                  <c:v>64.564884261299994</c:v>
                </c:pt>
                <c:pt idx="40">
                  <c:v>27.141685039999999</c:v>
                </c:pt>
                <c:pt idx="41">
                  <c:v>27.170544939999999</c:v>
                </c:pt>
                <c:pt idx="42">
                  <c:v>33.676898000000001</c:v>
                </c:pt>
                <c:pt idx="43">
                  <c:v>31.287078000000001</c:v>
                </c:pt>
                <c:pt idx="44">
                  <c:v>-7.3758119999999998</c:v>
                </c:pt>
                <c:pt idx="45">
                  <c:v>66.301078000000004</c:v>
                </c:pt>
                <c:pt idx="46">
                  <c:v>56.345666857937076</c:v>
                </c:pt>
                <c:pt idx="47">
                  <c:v>58.059464262248419</c:v>
                </c:pt>
                <c:pt idx="48">
                  <c:v>89.85</c:v>
                </c:pt>
                <c:pt idx="49">
                  <c:v>61.38</c:v>
                </c:pt>
                <c:pt idx="50">
                  <c:v>59.61</c:v>
                </c:pt>
                <c:pt idx="51">
                  <c:v>63.92</c:v>
                </c:pt>
                <c:pt idx="52">
                  <c:v>26</c:v>
                </c:pt>
                <c:pt idx="53">
                  <c:v>28.27</c:v>
                </c:pt>
                <c:pt idx="54">
                  <c:v>33.29</c:v>
                </c:pt>
                <c:pt idx="55">
                  <c:v>30.08</c:v>
                </c:pt>
                <c:pt idx="56">
                  <c:v>4.3600000000000003</c:v>
                </c:pt>
                <c:pt idx="57">
                  <c:v>72.36</c:v>
                </c:pt>
                <c:pt idx="58">
                  <c:v>56.36</c:v>
                </c:pt>
                <c:pt idx="59">
                  <c:v>64.510000000000005</c:v>
                </c:pt>
                <c:pt idx="60">
                  <c:v>83.81</c:v>
                </c:pt>
                <c:pt idx="61">
                  <c:v>49.85</c:v>
                </c:pt>
                <c:pt idx="62">
                  <c:v>49.44</c:v>
                </c:pt>
                <c:pt idx="63">
                  <c:v>65.97</c:v>
                </c:pt>
                <c:pt idx="64">
                  <c:v>25.97</c:v>
                </c:pt>
                <c:pt idx="65">
                  <c:v>30.55</c:v>
                </c:pt>
                <c:pt idx="66">
                  <c:v>34.299999999999997</c:v>
                </c:pt>
                <c:pt idx="67">
                  <c:v>30.15</c:v>
                </c:pt>
                <c:pt idx="68">
                  <c:v>16.18</c:v>
                </c:pt>
                <c:pt idx="69">
                  <c:v>81.41</c:v>
                </c:pt>
                <c:pt idx="70">
                  <c:v>58.75</c:v>
                </c:pt>
                <c:pt idx="71">
                  <c:v>73.62</c:v>
                </c:pt>
                <c:pt idx="72">
                  <c:v>65.83</c:v>
                </c:pt>
                <c:pt idx="73">
                  <c:v>32.18</c:v>
                </c:pt>
                <c:pt idx="74">
                  <c:v>33.04</c:v>
                </c:pt>
                <c:pt idx="75">
                  <c:v>57.79</c:v>
                </c:pt>
                <c:pt idx="76">
                  <c:v>22.01</c:v>
                </c:pt>
                <c:pt idx="77">
                  <c:v>27.93</c:v>
                </c:pt>
                <c:pt idx="78">
                  <c:v>30</c:v>
                </c:pt>
                <c:pt idx="79">
                  <c:v>25.65</c:v>
                </c:pt>
                <c:pt idx="80">
                  <c:v>24.11</c:v>
                </c:pt>
                <c:pt idx="81">
                  <c:v>77.03</c:v>
                </c:pt>
                <c:pt idx="82">
                  <c:v>51.95</c:v>
                </c:pt>
                <c:pt idx="83">
                  <c:v>70.48</c:v>
                </c:pt>
                <c:pt idx="84">
                  <c:v>80.846999999999994</c:v>
                </c:pt>
                <c:pt idx="85">
                  <c:v>36.069000000000003</c:v>
                </c:pt>
                <c:pt idx="86">
                  <c:v>52.482999999999997</c:v>
                </c:pt>
                <c:pt idx="87">
                  <c:v>49.569000000000003</c:v>
                </c:pt>
                <c:pt idx="88">
                  <c:v>32.722999999999999</c:v>
                </c:pt>
                <c:pt idx="89">
                  <c:v>42.13</c:v>
                </c:pt>
                <c:pt idx="90">
                  <c:v>44.061</c:v>
                </c:pt>
                <c:pt idx="91">
                  <c:v>24.962</c:v>
                </c:pt>
                <c:pt idx="92">
                  <c:v>66.790000000000006</c:v>
                </c:pt>
                <c:pt idx="93">
                  <c:v>70.260000000000005</c:v>
                </c:pt>
                <c:pt idx="94">
                  <c:v>53.32</c:v>
                </c:pt>
                <c:pt idx="95">
                  <c:v>30.13</c:v>
                </c:pt>
                <c:pt idx="96">
                  <c:v>82.45</c:v>
                </c:pt>
                <c:pt idx="97">
                  <c:v>16.36</c:v>
                </c:pt>
                <c:pt idx="98">
                  <c:v>21.47</c:v>
                </c:pt>
                <c:pt idx="99">
                  <c:v>92.88</c:v>
                </c:pt>
                <c:pt idx="100">
                  <c:v>33.1</c:v>
                </c:pt>
                <c:pt idx="101">
                  <c:v>48.49</c:v>
                </c:pt>
                <c:pt idx="102">
                  <c:v>48.07</c:v>
                </c:pt>
                <c:pt idx="103">
                  <c:v>38.89</c:v>
                </c:pt>
                <c:pt idx="104">
                  <c:v>69.37</c:v>
                </c:pt>
                <c:pt idx="105">
                  <c:v>141.44999999999999</c:v>
                </c:pt>
                <c:pt idx="106">
                  <c:v>85.02</c:v>
                </c:pt>
                <c:pt idx="107">
                  <c:v>131.72999999999999</c:v>
                </c:pt>
                <c:pt idx="108">
                  <c:v>89.73</c:v>
                </c:pt>
                <c:pt idx="109">
                  <c:v>73.149198600000005</c:v>
                </c:pt>
                <c:pt idx="110">
                  <c:v>59.780025000000002</c:v>
                </c:pt>
                <c:pt idx="111">
                  <c:v>87.8</c:v>
                </c:pt>
                <c:pt idx="112">
                  <c:v>52.133837999999997</c:v>
                </c:pt>
                <c:pt idx="113">
                  <c:v>65.209339999999969</c:v>
                </c:pt>
                <c:pt idx="114">
                  <c:v>62.836491199999976</c:v>
                </c:pt>
                <c:pt idx="115">
                  <c:v>61.438973599999997</c:v>
                </c:pt>
                <c:pt idx="116">
                  <c:v>79.124564289999967</c:v>
                </c:pt>
                <c:pt idx="117">
                  <c:v>76.680175000000006</c:v>
                </c:pt>
                <c:pt idx="118">
                  <c:v>83.463973650000042</c:v>
                </c:pt>
                <c:pt idx="119">
                  <c:v>49.399782000000002</c:v>
                </c:pt>
                <c:pt idx="120">
                  <c:v>66.535924489999999</c:v>
                </c:pt>
                <c:pt idx="121">
                  <c:v>90.885944850000016</c:v>
                </c:pt>
                <c:pt idx="122">
                  <c:v>54.432826459999959</c:v>
                </c:pt>
                <c:pt idx="123">
                  <c:v>98.131584029999985</c:v>
                </c:pt>
                <c:pt idx="124">
                  <c:v>77.879492779999978</c:v>
                </c:pt>
                <c:pt idx="125">
                  <c:v>39.965679629999997</c:v>
                </c:pt>
                <c:pt idx="126">
                  <c:v>48.080189849999982</c:v>
                </c:pt>
                <c:pt idx="127">
                  <c:v>63.220516579999973</c:v>
                </c:pt>
                <c:pt idx="128">
                  <c:v>67.557908740000002</c:v>
                </c:pt>
                <c:pt idx="129">
                  <c:v>72.216125819999974</c:v>
                </c:pt>
                <c:pt idx="130">
                  <c:v>63.561924439999991</c:v>
                </c:pt>
                <c:pt idx="131">
                  <c:v>125.06031286000002</c:v>
                </c:pt>
                <c:pt idx="132">
                  <c:v>116.73971300000004</c:v>
                </c:pt>
                <c:pt idx="133">
                  <c:v>98.575464550000007</c:v>
                </c:pt>
                <c:pt idx="134">
                  <c:v>25.926420919999988</c:v>
                </c:pt>
                <c:pt idx="135">
                  <c:v>5.536321000000001E-2</c:v>
                </c:pt>
                <c:pt idx="136">
                  <c:v>-1.3693050000000002E-2</c:v>
                </c:pt>
                <c:pt idx="137">
                  <c:v>10.866503780000004</c:v>
                </c:pt>
                <c:pt idx="138">
                  <c:v>83.117417880000048</c:v>
                </c:pt>
                <c:pt idx="139">
                  <c:v>55.173499209999989</c:v>
                </c:pt>
                <c:pt idx="140">
                  <c:v>76.690065309999994</c:v>
                </c:pt>
                <c:pt idx="141">
                  <c:v>117.62165598999999</c:v>
                </c:pt>
                <c:pt idx="142">
                  <c:v>-3.5714992700000017</c:v>
                </c:pt>
                <c:pt idx="143">
                  <c:v>-0.56824975999999972</c:v>
                </c:pt>
                <c:pt idx="144">
                  <c:v>-1.7494819999999998E-2</c:v>
                </c:pt>
                <c:pt idx="145">
                  <c:v>5.1941399999999999E-3</c:v>
                </c:pt>
                <c:pt idx="146">
                  <c:v>-1.2830000000000296E-5</c:v>
                </c:pt>
                <c:pt idx="147">
                  <c:v>7.512760000000002E-3</c:v>
                </c:pt>
                <c:pt idx="148">
                  <c:v>-0.17007805000000015</c:v>
                </c:pt>
                <c:pt idx="149">
                  <c:v>28.335375810000002</c:v>
                </c:pt>
                <c:pt idx="150">
                  <c:v>34.461995170000009</c:v>
                </c:pt>
                <c:pt idx="151">
                  <c:v>33.57048348</c:v>
                </c:pt>
                <c:pt idx="152">
                  <c:v>67.868094200000002</c:v>
                </c:pt>
                <c:pt idx="153">
                  <c:v>41.791922730000003</c:v>
                </c:pt>
                <c:pt idx="154">
                  <c:v>100.07553807000001</c:v>
                </c:pt>
                <c:pt idx="155">
                  <c:v>79.760696940000003</c:v>
                </c:pt>
                <c:pt idx="156">
                  <c:v>82.187395069999994</c:v>
                </c:pt>
                <c:pt idx="157">
                  <c:v>82.600026520000029</c:v>
                </c:pt>
                <c:pt idx="158">
                  <c:v>78.715001069999985</c:v>
                </c:pt>
                <c:pt idx="159">
                  <c:v>83.445950769999982</c:v>
                </c:pt>
                <c:pt idx="160">
                  <c:v>66.425969109999983</c:v>
                </c:pt>
                <c:pt idx="161">
                  <c:v>48.149551919999993</c:v>
                </c:pt>
                <c:pt idx="162">
                  <c:v>45.588664659999999</c:v>
                </c:pt>
                <c:pt idx="163">
                  <c:v>62.289695759999994</c:v>
                </c:pt>
                <c:pt idx="164">
                  <c:v>101.38613679000001</c:v>
                </c:pt>
                <c:pt idx="165">
                  <c:v>88.628390639999992</c:v>
                </c:pt>
                <c:pt idx="166">
                  <c:v>74.057525060000003</c:v>
                </c:pt>
                <c:pt idx="167">
                  <c:v>47.632419559999995</c:v>
                </c:pt>
                <c:pt idx="168">
                  <c:v>113.89999999999998</c:v>
                </c:pt>
                <c:pt idx="169">
                  <c:v>82.1</c:v>
                </c:pt>
                <c:pt idx="170">
                  <c:v>96.9</c:v>
                </c:pt>
                <c:pt idx="171">
                  <c:v>112.2</c:v>
                </c:pt>
                <c:pt idx="172">
                  <c:v>86.5</c:v>
                </c:pt>
                <c:pt idx="173">
                  <c:v>53.2</c:v>
                </c:pt>
                <c:pt idx="174">
                  <c:v>51.3</c:v>
                </c:pt>
                <c:pt idx="175">
                  <c:v>57.7</c:v>
                </c:pt>
                <c:pt idx="176">
                  <c:v>62.8</c:v>
                </c:pt>
                <c:pt idx="177">
                  <c:v>15.7</c:v>
                </c:pt>
                <c:pt idx="178">
                  <c:v>101.8</c:v>
                </c:pt>
                <c:pt idx="179">
                  <c:v>95.5</c:v>
                </c:pt>
                <c:pt idx="180">
                  <c:v>43.3</c:v>
                </c:pt>
                <c:pt idx="181">
                  <c:v>97.4</c:v>
                </c:pt>
                <c:pt idx="182">
                  <c:v>89.7</c:v>
                </c:pt>
                <c:pt idx="183">
                  <c:v>91.136700340000004</c:v>
                </c:pt>
                <c:pt idx="184">
                  <c:v>84.888270300000016</c:v>
                </c:pt>
                <c:pt idx="185">
                  <c:v>78</c:v>
                </c:pt>
                <c:pt idx="186">
                  <c:v>41.2</c:v>
                </c:pt>
                <c:pt idx="187">
                  <c:v>78.596971959999991</c:v>
                </c:pt>
                <c:pt idx="188">
                  <c:v>59.5</c:v>
                </c:pt>
                <c:pt idx="189">
                  <c:v>90.8</c:v>
                </c:pt>
                <c:pt idx="190">
                  <c:v>100.7</c:v>
                </c:pt>
                <c:pt idx="191">
                  <c:v>99.1</c:v>
                </c:pt>
                <c:pt idx="192">
                  <c:v>98.93204209000001</c:v>
                </c:pt>
                <c:pt idx="193">
                  <c:v>123.6</c:v>
                </c:pt>
                <c:pt idx="194">
                  <c:v>84.9</c:v>
                </c:pt>
                <c:pt idx="195">
                  <c:v>112.6</c:v>
                </c:pt>
                <c:pt idx="196">
                  <c:v>93.2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E1-C048-A562-ADACA00B72CE}"/>
            </c:ext>
          </c:extLst>
        </c:ser>
        <c:ser>
          <c:idx val="1"/>
          <c:order val="1"/>
          <c:tx>
            <c:strRef>
              <c:f>'New Summary Monthly'!$A$24</c:f>
              <c:strCache>
                <c:ptCount val="1"/>
                <c:pt idx="0">
                  <c:v> Remote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Monthly'!$B$12:$GP$12</c:f>
              <c:numCache>
                <c:formatCode>mmm\-yy</c:formatCode>
                <c:ptCount val="197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</c:numCache>
            </c:numRef>
          </c:cat>
          <c:val>
            <c:numRef>
              <c:f>'New Summary Monthly'!$B$24:$GP$24</c:f>
              <c:numCache>
                <c:formatCode>#,##0.0</c:formatCode>
                <c:ptCount val="197"/>
                <c:pt idx="0">
                  <c:v>14.250002063617274</c:v>
                </c:pt>
                <c:pt idx="1">
                  <c:v>15.461313780639996</c:v>
                </c:pt>
                <c:pt idx="2">
                  <c:v>16.396237509324749</c:v>
                </c:pt>
                <c:pt idx="3">
                  <c:v>16.682885671038818</c:v>
                </c:pt>
                <c:pt idx="4">
                  <c:v>16.94579410662935</c:v>
                </c:pt>
                <c:pt idx="5">
                  <c:v>8.6271117815693295</c:v>
                </c:pt>
                <c:pt idx="6">
                  <c:v>6.1115279820925181</c:v>
                </c:pt>
                <c:pt idx="7">
                  <c:v>11.146398069958087</c:v>
                </c:pt>
                <c:pt idx="8">
                  <c:v>17.401021644594397</c:v>
                </c:pt>
                <c:pt idx="9">
                  <c:v>17.172131834762812</c:v>
                </c:pt>
                <c:pt idx="10">
                  <c:v>16.601337842672233</c:v>
                </c:pt>
                <c:pt idx="11">
                  <c:v>13.941619422756244</c:v>
                </c:pt>
                <c:pt idx="12">
                  <c:v>19.535862999999999</c:v>
                </c:pt>
                <c:pt idx="13">
                  <c:v>18.978002</c:v>
                </c:pt>
                <c:pt idx="14">
                  <c:v>23.527740999999999</c:v>
                </c:pt>
                <c:pt idx="15">
                  <c:v>20.056609999999999</c:v>
                </c:pt>
                <c:pt idx="16">
                  <c:v>12.276560999999999</c:v>
                </c:pt>
                <c:pt idx="17">
                  <c:v>24.404392999999999</c:v>
                </c:pt>
                <c:pt idx="18">
                  <c:v>14.170487</c:v>
                </c:pt>
                <c:pt idx="19">
                  <c:v>16.316355999999999</c:v>
                </c:pt>
                <c:pt idx="20">
                  <c:v>24.205660999999999</c:v>
                </c:pt>
                <c:pt idx="21">
                  <c:v>5.7519410000000004</c:v>
                </c:pt>
                <c:pt idx="22">
                  <c:v>24.830553999999999</c:v>
                </c:pt>
                <c:pt idx="23">
                  <c:v>8.7850280000000005</c:v>
                </c:pt>
                <c:pt idx="24">
                  <c:v>18.963000000000001</c:v>
                </c:pt>
                <c:pt idx="25">
                  <c:v>33.475999999999999</c:v>
                </c:pt>
                <c:pt idx="26">
                  <c:v>21.638999999999999</c:v>
                </c:pt>
                <c:pt idx="27">
                  <c:v>25.367999999999999</c:v>
                </c:pt>
                <c:pt idx="28">
                  <c:v>7.7729999999999997</c:v>
                </c:pt>
                <c:pt idx="29">
                  <c:v>9.6329999999999991</c:v>
                </c:pt>
                <c:pt idx="30">
                  <c:v>6.8979999999999997</c:v>
                </c:pt>
                <c:pt idx="31">
                  <c:v>8.1940000000000008</c:v>
                </c:pt>
                <c:pt idx="32">
                  <c:v>15.555999999999999</c:v>
                </c:pt>
                <c:pt idx="33">
                  <c:v>24.273</c:v>
                </c:pt>
                <c:pt idx="34">
                  <c:v>22.479357</c:v>
                </c:pt>
                <c:pt idx="35">
                  <c:v>14.582350999999999</c:v>
                </c:pt>
                <c:pt idx="36">
                  <c:v>5.3599800000000002</c:v>
                </c:pt>
                <c:pt idx="37">
                  <c:v>25.587458000000002</c:v>
                </c:pt>
                <c:pt idx="38">
                  <c:v>22.846583996699998</c:v>
                </c:pt>
                <c:pt idx="39">
                  <c:v>17.986381994700004</c:v>
                </c:pt>
                <c:pt idx="40">
                  <c:v>7.8583149600000031</c:v>
                </c:pt>
                <c:pt idx="41">
                  <c:v>8.0337320000000005</c:v>
                </c:pt>
                <c:pt idx="42">
                  <c:v>9.3231020000000004</c:v>
                </c:pt>
                <c:pt idx="43">
                  <c:v>9.7129220000000007</c:v>
                </c:pt>
                <c:pt idx="44">
                  <c:v>-0.62418799999999997</c:v>
                </c:pt>
                <c:pt idx="45">
                  <c:v>21.698922</c:v>
                </c:pt>
                <c:pt idx="46">
                  <c:v>24.743487999999999</c:v>
                </c:pt>
                <c:pt idx="47">
                  <c:v>14.379591</c:v>
                </c:pt>
                <c:pt idx="48">
                  <c:v>8.19</c:v>
                </c:pt>
                <c:pt idx="49">
                  <c:v>24.76</c:v>
                </c:pt>
                <c:pt idx="50">
                  <c:v>22.95</c:v>
                </c:pt>
                <c:pt idx="51">
                  <c:v>20.420000000000002</c:v>
                </c:pt>
                <c:pt idx="52">
                  <c:v>9.2200000000000006</c:v>
                </c:pt>
                <c:pt idx="53">
                  <c:v>9.75</c:v>
                </c:pt>
                <c:pt idx="54">
                  <c:v>11.2</c:v>
                </c:pt>
                <c:pt idx="55">
                  <c:v>11.61</c:v>
                </c:pt>
                <c:pt idx="56">
                  <c:v>2.71</c:v>
                </c:pt>
                <c:pt idx="57">
                  <c:v>25.28</c:v>
                </c:pt>
                <c:pt idx="58">
                  <c:v>27</c:v>
                </c:pt>
                <c:pt idx="59">
                  <c:v>18.920000000000002</c:v>
                </c:pt>
                <c:pt idx="60">
                  <c:v>11.38</c:v>
                </c:pt>
                <c:pt idx="61">
                  <c:v>22.4</c:v>
                </c:pt>
                <c:pt idx="62">
                  <c:v>21.86</c:v>
                </c:pt>
                <c:pt idx="63">
                  <c:v>22.46</c:v>
                </c:pt>
                <c:pt idx="64">
                  <c:v>10.47</c:v>
                </c:pt>
                <c:pt idx="65">
                  <c:v>11.42</c:v>
                </c:pt>
                <c:pt idx="66">
                  <c:v>13</c:v>
                </c:pt>
                <c:pt idx="67">
                  <c:v>13.43</c:v>
                </c:pt>
                <c:pt idx="68">
                  <c:v>6.85</c:v>
                </c:pt>
                <c:pt idx="69">
                  <c:v>28.53</c:v>
                </c:pt>
                <c:pt idx="70">
                  <c:v>28.47</c:v>
                </c:pt>
                <c:pt idx="71">
                  <c:v>23.73</c:v>
                </c:pt>
                <c:pt idx="72">
                  <c:v>17</c:v>
                </c:pt>
                <c:pt idx="73">
                  <c:v>21.45</c:v>
                </c:pt>
                <c:pt idx="74">
                  <c:v>22.63</c:v>
                </c:pt>
                <c:pt idx="75">
                  <c:v>27.64</c:v>
                </c:pt>
                <c:pt idx="76">
                  <c:v>13.32</c:v>
                </c:pt>
                <c:pt idx="77">
                  <c:v>14.96</c:v>
                </c:pt>
                <c:pt idx="78">
                  <c:v>16.88</c:v>
                </c:pt>
                <c:pt idx="79">
                  <c:v>17.36</c:v>
                </c:pt>
                <c:pt idx="80">
                  <c:v>13.32</c:v>
                </c:pt>
                <c:pt idx="81">
                  <c:v>36.049999999999997</c:v>
                </c:pt>
                <c:pt idx="82">
                  <c:v>33.5</c:v>
                </c:pt>
                <c:pt idx="83">
                  <c:v>32.92</c:v>
                </c:pt>
                <c:pt idx="84">
                  <c:v>30.044</c:v>
                </c:pt>
                <c:pt idx="85">
                  <c:v>28.134</c:v>
                </c:pt>
                <c:pt idx="86">
                  <c:v>44.906999999999996</c:v>
                </c:pt>
                <c:pt idx="87">
                  <c:v>25.648</c:v>
                </c:pt>
                <c:pt idx="88">
                  <c:v>22.86</c:v>
                </c:pt>
                <c:pt idx="89">
                  <c:v>24.885999999999999</c:v>
                </c:pt>
                <c:pt idx="90">
                  <c:v>28.286000000000001</c:v>
                </c:pt>
                <c:pt idx="91">
                  <c:v>19.741</c:v>
                </c:pt>
                <c:pt idx="92">
                  <c:v>39.228999999999999</c:v>
                </c:pt>
                <c:pt idx="93">
                  <c:v>37.450000000000003</c:v>
                </c:pt>
                <c:pt idx="94">
                  <c:v>29.13</c:v>
                </c:pt>
                <c:pt idx="95">
                  <c:v>25.33</c:v>
                </c:pt>
                <c:pt idx="96">
                  <c:v>47.61</c:v>
                </c:pt>
                <c:pt idx="97">
                  <c:v>17.8</c:v>
                </c:pt>
                <c:pt idx="98">
                  <c:v>28.11</c:v>
                </c:pt>
                <c:pt idx="99">
                  <c:v>56.58</c:v>
                </c:pt>
                <c:pt idx="100">
                  <c:v>29.07</c:v>
                </c:pt>
                <c:pt idx="101">
                  <c:v>34.43</c:v>
                </c:pt>
                <c:pt idx="102">
                  <c:v>38.28</c:v>
                </c:pt>
                <c:pt idx="103">
                  <c:v>39.090000000000003</c:v>
                </c:pt>
                <c:pt idx="104">
                  <c:v>48.11</c:v>
                </c:pt>
                <c:pt idx="105">
                  <c:v>77.739999999999995</c:v>
                </c:pt>
                <c:pt idx="106">
                  <c:v>61.96</c:v>
                </c:pt>
                <c:pt idx="107">
                  <c:v>83.19</c:v>
                </c:pt>
                <c:pt idx="108">
                  <c:v>60.76</c:v>
                </c:pt>
                <c:pt idx="109">
                  <c:v>50.866530820000001</c:v>
                </c:pt>
                <c:pt idx="110">
                  <c:v>51.286889000000002</c:v>
                </c:pt>
                <c:pt idx="111">
                  <c:v>58.7</c:v>
                </c:pt>
                <c:pt idx="112">
                  <c:v>40.802765000000001</c:v>
                </c:pt>
                <c:pt idx="113">
                  <c:v>47.593061000000034</c:v>
                </c:pt>
                <c:pt idx="114">
                  <c:v>51.479214800000001</c:v>
                </c:pt>
                <c:pt idx="115">
                  <c:v>49.956369849999987</c:v>
                </c:pt>
                <c:pt idx="116">
                  <c:v>60.385169840000003</c:v>
                </c:pt>
                <c:pt idx="117">
                  <c:v>56.894812999999999</c:v>
                </c:pt>
                <c:pt idx="118">
                  <c:v>65.059459590000003</c:v>
                </c:pt>
                <c:pt idx="119">
                  <c:v>47.036439000000001</c:v>
                </c:pt>
                <c:pt idx="120">
                  <c:v>58.054727459999981</c:v>
                </c:pt>
                <c:pt idx="121">
                  <c:v>69.095324260000012</c:v>
                </c:pt>
                <c:pt idx="122">
                  <c:v>51.976993150000006</c:v>
                </c:pt>
                <c:pt idx="123">
                  <c:v>75.50613534</c:v>
                </c:pt>
                <c:pt idx="124">
                  <c:v>56.196695299999988</c:v>
                </c:pt>
                <c:pt idx="125">
                  <c:v>42.504221889999997</c:v>
                </c:pt>
                <c:pt idx="126">
                  <c:v>47.247418319999994</c:v>
                </c:pt>
                <c:pt idx="127">
                  <c:v>56.354305340000003</c:v>
                </c:pt>
                <c:pt idx="128">
                  <c:v>61.052811240000011</c:v>
                </c:pt>
                <c:pt idx="129">
                  <c:v>56.583900519999986</c:v>
                </c:pt>
                <c:pt idx="130">
                  <c:v>59.862524259999979</c:v>
                </c:pt>
                <c:pt idx="131">
                  <c:v>91.174803409999996</c:v>
                </c:pt>
                <c:pt idx="132">
                  <c:v>95.249746500000015</c:v>
                </c:pt>
                <c:pt idx="133">
                  <c:v>86.676731829999994</c:v>
                </c:pt>
                <c:pt idx="134">
                  <c:v>49.391668080000009</c:v>
                </c:pt>
                <c:pt idx="135">
                  <c:v>20.899308209999997</c:v>
                </c:pt>
                <c:pt idx="136">
                  <c:v>35.365157090000004</c:v>
                </c:pt>
                <c:pt idx="137">
                  <c:v>62.684143649999974</c:v>
                </c:pt>
                <c:pt idx="138">
                  <c:v>88.216347110000015</c:v>
                </c:pt>
                <c:pt idx="139">
                  <c:v>69.578502369999981</c:v>
                </c:pt>
                <c:pt idx="140">
                  <c:v>75.758434909999963</c:v>
                </c:pt>
                <c:pt idx="141">
                  <c:v>125.76851247999997</c:v>
                </c:pt>
                <c:pt idx="142">
                  <c:v>111.05516151000003</c:v>
                </c:pt>
                <c:pt idx="143">
                  <c:v>177.09596590000001</c:v>
                </c:pt>
                <c:pt idx="144">
                  <c:v>144.84260818000001</c:v>
                </c:pt>
                <c:pt idx="145">
                  <c:v>185.50649856000001</c:v>
                </c:pt>
                <c:pt idx="146">
                  <c:v>132.32191820000003</c:v>
                </c:pt>
                <c:pt idx="147">
                  <c:v>103.54220643000002</c:v>
                </c:pt>
                <c:pt idx="148">
                  <c:v>153.70405179999997</c:v>
                </c:pt>
                <c:pt idx="149">
                  <c:v>113.21929914</c:v>
                </c:pt>
                <c:pt idx="150">
                  <c:v>63.189526259999994</c:v>
                </c:pt>
                <c:pt idx="151">
                  <c:v>81.390533430000019</c:v>
                </c:pt>
                <c:pt idx="152">
                  <c:v>119.43826003</c:v>
                </c:pt>
                <c:pt idx="153">
                  <c:v>76.066223469999983</c:v>
                </c:pt>
                <c:pt idx="154">
                  <c:v>143.98827944000004</c:v>
                </c:pt>
                <c:pt idx="155">
                  <c:v>125.13792185000004</c:v>
                </c:pt>
                <c:pt idx="156">
                  <c:v>128.84919049999996</c:v>
                </c:pt>
                <c:pt idx="157">
                  <c:v>122.10167034000003</c:v>
                </c:pt>
                <c:pt idx="158">
                  <c:v>127.52114061</c:v>
                </c:pt>
                <c:pt idx="159">
                  <c:v>118.94508986000004</c:v>
                </c:pt>
                <c:pt idx="160">
                  <c:v>97.489711360000001</c:v>
                </c:pt>
                <c:pt idx="161">
                  <c:v>74.302094339999982</c:v>
                </c:pt>
                <c:pt idx="162">
                  <c:v>80.376295949999985</c:v>
                </c:pt>
                <c:pt idx="163">
                  <c:v>107.87800773000001</c:v>
                </c:pt>
                <c:pt idx="164">
                  <c:v>149.15188270000002</c:v>
                </c:pt>
                <c:pt idx="165">
                  <c:v>132.03496484000004</c:v>
                </c:pt>
                <c:pt idx="166">
                  <c:v>126.30987244000002</c:v>
                </c:pt>
                <c:pt idx="167">
                  <c:v>86.522249530000011</c:v>
                </c:pt>
                <c:pt idx="168">
                  <c:v>180.8</c:v>
                </c:pt>
                <c:pt idx="169">
                  <c:v>128.6</c:v>
                </c:pt>
                <c:pt idx="170">
                  <c:v>146.6</c:v>
                </c:pt>
                <c:pt idx="171">
                  <c:v>154.6</c:v>
                </c:pt>
                <c:pt idx="172">
                  <c:v>126.3</c:v>
                </c:pt>
                <c:pt idx="173">
                  <c:v>88.3</c:v>
                </c:pt>
                <c:pt idx="174">
                  <c:v>88.7</c:v>
                </c:pt>
                <c:pt idx="175">
                  <c:v>107.4</c:v>
                </c:pt>
                <c:pt idx="176">
                  <c:v>110.2</c:v>
                </c:pt>
                <c:pt idx="177">
                  <c:v>57.3</c:v>
                </c:pt>
                <c:pt idx="178">
                  <c:v>151.30000000000001</c:v>
                </c:pt>
                <c:pt idx="179">
                  <c:v>135.19999999999999</c:v>
                </c:pt>
                <c:pt idx="180">
                  <c:v>88.2</c:v>
                </c:pt>
                <c:pt idx="181">
                  <c:v>147</c:v>
                </c:pt>
                <c:pt idx="182">
                  <c:v>143.6</c:v>
                </c:pt>
                <c:pt idx="183">
                  <c:v>145.22699297</c:v>
                </c:pt>
                <c:pt idx="184">
                  <c:v>142.20603159999999</c:v>
                </c:pt>
                <c:pt idx="185">
                  <c:v>125.03</c:v>
                </c:pt>
                <c:pt idx="186">
                  <c:v>103.9218</c:v>
                </c:pt>
                <c:pt idx="187">
                  <c:v>142.31602841</c:v>
                </c:pt>
                <c:pt idx="188">
                  <c:v>112.1</c:v>
                </c:pt>
                <c:pt idx="189">
                  <c:v>160.4</c:v>
                </c:pt>
                <c:pt idx="190">
                  <c:v>156.9</c:v>
                </c:pt>
                <c:pt idx="191">
                  <c:v>155.93773905</c:v>
                </c:pt>
                <c:pt idx="192">
                  <c:v>158.96233398000001</c:v>
                </c:pt>
                <c:pt idx="193">
                  <c:v>191.2</c:v>
                </c:pt>
                <c:pt idx="194">
                  <c:v>132.9</c:v>
                </c:pt>
                <c:pt idx="195">
                  <c:v>167.7</c:v>
                </c:pt>
                <c:pt idx="196">
                  <c:v>142.1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E1-C048-A562-ADACA00B7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969662240"/>
        <c:axId val="969663936"/>
      </c:barChart>
      <c:dateAx>
        <c:axId val="96966224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Offset val="100"/>
        <c:baseTimeUnit val="months"/>
      </c:dateAx>
      <c:valAx>
        <c:axId val="969663936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932228079349107E-2"/>
          <c:y val="3.3927535755699442E-2"/>
          <c:w val="0.97562845213121507"/>
          <c:h val="0.749733731207514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'New Summary Monthly'!$A$27</c:f>
              <c:strCache>
                <c:ptCount val="1"/>
                <c:pt idx="0">
                  <c:v> Sportsbetting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'New Summary Monthly'!$B$12:$GP$12</c:f>
              <c:numCache>
                <c:formatCode>mmm\-yy</c:formatCode>
                <c:ptCount val="197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</c:numCache>
            </c:numRef>
          </c:cat>
          <c:val>
            <c:numRef>
              <c:f>'New Summary Monthly'!$B$24:$GP$24</c:f>
              <c:numCache>
                <c:formatCode>#,##0.0</c:formatCode>
                <c:ptCount val="197"/>
                <c:pt idx="0">
                  <c:v>14.250002063617274</c:v>
                </c:pt>
                <c:pt idx="1">
                  <c:v>15.461313780639996</c:v>
                </c:pt>
                <c:pt idx="2">
                  <c:v>16.396237509324749</c:v>
                </c:pt>
                <c:pt idx="3">
                  <c:v>16.682885671038818</c:v>
                </c:pt>
                <c:pt idx="4">
                  <c:v>16.94579410662935</c:v>
                </c:pt>
                <c:pt idx="5">
                  <c:v>8.6271117815693295</c:v>
                </c:pt>
                <c:pt idx="6">
                  <c:v>6.1115279820925181</c:v>
                </c:pt>
                <c:pt idx="7">
                  <c:v>11.146398069958087</c:v>
                </c:pt>
                <c:pt idx="8">
                  <c:v>17.401021644594397</c:v>
                </c:pt>
                <c:pt idx="9">
                  <c:v>17.172131834762812</c:v>
                </c:pt>
                <c:pt idx="10">
                  <c:v>16.601337842672233</c:v>
                </c:pt>
                <c:pt idx="11">
                  <c:v>13.941619422756244</c:v>
                </c:pt>
                <c:pt idx="12">
                  <c:v>19.535862999999999</c:v>
                </c:pt>
                <c:pt idx="13">
                  <c:v>18.978002</c:v>
                </c:pt>
                <c:pt idx="14">
                  <c:v>23.527740999999999</c:v>
                </c:pt>
                <c:pt idx="15">
                  <c:v>20.056609999999999</c:v>
                </c:pt>
                <c:pt idx="16">
                  <c:v>12.276560999999999</c:v>
                </c:pt>
                <c:pt idx="17">
                  <c:v>24.404392999999999</c:v>
                </c:pt>
                <c:pt idx="18">
                  <c:v>14.170487</c:v>
                </c:pt>
                <c:pt idx="19">
                  <c:v>16.316355999999999</c:v>
                </c:pt>
                <c:pt idx="20">
                  <c:v>24.205660999999999</c:v>
                </c:pt>
                <c:pt idx="21">
                  <c:v>5.7519410000000004</c:v>
                </c:pt>
                <c:pt idx="22">
                  <c:v>24.830553999999999</c:v>
                </c:pt>
                <c:pt idx="23">
                  <c:v>8.7850280000000005</c:v>
                </c:pt>
                <c:pt idx="24">
                  <c:v>18.963000000000001</c:v>
                </c:pt>
                <c:pt idx="25">
                  <c:v>33.475999999999999</c:v>
                </c:pt>
                <c:pt idx="26">
                  <c:v>21.638999999999999</c:v>
                </c:pt>
                <c:pt idx="27">
                  <c:v>25.367999999999999</c:v>
                </c:pt>
                <c:pt idx="28">
                  <c:v>7.7729999999999997</c:v>
                </c:pt>
                <c:pt idx="29">
                  <c:v>9.6329999999999991</c:v>
                </c:pt>
                <c:pt idx="30">
                  <c:v>6.8979999999999997</c:v>
                </c:pt>
                <c:pt idx="31">
                  <c:v>8.1940000000000008</c:v>
                </c:pt>
                <c:pt idx="32">
                  <c:v>15.555999999999999</c:v>
                </c:pt>
                <c:pt idx="33">
                  <c:v>24.273</c:v>
                </c:pt>
                <c:pt idx="34">
                  <c:v>22.479357</c:v>
                </c:pt>
                <c:pt idx="35">
                  <c:v>14.582350999999999</c:v>
                </c:pt>
                <c:pt idx="36">
                  <c:v>5.3599800000000002</c:v>
                </c:pt>
                <c:pt idx="37">
                  <c:v>25.587458000000002</c:v>
                </c:pt>
                <c:pt idx="38">
                  <c:v>22.846583996699998</c:v>
                </c:pt>
                <c:pt idx="39">
                  <c:v>17.986381994700004</c:v>
                </c:pt>
                <c:pt idx="40">
                  <c:v>7.8583149600000031</c:v>
                </c:pt>
                <c:pt idx="41">
                  <c:v>8.0337320000000005</c:v>
                </c:pt>
                <c:pt idx="42">
                  <c:v>9.3231020000000004</c:v>
                </c:pt>
                <c:pt idx="43">
                  <c:v>9.7129220000000007</c:v>
                </c:pt>
                <c:pt idx="44">
                  <c:v>-0.62418799999999997</c:v>
                </c:pt>
                <c:pt idx="45">
                  <c:v>21.698922</c:v>
                </c:pt>
                <c:pt idx="46">
                  <c:v>24.743487999999999</c:v>
                </c:pt>
                <c:pt idx="47">
                  <c:v>14.379591</c:v>
                </c:pt>
                <c:pt idx="48">
                  <c:v>8.19</c:v>
                </c:pt>
                <c:pt idx="49">
                  <c:v>24.76</c:v>
                </c:pt>
                <c:pt idx="50">
                  <c:v>22.95</c:v>
                </c:pt>
                <c:pt idx="51">
                  <c:v>20.420000000000002</c:v>
                </c:pt>
                <c:pt idx="52">
                  <c:v>9.2200000000000006</c:v>
                </c:pt>
                <c:pt idx="53">
                  <c:v>9.75</c:v>
                </c:pt>
                <c:pt idx="54">
                  <c:v>11.2</c:v>
                </c:pt>
                <c:pt idx="55">
                  <c:v>11.61</c:v>
                </c:pt>
                <c:pt idx="56">
                  <c:v>2.71</c:v>
                </c:pt>
                <c:pt idx="57">
                  <c:v>25.28</c:v>
                </c:pt>
                <c:pt idx="58">
                  <c:v>27</c:v>
                </c:pt>
                <c:pt idx="59">
                  <c:v>18.920000000000002</c:v>
                </c:pt>
                <c:pt idx="60">
                  <c:v>11.38</c:v>
                </c:pt>
                <c:pt idx="61">
                  <c:v>22.4</c:v>
                </c:pt>
                <c:pt idx="62">
                  <c:v>21.86</c:v>
                </c:pt>
                <c:pt idx="63">
                  <c:v>22.46</c:v>
                </c:pt>
                <c:pt idx="64">
                  <c:v>10.47</c:v>
                </c:pt>
                <c:pt idx="65">
                  <c:v>11.42</c:v>
                </c:pt>
                <c:pt idx="66">
                  <c:v>13</c:v>
                </c:pt>
                <c:pt idx="67">
                  <c:v>13.43</c:v>
                </c:pt>
                <c:pt idx="68">
                  <c:v>6.85</c:v>
                </c:pt>
                <c:pt idx="69">
                  <c:v>28.53</c:v>
                </c:pt>
                <c:pt idx="70">
                  <c:v>28.47</c:v>
                </c:pt>
                <c:pt idx="71">
                  <c:v>23.73</c:v>
                </c:pt>
                <c:pt idx="72">
                  <c:v>17</c:v>
                </c:pt>
                <c:pt idx="73">
                  <c:v>21.45</c:v>
                </c:pt>
                <c:pt idx="74">
                  <c:v>22.63</c:v>
                </c:pt>
                <c:pt idx="75">
                  <c:v>27.64</c:v>
                </c:pt>
                <c:pt idx="76">
                  <c:v>13.32</c:v>
                </c:pt>
                <c:pt idx="77">
                  <c:v>14.96</c:v>
                </c:pt>
                <c:pt idx="78">
                  <c:v>16.88</c:v>
                </c:pt>
                <c:pt idx="79">
                  <c:v>17.36</c:v>
                </c:pt>
                <c:pt idx="80">
                  <c:v>13.32</c:v>
                </c:pt>
                <c:pt idx="81">
                  <c:v>36.049999999999997</c:v>
                </c:pt>
                <c:pt idx="82">
                  <c:v>33.5</c:v>
                </c:pt>
                <c:pt idx="83">
                  <c:v>32.92</c:v>
                </c:pt>
                <c:pt idx="84">
                  <c:v>30.044</c:v>
                </c:pt>
                <c:pt idx="85">
                  <c:v>28.134</c:v>
                </c:pt>
                <c:pt idx="86">
                  <c:v>44.906999999999996</c:v>
                </c:pt>
                <c:pt idx="87">
                  <c:v>25.648</c:v>
                </c:pt>
                <c:pt idx="88">
                  <c:v>22.86</c:v>
                </c:pt>
                <c:pt idx="89">
                  <c:v>24.885999999999999</c:v>
                </c:pt>
                <c:pt idx="90">
                  <c:v>28.286000000000001</c:v>
                </c:pt>
                <c:pt idx="91">
                  <c:v>19.741</c:v>
                </c:pt>
                <c:pt idx="92">
                  <c:v>39.228999999999999</c:v>
                </c:pt>
                <c:pt idx="93">
                  <c:v>37.450000000000003</c:v>
                </c:pt>
                <c:pt idx="94">
                  <c:v>29.13</c:v>
                </c:pt>
                <c:pt idx="95">
                  <c:v>25.33</c:v>
                </c:pt>
                <c:pt idx="96">
                  <c:v>47.61</c:v>
                </c:pt>
                <c:pt idx="97">
                  <c:v>17.8</c:v>
                </c:pt>
                <c:pt idx="98">
                  <c:v>28.11</c:v>
                </c:pt>
                <c:pt idx="99">
                  <c:v>56.58</c:v>
                </c:pt>
                <c:pt idx="100">
                  <c:v>29.07</c:v>
                </c:pt>
                <c:pt idx="101">
                  <c:v>34.43</c:v>
                </c:pt>
                <c:pt idx="102">
                  <c:v>38.28</c:v>
                </c:pt>
                <c:pt idx="103">
                  <c:v>39.090000000000003</c:v>
                </c:pt>
                <c:pt idx="104">
                  <c:v>48.11</c:v>
                </c:pt>
                <c:pt idx="105">
                  <c:v>77.739999999999995</c:v>
                </c:pt>
                <c:pt idx="106">
                  <c:v>61.96</c:v>
                </c:pt>
                <c:pt idx="107">
                  <c:v>83.19</c:v>
                </c:pt>
                <c:pt idx="108">
                  <c:v>60.76</c:v>
                </c:pt>
                <c:pt idx="109">
                  <c:v>50.866530820000001</c:v>
                </c:pt>
                <c:pt idx="110">
                  <c:v>51.286889000000002</c:v>
                </c:pt>
                <c:pt idx="111">
                  <c:v>58.7</c:v>
                </c:pt>
                <c:pt idx="112">
                  <c:v>40.802765000000001</c:v>
                </c:pt>
                <c:pt idx="113">
                  <c:v>47.593061000000034</c:v>
                </c:pt>
                <c:pt idx="114">
                  <c:v>51.479214800000001</c:v>
                </c:pt>
                <c:pt idx="115">
                  <c:v>49.956369849999987</c:v>
                </c:pt>
                <c:pt idx="116">
                  <c:v>60.385169840000003</c:v>
                </c:pt>
                <c:pt idx="117">
                  <c:v>56.894812999999999</c:v>
                </c:pt>
                <c:pt idx="118">
                  <c:v>65.059459590000003</c:v>
                </c:pt>
                <c:pt idx="119">
                  <c:v>47.036439000000001</c:v>
                </c:pt>
                <c:pt idx="120">
                  <c:v>58.054727459999981</c:v>
                </c:pt>
                <c:pt idx="121">
                  <c:v>69.095324260000012</c:v>
                </c:pt>
                <c:pt idx="122">
                  <c:v>51.976993150000006</c:v>
                </c:pt>
                <c:pt idx="123">
                  <c:v>75.50613534</c:v>
                </c:pt>
                <c:pt idx="124">
                  <c:v>56.196695299999988</c:v>
                </c:pt>
                <c:pt idx="125">
                  <c:v>42.504221889999997</c:v>
                </c:pt>
                <c:pt idx="126">
                  <c:v>47.247418319999994</c:v>
                </c:pt>
                <c:pt idx="127">
                  <c:v>56.354305340000003</c:v>
                </c:pt>
                <c:pt idx="128">
                  <c:v>61.052811240000011</c:v>
                </c:pt>
                <c:pt idx="129">
                  <c:v>56.583900519999986</c:v>
                </c:pt>
                <c:pt idx="130">
                  <c:v>59.862524259999979</c:v>
                </c:pt>
                <c:pt idx="131">
                  <c:v>91.174803409999996</c:v>
                </c:pt>
                <c:pt idx="132">
                  <c:v>95.249746500000015</c:v>
                </c:pt>
                <c:pt idx="133">
                  <c:v>86.676731829999994</c:v>
                </c:pt>
                <c:pt idx="134">
                  <c:v>49.391668080000009</c:v>
                </c:pt>
                <c:pt idx="135">
                  <c:v>20.899308209999997</c:v>
                </c:pt>
                <c:pt idx="136">
                  <c:v>35.365157090000004</c:v>
                </c:pt>
                <c:pt idx="137">
                  <c:v>62.684143649999974</c:v>
                </c:pt>
                <c:pt idx="138">
                  <c:v>88.216347110000015</c:v>
                </c:pt>
                <c:pt idx="139">
                  <c:v>69.578502369999981</c:v>
                </c:pt>
                <c:pt idx="140">
                  <c:v>75.758434909999963</c:v>
                </c:pt>
                <c:pt idx="141">
                  <c:v>125.76851247999997</c:v>
                </c:pt>
                <c:pt idx="142">
                  <c:v>111.05516151000003</c:v>
                </c:pt>
                <c:pt idx="143">
                  <c:v>177.09596590000001</c:v>
                </c:pt>
                <c:pt idx="144">
                  <c:v>144.84260818000001</c:v>
                </c:pt>
                <c:pt idx="145">
                  <c:v>185.50649856000001</c:v>
                </c:pt>
                <c:pt idx="146">
                  <c:v>132.32191820000003</c:v>
                </c:pt>
                <c:pt idx="147">
                  <c:v>103.54220643000002</c:v>
                </c:pt>
                <c:pt idx="148">
                  <c:v>153.70405179999997</c:v>
                </c:pt>
                <c:pt idx="149">
                  <c:v>113.21929914</c:v>
                </c:pt>
                <c:pt idx="150">
                  <c:v>63.189526259999994</c:v>
                </c:pt>
                <c:pt idx="151">
                  <c:v>81.390533430000019</c:v>
                </c:pt>
                <c:pt idx="152">
                  <c:v>119.43826003</c:v>
                </c:pt>
                <c:pt idx="153">
                  <c:v>76.066223469999983</c:v>
                </c:pt>
                <c:pt idx="154">
                  <c:v>143.98827944000004</c:v>
                </c:pt>
                <c:pt idx="155">
                  <c:v>125.13792185000004</c:v>
                </c:pt>
                <c:pt idx="156">
                  <c:v>128.84919049999996</c:v>
                </c:pt>
                <c:pt idx="157">
                  <c:v>122.10167034000003</c:v>
                </c:pt>
                <c:pt idx="158">
                  <c:v>127.52114061</c:v>
                </c:pt>
                <c:pt idx="159">
                  <c:v>118.94508986000004</c:v>
                </c:pt>
                <c:pt idx="160">
                  <c:v>97.489711360000001</c:v>
                </c:pt>
                <c:pt idx="161">
                  <c:v>74.302094339999982</c:v>
                </c:pt>
                <c:pt idx="162">
                  <c:v>80.376295949999985</c:v>
                </c:pt>
                <c:pt idx="163">
                  <c:v>107.87800773000001</c:v>
                </c:pt>
                <c:pt idx="164">
                  <c:v>149.15188270000002</c:v>
                </c:pt>
                <c:pt idx="165">
                  <c:v>132.03496484000004</c:v>
                </c:pt>
                <c:pt idx="166">
                  <c:v>126.30987244000002</c:v>
                </c:pt>
                <c:pt idx="167">
                  <c:v>86.522249530000011</c:v>
                </c:pt>
                <c:pt idx="168">
                  <c:v>180.8</c:v>
                </c:pt>
                <c:pt idx="169">
                  <c:v>128.6</c:v>
                </c:pt>
                <c:pt idx="170">
                  <c:v>146.6</c:v>
                </c:pt>
                <c:pt idx="171">
                  <c:v>154.6</c:v>
                </c:pt>
                <c:pt idx="172">
                  <c:v>126.3</c:v>
                </c:pt>
                <c:pt idx="173">
                  <c:v>88.3</c:v>
                </c:pt>
                <c:pt idx="174">
                  <c:v>88.7</c:v>
                </c:pt>
                <c:pt idx="175">
                  <c:v>107.4</c:v>
                </c:pt>
                <c:pt idx="176">
                  <c:v>110.2</c:v>
                </c:pt>
                <c:pt idx="177">
                  <c:v>57.3</c:v>
                </c:pt>
                <c:pt idx="178">
                  <c:v>151.30000000000001</c:v>
                </c:pt>
                <c:pt idx="179">
                  <c:v>135.19999999999999</c:v>
                </c:pt>
                <c:pt idx="180">
                  <c:v>88.2</c:v>
                </c:pt>
                <c:pt idx="181">
                  <c:v>147</c:v>
                </c:pt>
                <c:pt idx="182">
                  <c:v>143.6</c:v>
                </c:pt>
                <c:pt idx="183">
                  <c:v>145.22699297</c:v>
                </c:pt>
                <c:pt idx="184">
                  <c:v>142.20603159999999</c:v>
                </c:pt>
                <c:pt idx="185">
                  <c:v>125.03</c:v>
                </c:pt>
                <c:pt idx="186">
                  <c:v>103.9218</c:v>
                </c:pt>
                <c:pt idx="187">
                  <c:v>142.31602841</c:v>
                </c:pt>
                <c:pt idx="188">
                  <c:v>112.1</c:v>
                </c:pt>
                <c:pt idx="189">
                  <c:v>160.4</c:v>
                </c:pt>
                <c:pt idx="190">
                  <c:v>156.9</c:v>
                </c:pt>
                <c:pt idx="191">
                  <c:v>155.93773905</c:v>
                </c:pt>
                <c:pt idx="192">
                  <c:v>158.96233398000001</c:v>
                </c:pt>
                <c:pt idx="193">
                  <c:v>191.2</c:v>
                </c:pt>
                <c:pt idx="194">
                  <c:v>132.9</c:v>
                </c:pt>
                <c:pt idx="195">
                  <c:v>167.7</c:v>
                </c:pt>
                <c:pt idx="196">
                  <c:v>142.1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91-B142-B543-3EAE21D126AF}"/>
            </c:ext>
          </c:extLst>
        </c:ser>
        <c:ser>
          <c:idx val="1"/>
          <c:order val="1"/>
          <c:tx>
            <c:strRef>
              <c:f>'New Summary Monthly'!$A$28</c:f>
              <c:strCache>
                <c:ptCount val="1"/>
                <c:pt idx="0">
                  <c:v> Casino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Monthly'!$B$12:$GP$12</c:f>
              <c:numCache>
                <c:formatCode>mmm\-yy</c:formatCode>
                <c:ptCount val="197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</c:numCache>
            </c:numRef>
          </c:cat>
          <c:val>
            <c:numRef>
              <c:f>'New Summary Monthly'!$B$28:$GP$28</c:f>
              <c:numCache>
                <c:formatCode>#,##0.0</c:formatCode>
                <c:ptCount val="197"/>
                <c:pt idx="30">
                  <c:v>2.345898</c:v>
                </c:pt>
                <c:pt idx="31">
                  <c:v>7.2486230000000003</c:v>
                </c:pt>
                <c:pt idx="32">
                  <c:v>8.8703199999999995</c:v>
                </c:pt>
                <c:pt idx="33">
                  <c:v>9.9404990000000009</c:v>
                </c:pt>
                <c:pt idx="34">
                  <c:v>9.8974270000000004</c:v>
                </c:pt>
                <c:pt idx="35">
                  <c:v>10.856248000000001</c:v>
                </c:pt>
                <c:pt idx="36">
                  <c:v>11.49231</c:v>
                </c:pt>
                <c:pt idx="37">
                  <c:v>10.107549000000001</c:v>
                </c:pt>
                <c:pt idx="38">
                  <c:v>10.760793</c:v>
                </c:pt>
                <c:pt idx="39">
                  <c:v>10.661536999999999</c:v>
                </c:pt>
                <c:pt idx="40">
                  <c:v>11.991652</c:v>
                </c:pt>
                <c:pt idx="41">
                  <c:v>11.320459</c:v>
                </c:pt>
                <c:pt idx="42">
                  <c:v>11.016285</c:v>
                </c:pt>
                <c:pt idx="43">
                  <c:v>10.522715</c:v>
                </c:pt>
                <c:pt idx="44">
                  <c:v>12.995785</c:v>
                </c:pt>
                <c:pt idx="45">
                  <c:v>13.581498</c:v>
                </c:pt>
                <c:pt idx="46">
                  <c:v>13.506392</c:v>
                </c:pt>
                <c:pt idx="47">
                  <c:v>18.934376</c:v>
                </c:pt>
                <c:pt idx="48">
                  <c:v>19.54</c:v>
                </c:pt>
                <c:pt idx="49">
                  <c:v>17.18</c:v>
                </c:pt>
                <c:pt idx="50">
                  <c:v>18.39</c:v>
                </c:pt>
                <c:pt idx="51">
                  <c:v>18.05</c:v>
                </c:pt>
                <c:pt idx="52">
                  <c:v>19.78</c:v>
                </c:pt>
                <c:pt idx="53">
                  <c:v>18.84</c:v>
                </c:pt>
                <c:pt idx="54">
                  <c:v>18.54</c:v>
                </c:pt>
                <c:pt idx="55">
                  <c:v>17.899999999999999</c:v>
                </c:pt>
                <c:pt idx="56">
                  <c:v>21.44</c:v>
                </c:pt>
                <c:pt idx="57">
                  <c:v>22.34</c:v>
                </c:pt>
                <c:pt idx="58">
                  <c:v>22.37</c:v>
                </c:pt>
                <c:pt idx="59">
                  <c:v>29.88</c:v>
                </c:pt>
                <c:pt idx="60">
                  <c:v>20.89</c:v>
                </c:pt>
                <c:pt idx="61">
                  <c:v>18.37</c:v>
                </c:pt>
                <c:pt idx="62">
                  <c:v>19.760000000000002</c:v>
                </c:pt>
                <c:pt idx="63">
                  <c:v>19.21</c:v>
                </c:pt>
                <c:pt idx="64">
                  <c:v>20.53</c:v>
                </c:pt>
                <c:pt idx="65">
                  <c:v>19.73</c:v>
                </c:pt>
                <c:pt idx="66">
                  <c:v>19.62</c:v>
                </c:pt>
                <c:pt idx="67">
                  <c:v>19.13</c:v>
                </c:pt>
                <c:pt idx="68">
                  <c:v>22.25</c:v>
                </c:pt>
                <c:pt idx="69">
                  <c:v>23.11</c:v>
                </c:pt>
                <c:pt idx="70">
                  <c:v>23.31</c:v>
                </c:pt>
                <c:pt idx="71">
                  <c:v>29.57</c:v>
                </c:pt>
                <c:pt idx="72">
                  <c:v>28.26</c:v>
                </c:pt>
                <c:pt idx="73">
                  <c:v>24.85</c:v>
                </c:pt>
                <c:pt idx="74">
                  <c:v>26.86</c:v>
                </c:pt>
                <c:pt idx="75">
                  <c:v>25.88</c:v>
                </c:pt>
                <c:pt idx="76">
                  <c:v>26.97</c:v>
                </c:pt>
                <c:pt idx="77">
                  <c:v>26.15</c:v>
                </c:pt>
                <c:pt idx="78">
                  <c:v>26.3</c:v>
                </c:pt>
                <c:pt idx="79">
                  <c:v>25.89</c:v>
                </c:pt>
                <c:pt idx="80">
                  <c:v>29.23</c:v>
                </c:pt>
                <c:pt idx="81">
                  <c:v>30.26</c:v>
                </c:pt>
                <c:pt idx="82">
                  <c:v>30.75</c:v>
                </c:pt>
                <c:pt idx="83">
                  <c:v>36.93</c:v>
                </c:pt>
                <c:pt idx="84">
                  <c:v>37.43</c:v>
                </c:pt>
                <c:pt idx="85">
                  <c:v>32.909999999999997</c:v>
                </c:pt>
                <c:pt idx="86">
                  <c:v>35.74</c:v>
                </c:pt>
                <c:pt idx="87">
                  <c:v>34.14</c:v>
                </c:pt>
                <c:pt idx="88">
                  <c:v>34.71</c:v>
                </c:pt>
                <c:pt idx="89">
                  <c:v>33.96</c:v>
                </c:pt>
                <c:pt idx="90">
                  <c:v>34.51</c:v>
                </c:pt>
                <c:pt idx="91">
                  <c:v>34.299999999999997</c:v>
                </c:pt>
                <c:pt idx="92">
                  <c:v>37.619999999999997</c:v>
                </c:pt>
                <c:pt idx="93">
                  <c:v>38.82</c:v>
                </c:pt>
                <c:pt idx="94">
                  <c:v>39.729999999999997</c:v>
                </c:pt>
                <c:pt idx="95">
                  <c:v>45.02</c:v>
                </c:pt>
                <c:pt idx="96">
                  <c:v>45.77</c:v>
                </c:pt>
                <c:pt idx="97">
                  <c:v>41.1</c:v>
                </c:pt>
                <c:pt idx="98">
                  <c:v>47.7</c:v>
                </c:pt>
                <c:pt idx="99">
                  <c:v>45.19</c:v>
                </c:pt>
                <c:pt idx="100">
                  <c:v>46.32</c:v>
                </c:pt>
                <c:pt idx="101">
                  <c:v>42.78</c:v>
                </c:pt>
                <c:pt idx="102">
                  <c:v>44.42</c:v>
                </c:pt>
                <c:pt idx="103">
                  <c:v>44.83</c:v>
                </c:pt>
                <c:pt idx="104">
                  <c:v>50.2</c:v>
                </c:pt>
                <c:pt idx="105">
                  <c:v>51.94</c:v>
                </c:pt>
                <c:pt idx="106">
                  <c:v>48.24</c:v>
                </c:pt>
                <c:pt idx="107">
                  <c:v>58.56</c:v>
                </c:pt>
                <c:pt idx="108">
                  <c:v>59.7</c:v>
                </c:pt>
                <c:pt idx="109">
                  <c:v>54.891883640000003</c:v>
                </c:pt>
                <c:pt idx="110">
                  <c:v>60.641289999999998</c:v>
                </c:pt>
                <c:pt idx="111">
                  <c:v>58.1</c:v>
                </c:pt>
                <c:pt idx="112">
                  <c:v>57.302202999999999</c:v>
                </c:pt>
                <c:pt idx="113">
                  <c:v>55.494256999999998</c:v>
                </c:pt>
                <c:pt idx="114">
                  <c:v>56.258000000000003</c:v>
                </c:pt>
                <c:pt idx="115">
                  <c:v>56.464994500000003</c:v>
                </c:pt>
                <c:pt idx="116">
                  <c:v>58.65</c:v>
                </c:pt>
                <c:pt idx="117">
                  <c:v>64.913787999999997</c:v>
                </c:pt>
                <c:pt idx="118">
                  <c:v>57.200574770000003</c:v>
                </c:pt>
                <c:pt idx="119">
                  <c:v>70.420872000000003</c:v>
                </c:pt>
                <c:pt idx="120">
                  <c:v>71.942071190361759</c:v>
                </c:pt>
                <c:pt idx="121">
                  <c:v>61.40534213136182</c:v>
                </c:pt>
                <c:pt idx="122">
                  <c:v>72.571528158493095</c:v>
                </c:pt>
                <c:pt idx="123">
                  <c:v>67.422118842051447</c:v>
                </c:pt>
                <c:pt idx="124">
                  <c:v>69.915004660313983</c:v>
                </c:pt>
                <c:pt idx="125">
                  <c:v>62.550703943263557</c:v>
                </c:pt>
                <c:pt idx="126">
                  <c:v>64.478732467207024</c:v>
                </c:pt>
                <c:pt idx="127">
                  <c:v>67.044378711617981</c:v>
                </c:pt>
                <c:pt idx="128">
                  <c:v>71.743824963628995</c:v>
                </c:pt>
                <c:pt idx="129">
                  <c:v>65.681182734199965</c:v>
                </c:pt>
                <c:pt idx="130">
                  <c:v>71.348908267882976</c:v>
                </c:pt>
                <c:pt idx="131">
                  <c:v>85.06591521084998</c:v>
                </c:pt>
                <c:pt idx="132">
                  <c:v>81.824983610000032</c:v>
                </c:pt>
                <c:pt idx="133">
                  <c:v>78.129455380000024</c:v>
                </c:pt>
                <c:pt idx="134">
                  <c:v>93.995830549999994</c:v>
                </c:pt>
                <c:pt idx="135">
                  <c:v>98.281219379999996</c:v>
                </c:pt>
                <c:pt idx="136">
                  <c:v>105.50681990000004</c:v>
                </c:pt>
                <c:pt idx="137">
                  <c:v>98.658382449999976</c:v>
                </c:pt>
                <c:pt idx="138">
                  <c:v>92.973815129999963</c:v>
                </c:pt>
                <c:pt idx="139">
                  <c:v>94.804208550000027</c:v>
                </c:pt>
                <c:pt idx="140">
                  <c:v>92.707567770000026</c:v>
                </c:pt>
                <c:pt idx="141">
                  <c:v>103.55499985999997</c:v>
                </c:pt>
                <c:pt idx="142">
                  <c:v>123.59264278999997</c:v>
                </c:pt>
                <c:pt idx="143">
                  <c:v>153.84213118999995</c:v>
                </c:pt>
                <c:pt idx="144">
                  <c:v>162.84849324999993</c:v>
                </c:pt>
                <c:pt idx="145">
                  <c:v>142.9743348100001</c:v>
                </c:pt>
                <c:pt idx="146">
                  <c:v>158.72486277999994</c:v>
                </c:pt>
                <c:pt idx="147">
                  <c:v>161.20574770999997</c:v>
                </c:pt>
                <c:pt idx="148">
                  <c:v>155.10037652999998</c:v>
                </c:pt>
                <c:pt idx="149">
                  <c:v>133.95609898000001</c:v>
                </c:pt>
                <c:pt idx="150">
                  <c:v>128.8395903</c:v>
                </c:pt>
                <c:pt idx="151">
                  <c:v>134.22394301000006</c:v>
                </c:pt>
                <c:pt idx="152">
                  <c:v>139.68392421000001</c:v>
                </c:pt>
                <c:pt idx="153">
                  <c:v>148.80530187999994</c:v>
                </c:pt>
                <c:pt idx="154">
                  <c:v>141.77767768999999</c:v>
                </c:pt>
                <c:pt idx="155">
                  <c:v>165.46579620999995</c:v>
                </c:pt>
                <c:pt idx="156">
                  <c:v>171.27230837000005</c:v>
                </c:pt>
                <c:pt idx="157">
                  <c:v>147.92658824</c:v>
                </c:pt>
                <c:pt idx="158">
                  <c:v>160.60141478999995</c:v>
                </c:pt>
                <c:pt idx="159">
                  <c:v>158.52532664000003</c:v>
                </c:pt>
                <c:pt idx="160">
                  <c:v>163.53260316999996</c:v>
                </c:pt>
                <c:pt idx="161">
                  <c:v>152.92269152000006</c:v>
                </c:pt>
                <c:pt idx="162">
                  <c:v>160.35304239999999</c:v>
                </c:pt>
                <c:pt idx="163">
                  <c:v>170.74622260999999</c:v>
                </c:pt>
                <c:pt idx="164">
                  <c:v>165.07424562</c:v>
                </c:pt>
                <c:pt idx="165">
                  <c:v>179.99062419000006</c:v>
                </c:pt>
                <c:pt idx="166">
                  <c:v>176.12401583000005</c:v>
                </c:pt>
                <c:pt idx="167">
                  <c:v>206.09441701</c:v>
                </c:pt>
                <c:pt idx="168">
                  <c:v>204.7</c:v>
                </c:pt>
                <c:pt idx="169">
                  <c:v>178.9</c:v>
                </c:pt>
                <c:pt idx="170">
                  <c:v>196.8</c:v>
                </c:pt>
                <c:pt idx="171">
                  <c:v>191.5</c:v>
                </c:pt>
                <c:pt idx="172">
                  <c:v>191.5</c:v>
                </c:pt>
                <c:pt idx="173">
                  <c:v>175.7</c:v>
                </c:pt>
                <c:pt idx="174">
                  <c:v>183.5</c:v>
                </c:pt>
                <c:pt idx="175">
                  <c:v>193.5</c:v>
                </c:pt>
                <c:pt idx="176">
                  <c:v>197</c:v>
                </c:pt>
                <c:pt idx="177">
                  <c:v>210.5</c:v>
                </c:pt>
                <c:pt idx="178">
                  <c:v>210.2</c:v>
                </c:pt>
                <c:pt idx="179">
                  <c:v>234.5</c:v>
                </c:pt>
                <c:pt idx="180">
                  <c:v>236</c:v>
                </c:pt>
                <c:pt idx="181">
                  <c:v>215.8</c:v>
                </c:pt>
                <c:pt idx="182">
                  <c:v>225.7</c:v>
                </c:pt>
                <c:pt idx="183">
                  <c:v>214.53544214999999</c:v>
                </c:pt>
                <c:pt idx="184">
                  <c:v>221.7196673</c:v>
                </c:pt>
                <c:pt idx="185">
                  <c:v>215.85576171</c:v>
                </c:pt>
                <c:pt idx="186">
                  <c:v>228.06066853999999</c:v>
                </c:pt>
                <c:pt idx="187">
                  <c:v>228.0328581</c:v>
                </c:pt>
                <c:pt idx="188">
                  <c:v>241.1</c:v>
                </c:pt>
                <c:pt idx="189">
                  <c:v>251.8</c:v>
                </c:pt>
                <c:pt idx="190">
                  <c:v>237.1</c:v>
                </c:pt>
                <c:pt idx="191">
                  <c:v>281.90270817999999</c:v>
                </c:pt>
                <c:pt idx="192">
                  <c:v>273.61724055000002</c:v>
                </c:pt>
                <c:pt idx="193">
                  <c:v>240.6</c:v>
                </c:pt>
                <c:pt idx="194">
                  <c:v>262.5</c:v>
                </c:pt>
                <c:pt idx="195">
                  <c:v>251.4</c:v>
                </c:pt>
                <c:pt idx="196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91-B142-B543-3EAE21D126AF}"/>
            </c:ext>
          </c:extLst>
        </c:ser>
        <c:ser>
          <c:idx val="2"/>
          <c:order val="2"/>
          <c:tx>
            <c:strRef>
              <c:f>'New Summary Monthly'!$A$34</c:f>
              <c:strCache>
                <c:ptCount val="1"/>
                <c:pt idx="0">
                  <c:v> Poker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numRef>
              <c:f>'New Summary Monthly'!$B$12:$GP$12</c:f>
              <c:numCache>
                <c:formatCode>mmm\-yy</c:formatCode>
                <c:ptCount val="197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</c:numCache>
            </c:numRef>
          </c:cat>
          <c:val>
            <c:numRef>
              <c:f>'New Summary Monthly'!$B$31:$GP$31</c:f>
              <c:numCache>
                <c:formatCode>#,##0.0</c:formatCode>
                <c:ptCount val="197"/>
                <c:pt idx="0">
                  <c:v>17.323044469027497</c:v>
                </c:pt>
                <c:pt idx="1">
                  <c:v>17.50631949592583</c:v>
                </c:pt>
                <c:pt idx="2">
                  <c:v>22.263719460767707</c:v>
                </c:pt>
                <c:pt idx="3">
                  <c:v>22.935770766253135</c:v>
                </c:pt>
                <c:pt idx="4">
                  <c:v>24.418241117344543</c:v>
                </c:pt>
                <c:pt idx="5">
                  <c:v>23.061506547693185</c:v>
                </c:pt>
                <c:pt idx="6">
                  <c:v>22.523740623975041</c:v>
                </c:pt>
                <c:pt idx="7">
                  <c:v>21.693075819625946</c:v>
                </c:pt>
                <c:pt idx="8">
                  <c:v>25.824516860085375</c:v>
                </c:pt>
                <c:pt idx="9">
                  <c:v>29.153011319084811</c:v>
                </c:pt>
                <c:pt idx="10">
                  <c:v>29.547807160199881</c:v>
                </c:pt>
                <c:pt idx="11">
                  <c:v>30.763765532791471</c:v>
                </c:pt>
                <c:pt idx="12">
                  <c:v>36.428260999999999</c:v>
                </c:pt>
                <c:pt idx="13">
                  <c:v>31.910487</c:v>
                </c:pt>
                <c:pt idx="14">
                  <c:v>35.385094000000002</c:v>
                </c:pt>
                <c:pt idx="15">
                  <c:v>32.945965999999999</c:v>
                </c:pt>
                <c:pt idx="16">
                  <c:v>33.921692999999998</c:v>
                </c:pt>
                <c:pt idx="17">
                  <c:v>29.194009000000001</c:v>
                </c:pt>
                <c:pt idx="18">
                  <c:v>27.479068999999999</c:v>
                </c:pt>
                <c:pt idx="19">
                  <c:v>26.379859</c:v>
                </c:pt>
                <c:pt idx="20">
                  <c:v>29.452586</c:v>
                </c:pt>
                <c:pt idx="21">
                  <c:v>31.646061</c:v>
                </c:pt>
                <c:pt idx="22">
                  <c:v>30.230405999999999</c:v>
                </c:pt>
                <c:pt idx="23">
                  <c:v>31.510586</c:v>
                </c:pt>
                <c:pt idx="24">
                  <c:v>35.274630999999999</c:v>
                </c:pt>
                <c:pt idx="25">
                  <c:v>30.003291000000001</c:v>
                </c:pt>
                <c:pt idx="26">
                  <c:v>31.470037999999999</c:v>
                </c:pt>
                <c:pt idx="27">
                  <c:v>27.418716</c:v>
                </c:pt>
                <c:pt idx="28">
                  <c:v>27.653503000000001</c:v>
                </c:pt>
                <c:pt idx="29">
                  <c:v>24.966937999999999</c:v>
                </c:pt>
                <c:pt idx="30">
                  <c:v>25.045884999999998</c:v>
                </c:pt>
                <c:pt idx="31">
                  <c:v>33.757512999999996</c:v>
                </c:pt>
                <c:pt idx="32">
                  <c:v>35.668893000000004</c:v>
                </c:pt>
                <c:pt idx="33">
                  <c:v>39.357247999999998</c:v>
                </c:pt>
                <c:pt idx="34">
                  <c:v>36.940747999999999</c:v>
                </c:pt>
                <c:pt idx="35">
                  <c:v>36.812897</c:v>
                </c:pt>
                <c:pt idx="36">
                  <c:v>41.050750000000001</c:v>
                </c:pt>
                <c:pt idx="37">
                  <c:v>36.737051999999998</c:v>
                </c:pt>
                <c:pt idx="38">
                  <c:v>33.364328</c:v>
                </c:pt>
                <c:pt idx="39">
                  <c:v>32.509329000000001</c:v>
                </c:pt>
                <c:pt idx="40">
                  <c:v>30.495404999999998</c:v>
                </c:pt>
                <c:pt idx="41">
                  <c:v>26.646450000000002</c:v>
                </c:pt>
                <c:pt idx="42">
                  <c:v>26.335455</c:v>
                </c:pt>
                <c:pt idx="43">
                  <c:v>23.372693999999999</c:v>
                </c:pt>
                <c:pt idx="44">
                  <c:v>29.235951</c:v>
                </c:pt>
                <c:pt idx="45">
                  <c:v>27.685220999999999</c:v>
                </c:pt>
                <c:pt idx="46">
                  <c:v>27.194948</c:v>
                </c:pt>
                <c:pt idx="47">
                  <c:v>26.000967000000003</c:v>
                </c:pt>
                <c:pt idx="48">
                  <c:v>25.63</c:v>
                </c:pt>
                <c:pt idx="49">
                  <c:v>22.9</c:v>
                </c:pt>
                <c:pt idx="50">
                  <c:v>21.16</c:v>
                </c:pt>
                <c:pt idx="51">
                  <c:v>20.38</c:v>
                </c:pt>
                <c:pt idx="52">
                  <c:v>19.380000000000003</c:v>
                </c:pt>
                <c:pt idx="53">
                  <c:v>16.98</c:v>
                </c:pt>
                <c:pt idx="54">
                  <c:v>16.72</c:v>
                </c:pt>
                <c:pt idx="55">
                  <c:v>15.36</c:v>
                </c:pt>
                <c:pt idx="56">
                  <c:v>18.79</c:v>
                </c:pt>
                <c:pt idx="57">
                  <c:v>17.919999999999998</c:v>
                </c:pt>
                <c:pt idx="58">
                  <c:v>16.560000000000002</c:v>
                </c:pt>
                <c:pt idx="59">
                  <c:v>17.96</c:v>
                </c:pt>
                <c:pt idx="60">
                  <c:v>20.61</c:v>
                </c:pt>
                <c:pt idx="61">
                  <c:v>18.39</c:v>
                </c:pt>
                <c:pt idx="62">
                  <c:v>17.3</c:v>
                </c:pt>
                <c:pt idx="63">
                  <c:v>16.450000000000003</c:v>
                </c:pt>
                <c:pt idx="64">
                  <c:v>15.879999999999999</c:v>
                </c:pt>
                <c:pt idx="65">
                  <c:v>13.93</c:v>
                </c:pt>
                <c:pt idx="66">
                  <c:v>13.66</c:v>
                </c:pt>
                <c:pt idx="67">
                  <c:v>12.989999999999998</c:v>
                </c:pt>
                <c:pt idx="68">
                  <c:v>15.54</c:v>
                </c:pt>
                <c:pt idx="69">
                  <c:v>14.95</c:v>
                </c:pt>
                <c:pt idx="70">
                  <c:v>12.96</c:v>
                </c:pt>
                <c:pt idx="71">
                  <c:v>15.879999999999999</c:v>
                </c:pt>
                <c:pt idx="72">
                  <c:v>15.32</c:v>
                </c:pt>
                <c:pt idx="73">
                  <c:v>13.68</c:v>
                </c:pt>
                <c:pt idx="74">
                  <c:v>13.120000000000001</c:v>
                </c:pt>
                <c:pt idx="75">
                  <c:v>12.36</c:v>
                </c:pt>
                <c:pt idx="76">
                  <c:v>12.08</c:v>
                </c:pt>
                <c:pt idx="77">
                  <c:v>10.629999999999999</c:v>
                </c:pt>
                <c:pt idx="78">
                  <c:v>10.35</c:v>
                </c:pt>
                <c:pt idx="79">
                  <c:v>10.149999999999999</c:v>
                </c:pt>
                <c:pt idx="80">
                  <c:v>11.98</c:v>
                </c:pt>
                <c:pt idx="81">
                  <c:v>11.54</c:v>
                </c:pt>
                <c:pt idx="82">
                  <c:v>9.370000000000001</c:v>
                </c:pt>
                <c:pt idx="83">
                  <c:v>13.08</c:v>
                </c:pt>
                <c:pt idx="84">
                  <c:v>14.71</c:v>
                </c:pt>
                <c:pt idx="85">
                  <c:v>13.100000000000001</c:v>
                </c:pt>
                <c:pt idx="86">
                  <c:v>12.83</c:v>
                </c:pt>
                <c:pt idx="87">
                  <c:v>11.9</c:v>
                </c:pt>
                <c:pt idx="88">
                  <c:v>11.83</c:v>
                </c:pt>
                <c:pt idx="89">
                  <c:v>10.399999999999999</c:v>
                </c:pt>
                <c:pt idx="90">
                  <c:v>10.07</c:v>
                </c:pt>
                <c:pt idx="91">
                  <c:v>10.24</c:v>
                </c:pt>
                <c:pt idx="92">
                  <c:v>11.84</c:v>
                </c:pt>
                <c:pt idx="93">
                  <c:v>11.510000000000002</c:v>
                </c:pt>
                <c:pt idx="94">
                  <c:v>8.69</c:v>
                </c:pt>
                <c:pt idx="95">
                  <c:v>13.7</c:v>
                </c:pt>
                <c:pt idx="96">
                  <c:v>16.239999999999998</c:v>
                </c:pt>
                <c:pt idx="97">
                  <c:v>13.44</c:v>
                </c:pt>
                <c:pt idx="98">
                  <c:v>13.469999999999999</c:v>
                </c:pt>
                <c:pt idx="99">
                  <c:v>12.21</c:v>
                </c:pt>
                <c:pt idx="100">
                  <c:v>12.33</c:v>
                </c:pt>
                <c:pt idx="101">
                  <c:v>11.14</c:v>
                </c:pt>
                <c:pt idx="102">
                  <c:v>11.01</c:v>
                </c:pt>
                <c:pt idx="103">
                  <c:v>11.02</c:v>
                </c:pt>
                <c:pt idx="104">
                  <c:v>12.81</c:v>
                </c:pt>
                <c:pt idx="105">
                  <c:v>13.03</c:v>
                </c:pt>
                <c:pt idx="106">
                  <c:v>12.969999999999999</c:v>
                </c:pt>
                <c:pt idx="107">
                  <c:v>13.370000000000001</c:v>
                </c:pt>
                <c:pt idx="108">
                  <c:v>15.43</c:v>
                </c:pt>
                <c:pt idx="109">
                  <c:v>13.53672847</c:v>
                </c:pt>
                <c:pt idx="110">
                  <c:v>14.245888000000001</c:v>
                </c:pt>
                <c:pt idx="111">
                  <c:v>11.899999999999999</c:v>
                </c:pt>
                <c:pt idx="112">
                  <c:v>11.952695</c:v>
                </c:pt>
                <c:pt idx="113">
                  <c:v>10.900967859999998</c:v>
                </c:pt>
                <c:pt idx="114">
                  <c:v>10.600000000000001</c:v>
                </c:pt>
                <c:pt idx="115">
                  <c:v>10.321612</c:v>
                </c:pt>
                <c:pt idx="116">
                  <c:v>10.98273032</c:v>
                </c:pt>
                <c:pt idx="117">
                  <c:v>11.998609</c:v>
                </c:pt>
                <c:pt idx="118">
                  <c:v>12.17211912</c:v>
                </c:pt>
                <c:pt idx="119">
                  <c:v>12.954819000000001</c:v>
                </c:pt>
                <c:pt idx="120">
                  <c:v>15.004291730768999</c:v>
                </c:pt>
                <c:pt idx="121">
                  <c:v>12.239722671783996</c:v>
                </c:pt>
                <c:pt idx="122">
                  <c:v>12.565209981884005</c:v>
                </c:pt>
                <c:pt idx="123">
                  <c:v>11.860159598094</c:v>
                </c:pt>
                <c:pt idx="124">
                  <c:v>11.314900876752002</c:v>
                </c:pt>
                <c:pt idx="125">
                  <c:v>9.8186948223210013</c:v>
                </c:pt>
                <c:pt idx="126">
                  <c:v>9.6692089199639959</c:v>
                </c:pt>
                <c:pt idx="127">
                  <c:v>9.8377948127330015</c:v>
                </c:pt>
                <c:pt idx="128">
                  <c:v>10.98273032</c:v>
                </c:pt>
                <c:pt idx="129">
                  <c:v>10.687020146625997</c:v>
                </c:pt>
                <c:pt idx="130">
                  <c:v>11.562590753856</c:v>
                </c:pt>
                <c:pt idx="131">
                  <c:v>12.528515589668997</c:v>
                </c:pt>
                <c:pt idx="132">
                  <c:v>13.305677568477003</c:v>
                </c:pt>
                <c:pt idx="133">
                  <c:v>11.882306700092998</c:v>
                </c:pt>
                <c:pt idx="134">
                  <c:v>26.044236146631995</c:v>
                </c:pt>
                <c:pt idx="135">
                  <c:v>32.26708882733999</c:v>
                </c:pt>
                <c:pt idx="136">
                  <c:v>23.172783546193997</c:v>
                </c:pt>
                <c:pt idx="137">
                  <c:v>14.339759250691998</c:v>
                </c:pt>
                <c:pt idx="138">
                  <c:v>11.068498341411999</c:v>
                </c:pt>
                <c:pt idx="139">
                  <c:v>11.196534069648001</c:v>
                </c:pt>
                <c:pt idx="140">
                  <c:v>11.98273032</c:v>
                </c:pt>
                <c:pt idx="141">
                  <c:v>13.100768754030998</c:v>
                </c:pt>
                <c:pt idx="142">
                  <c:v>18.429582666555998</c:v>
                </c:pt>
                <c:pt idx="143">
                  <c:v>20.519725973092001</c:v>
                </c:pt>
                <c:pt idx="144">
                  <c:v>21.800047560000003</c:v>
                </c:pt>
                <c:pt idx="145">
                  <c:v>16.557180390000006</c:v>
                </c:pt>
                <c:pt idx="146">
                  <c:v>17.786239149999989</c:v>
                </c:pt>
                <c:pt idx="147">
                  <c:v>17.02134495</c:v>
                </c:pt>
                <c:pt idx="148">
                  <c:v>13.927399259999996</c:v>
                </c:pt>
                <c:pt idx="149">
                  <c:v>10.976943459999998</c:v>
                </c:pt>
                <c:pt idx="150">
                  <c:v>10.623406109999996</c:v>
                </c:pt>
                <c:pt idx="151">
                  <c:v>11.666281319999998</c:v>
                </c:pt>
                <c:pt idx="152">
                  <c:v>13.239431830000001</c:v>
                </c:pt>
                <c:pt idx="153">
                  <c:v>14.060798060000003</c:v>
                </c:pt>
                <c:pt idx="154">
                  <c:v>13.859436639999998</c:v>
                </c:pt>
                <c:pt idx="155">
                  <c:v>15.665026489999997</c:v>
                </c:pt>
                <c:pt idx="156">
                  <c:v>18.90273208</c:v>
                </c:pt>
                <c:pt idx="157">
                  <c:v>13.856007309999999</c:v>
                </c:pt>
                <c:pt idx="158">
                  <c:v>14.334491669999998</c:v>
                </c:pt>
                <c:pt idx="159">
                  <c:v>13.340851590000002</c:v>
                </c:pt>
                <c:pt idx="160">
                  <c:v>12.46198249</c:v>
                </c:pt>
                <c:pt idx="161">
                  <c:v>11.688183840000001</c:v>
                </c:pt>
                <c:pt idx="162">
                  <c:v>12.454043729999999</c:v>
                </c:pt>
                <c:pt idx="163">
                  <c:v>13.321294389999998</c:v>
                </c:pt>
                <c:pt idx="164">
                  <c:v>13.548738499999999</c:v>
                </c:pt>
                <c:pt idx="165">
                  <c:v>14.14643517</c:v>
                </c:pt>
                <c:pt idx="166">
                  <c:v>14.860085290000001</c:v>
                </c:pt>
                <c:pt idx="167">
                  <c:v>16.867432880000003</c:v>
                </c:pt>
                <c:pt idx="168">
                  <c:v>19.460000000000008</c:v>
                </c:pt>
                <c:pt idx="169">
                  <c:v>15.566037735849056</c:v>
                </c:pt>
                <c:pt idx="170">
                  <c:v>15</c:v>
                </c:pt>
                <c:pt idx="171">
                  <c:v>15.1</c:v>
                </c:pt>
                <c:pt idx="172">
                  <c:v>14.068400570000001</c:v>
                </c:pt>
                <c:pt idx="173">
                  <c:v>12.80439123</c:v>
                </c:pt>
                <c:pt idx="174">
                  <c:v>12.8</c:v>
                </c:pt>
                <c:pt idx="175">
                  <c:v>13.5</c:v>
                </c:pt>
                <c:pt idx="176">
                  <c:v>14</c:v>
                </c:pt>
                <c:pt idx="177">
                  <c:v>14.700000000000001</c:v>
                </c:pt>
                <c:pt idx="178">
                  <c:v>14.7</c:v>
                </c:pt>
                <c:pt idx="179">
                  <c:v>15.8</c:v>
                </c:pt>
                <c:pt idx="180">
                  <c:v>18.35787178</c:v>
                </c:pt>
                <c:pt idx="181">
                  <c:v>15.089686590000001</c:v>
                </c:pt>
                <c:pt idx="182">
                  <c:v>15.2</c:v>
                </c:pt>
                <c:pt idx="183">
                  <c:v>14.265052669999999</c:v>
                </c:pt>
                <c:pt idx="184">
                  <c:v>14.232368310000002</c:v>
                </c:pt>
                <c:pt idx="185">
                  <c:v>12.879468500000002</c:v>
                </c:pt>
                <c:pt idx="186">
                  <c:v>12.656000000000001</c:v>
                </c:pt>
                <c:pt idx="187">
                  <c:v>12.796857509999999</c:v>
                </c:pt>
                <c:pt idx="188">
                  <c:v>14.3</c:v>
                </c:pt>
                <c:pt idx="189">
                  <c:v>14.69358235</c:v>
                </c:pt>
                <c:pt idx="190">
                  <c:v>14.04</c:v>
                </c:pt>
                <c:pt idx="191">
                  <c:v>16.405365369999998</c:v>
                </c:pt>
                <c:pt idx="192">
                  <c:v>18.80661546</c:v>
                </c:pt>
                <c:pt idx="193">
                  <c:v>15.18128989</c:v>
                </c:pt>
                <c:pt idx="194">
                  <c:v>16.251585470000002</c:v>
                </c:pt>
                <c:pt idx="195">
                  <c:v>14.582348619999999</c:v>
                </c:pt>
                <c:pt idx="196">
                  <c:v>16.01832259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91-B142-B543-3EAE21D126AF}"/>
            </c:ext>
          </c:extLst>
        </c:ser>
        <c:ser>
          <c:idx val="3"/>
          <c:order val="3"/>
          <c:tx>
            <c:strRef>
              <c:f>'New Summary Monthly'!$A$32</c:f>
              <c:strCache>
                <c:ptCount val="1"/>
                <c:pt idx="0">
                  <c:v> Bingo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Monthly'!$B$12:$GP$12</c:f>
              <c:numCache>
                <c:formatCode>mmm\-yy</c:formatCode>
                <c:ptCount val="197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</c:numCache>
            </c:numRef>
          </c:cat>
          <c:val>
            <c:numRef>
              <c:f>'New Summary Monthly'!$B$32:$GP$32</c:f>
              <c:numCache>
                <c:formatCode>#,##0.0</c:formatCode>
                <c:ptCount val="197"/>
                <c:pt idx="11">
                  <c:v>2.3498587646205524E-2</c:v>
                </c:pt>
                <c:pt idx="12">
                  <c:v>1.91981</c:v>
                </c:pt>
                <c:pt idx="13">
                  <c:v>2.2353000000000001</c:v>
                </c:pt>
                <c:pt idx="14">
                  <c:v>3.1903239999999999</c:v>
                </c:pt>
                <c:pt idx="15">
                  <c:v>3.1724800000000002</c:v>
                </c:pt>
                <c:pt idx="16">
                  <c:v>3.6275840000000001</c:v>
                </c:pt>
                <c:pt idx="17">
                  <c:v>2.9994230000000002</c:v>
                </c:pt>
                <c:pt idx="18">
                  <c:v>3.2723840000000002</c:v>
                </c:pt>
                <c:pt idx="19">
                  <c:v>3.2461739999999999</c:v>
                </c:pt>
                <c:pt idx="20">
                  <c:v>4.5419099999999997</c:v>
                </c:pt>
                <c:pt idx="21">
                  <c:v>5.2191409999999996</c:v>
                </c:pt>
                <c:pt idx="22">
                  <c:v>5.0760079999999999</c:v>
                </c:pt>
                <c:pt idx="23">
                  <c:v>5.7057029999999997</c:v>
                </c:pt>
                <c:pt idx="24">
                  <c:v>6.0008470000000003</c:v>
                </c:pt>
                <c:pt idx="25">
                  <c:v>5.362209</c:v>
                </c:pt>
                <c:pt idx="26">
                  <c:v>5.994103</c:v>
                </c:pt>
                <c:pt idx="27">
                  <c:v>5.1959910000000002</c:v>
                </c:pt>
                <c:pt idx="28">
                  <c:v>5.3270160000000004</c:v>
                </c:pt>
                <c:pt idx="29">
                  <c:v>4.6027240000000003</c:v>
                </c:pt>
                <c:pt idx="30">
                  <c:v>3.636825</c:v>
                </c:pt>
                <c:pt idx="31">
                  <c:v>3.1845210000000002</c:v>
                </c:pt>
                <c:pt idx="32">
                  <c:v>3.3395220000000001</c:v>
                </c:pt>
                <c:pt idx="33">
                  <c:v>4.0149340000000002</c:v>
                </c:pt>
                <c:pt idx="34">
                  <c:v>3.876147</c:v>
                </c:pt>
                <c:pt idx="35">
                  <c:v>4.3995870000000004</c:v>
                </c:pt>
                <c:pt idx="36">
                  <c:v>4.7395269999999998</c:v>
                </c:pt>
                <c:pt idx="37">
                  <c:v>4.0748600000000001</c:v>
                </c:pt>
                <c:pt idx="38">
                  <c:v>4.0998099999999997</c:v>
                </c:pt>
                <c:pt idx="39">
                  <c:v>3.8136999999999999</c:v>
                </c:pt>
                <c:pt idx="40">
                  <c:v>3.7258629999999999</c:v>
                </c:pt>
                <c:pt idx="41">
                  <c:v>3.0439940000000001</c:v>
                </c:pt>
                <c:pt idx="42">
                  <c:v>2.8123239999999998</c:v>
                </c:pt>
                <c:pt idx="43">
                  <c:v>2.78423</c:v>
                </c:pt>
                <c:pt idx="44">
                  <c:v>3.2328329999999998</c:v>
                </c:pt>
                <c:pt idx="45">
                  <c:v>3.4386779999999999</c:v>
                </c:pt>
                <c:pt idx="46">
                  <c:v>3.3519589999999999</c:v>
                </c:pt>
                <c:pt idx="47">
                  <c:v>3.697638</c:v>
                </c:pt>
                <c:pt idx="48">
                  <c:v>3.48</c:v>
                </c:pt>
                <c:pt idx="49">
                  <c:v>2.98</c:v>
                </c:pt>
                <c:pt idx="50">
                  <c:v>3</c:v>
                </c:pt>
                <c:pt idx="51">
                  <c:v>2.78</c:v>
                </c:pt>
                <c:pt idx="52">
                  <c:v>2.74</c:v>
                </c:pt>
                <c:pt idx="53">
                  <c:v>2.27</c:v>
                </c:pt>
                <c:pt idx="54">
                  <c:v>2.15</c:v>
                </c:pt>
                <c:pt idx="55">
                  <c:v>2.13</c:v>
                </c:pt>
                <c:pt idx="56">
                  <c:v>2.4300000000000002</c:v>
                </c:pt>
                <c:pt idx="57">
                  <c:v>2.59</c:v>
                </c:pt>
                <c:pt idx="58">
                  <c:v>2.57</c:v>
                </c:pt>
                <c:pt idx="59">
                  <c:v>2.87</c:v>
                </c:pt>
                <c:pt idx="60">
                  <c:v>2.88</c:v>
                </c:pt>
                <c:pt idx="61">
                  <c:v>2.4500000000000002</c:v>
                </c:pt>
                <c:pt idx="62">
                  <c:v>2.4700000000000002</c:v>
                </c:pt>
                <c:pt idx="63">
                  <c:v>2.29</c:v>
                </c:pt>
                <c:pt idx="64">
                  <c:v>2.27</c:v>
                </c:pt>
                <c:pt idx="65">
                  <c:v>1.92</c:v>
                </c:pt>
                <c:pt idx="66">
                  <c:v>1.86</c:v>
                </c:pt>
                <c:pt idx="67">
                  <c:v>1.84</c:v>
                </c:pt>
                <c:pt idx="68">
                  <c:v>2.0699999999999998</c:v>
                </c:pt>
                <c:pt idx="69">
                  <c:v>2.2000000000000002</c:v>
                </c:pt>
                <c:pt idx="70">
                  <c:v>2.23</c:v>
                </c:pt>
                <c:pt idx="71">
                  <c:v>2.52</c:v>
                </c:pt>
                <c:pt idx="72">
                  <c:v>2.62</c:v>
                </c:pt>
                <c:pt idx="73">
                  <c:v>2.2200000000000002</c:v>
                </c:pt>
                <c:pt idx="74">
                  <c:v>2.2400000000000002</c:v>
                </c:pt>
                <c:pt idx="75">
                  <c:v>2.0699999999999998</c:v>
                </c:pt>
                <c:pt idx="76">
                  <c:v>2.0699999999999998</c:v>
                </c:pt>
                <c:pt idx="77">
                  <c:v>1.77</c:v>
                </c:pt>
                <c:pt idx="78">
                  <c:v>1.76</c:v>
                </c:pt>
                <c:pt idx="79">
                  <c:v>1.74</c:v>
                </c:pt>
                <c:pt idx="80">
                  <c:v>1.93</c:v>
                </c:pt>
                <c:pt idx="81">
                  <c:v>2.06</c:v>
                </c:pt>
                <c:pt idx="82">
                  <c:v>2.11</c:v>
                </c:pt>
                <c:pt idx="83">
                  <c:v>2.42</c:v>
                </c:pt>
                <c:pt idx="84">
                  <c:v>2.81</c:v>
                </c:pt>
                <c:pt idx="85">
                  <c:v>2.37</c:v>
                </c:pt>
                <c:pt idx="86">
                  <c:v>2.39</c:v>
                </c:pt>
                <c:pt idx="87">
                  <c:v>2.21</c:v>
                </c:pt>
                <c:pt idx="88">
                  <c:v>2.2200000000000002</c:v>
                </c:pt>
                <c:pt idx="89">
                  <c:v>1.94</c:v>
                </c:pt>
                <c:pt idx="90">
                  <c:v>1.97</c:v>
                </c:pt>
                <c:pt idx="91">
                  <c:v>1.94</c:v>
                </c:pt>
                <c:pt idx="92">
                  <c:v>2.12</c:v>
                </c:pt>
                <c:pt idx="93">
                  <c:v>2.27</c:v>
                </c:pt>
                <c:pt idx="94">
                  <c:v>2.37</c:v>
                </c:pt>
                <c:pt idx="95">
                  <c:v>2.74</c:v>
                </c:pt>
                <c:pt idx="96">
                  <c:v>2.88</c:v>
                </c:pt>
                <c:pt idx="97">
                  <c:v>2.33</c:v>
                </c:pt>
                <c:pt idx="98">
                  <c:v>2.4700000000000002</c:v>
                </c:pt>
                <c:pt idx="99">
                  <c:v>2.33</c:v>
                </c:pt>
                <c:pt idx="100">
                  <c:v>2.21</c:v>
                </c:pt>
                <c:pt idx="101">
                  <c:v>2.0099999999999998</c:v>
                </c:pt>
                <c:pt idx="102">
                  <c:v>2.0699999999999998</c:v>
                </c:pt>
                <c:pt idx="103">
                  <c:v>2.02</c:v>
                </c:pt>
                <c:pt idx="104">
                  <c:v>2.19</c:v>
                </c:pt>
                <c:pt idx="105">
                  <c:v>2.31</c:v>
                </c:pt>
                <c:pt idx="106">
                  <c:v>2.31</c:v>
                </c:pt>
                <c:pt idx="107">
                  <c:v>2.75</c:v>
                </c:pt>
                <c:pt idx="108">
                  <c:v>2.97</c:v>
                </c:pt>
                <c:pt idx="109">
                  <c:v>2.5077535200000001</c:v>
                </c:pt>
                <c:pt idx="110">
                  <c:v>2.8213789999999999</c:v>
                </c:pt>
                <c:pt idx="111">
                  <c:v>2.3664876499999998</c:v>
                </c:pt>
                <c:pt idx="112">
                  <c:v>2.3414640000000002</c:v>
                </c:pt>
                <c:pt idx="113">
                  <c:v>2.14514</c:v>
                </c:pt>
                <c:pt idx="114">
                  <c:v>2.19</c:v>
                </c:pt>
                <c:pt idx="115">
                  <c:v>2.383937</c:v>
                </c:pt>
                <c:pt idx="116">
                  <c:v>2.53771586</c:v>
                </c:pt>
                <c:pt idx="117">
                  <c:v>2.7935310000000002</c:v>
                </c:pt>
                <c:pt idx="118">
                  <c:v>2.7836821</c:v>
                </c:pt>
                <c:pt idx="119">
                  <c:v>3.2341329999999999</c:v>
                </c:pt>
                <c:pt idx="120">
                  <c:v>3.3186507799999996</c:v>
                </c:pt>
                <c:pt idx="121">
                  <c:v>2.698812274242</c:v>
                </c:pt>
                <c:pt idx="122">
                  <c:v>3.2535156966939986</c:v>
                </c:pt>
                <c:pt idx="123">
                  <c:v>3.0684871098140007</c:v>
                </c:pt>
                <c:pt idx="124">
                  <c:v>3.0101724426510006</c:v>
                </c:pt>
                <c:pt idx="125">
                  <c:v>2.6407773298560002</c:v>
                </c:pt>
                <c:pt idx="126">
                  <c:v>2.8343887499999996</c:v>
                </c:pt>
                <c:pt idx="127">
                  <c:v>2.9050224283079999</c:v>
                </c:pt>
                <c:pt idx="128">
                  <c:v>2.973054332891</c:v>
                </c:pt>
                <c:pt idx="129">
                  <c:v>3.2834387179424001</c:v>
                </c:pt>
                <c:pt idx="130">
                  <c:v>3.3724435506339989</c:v>
                </c:pt>
                <c:pt idx="131">
                  <c:v>4.0632759099999998</c:v>
                </c:pt>
                <c:pt idx="132">
                  <c:v>3.8987913223440005</c:v>
                </c:pt>
                <c:pt idx="133">
                  <c:v>3.5588955948479999</c:v>
                </c:pt>
                <c:pt idx="134">
                  <c:v>5.1289139376719994</c:v>
                </c:pt>
                <c:pt idx="135">
                  <c:v>5.5561678713719997</c:v>
                </c:pt>
                <c:pt idx="136">
                  <c:v>5.5048381041959988</c:v>
                </c:pt>
                <c:pt idx="137">
                  <c:v>4.6675564689270006</c:v>
                </c:pt>
                <c:pt idx="138">
                  <c:v>4.1002781003360003</c:v>
                </c:pt>
                <c:pt idx="139">
                  <c:v>4.0602230970840001</c:v>
                </c:pt>
                <c:pt idx="140">
                  <c:v>3.9525350448580014</c:v>
                </c:pt>
                <c:pt idx="141">
                  <c:v>4.411747060593</c:v>
                </c:pt>
                <c:pt idx="142">
                  <c:v>5.823877949562001</c:v>
                </c:pt>
                <c:pt idx="143">
                  <c:v>7.5095465789939979</c:v>
                </c:pt>
                <c:pt idx="144">
                  <c:v>7.6533254659999992</c:v>
                </c:pt>
                <c:pt idx="145">
                  <c:v>6.1262221009999998</c:v>
                </c:pt>
                <c:pt idx="146">
                  <c:v>6.6731746879999996</c:v>
                </c:pt>
                <c:pt idx="147">
                  <c:v>6.3373257260000004</c:v>
                </c:pt>
                <c:pt idx="148">
                  <c:v>5.9176796720000029</c:v>
                </c:pt>
                <c:pt idx="149">
                  <c:v>5.0042434749999991</c:v>
                </c:pt>
                <c:pt idx="150">
                  <c:v>4.5691137220000009</c:v>
                </c:pt>
                <c:pt idx="151">
                  <c:v>4.4789435099999997</c:v>
                </c:pt>
                <c:pt idx="152">
                  <c:v>4.4517395749999995</c:v>
                </c:pt>
                <c:pt idx="153">
                  <c:v>4.9447533470000007</c:v>
                </c:pt>
                <c:pt idx="154">
                  <c:v>4.6174735689999977</c:v>
                </c:pt>
                <c:pt idx="155">
                  <c:v>5.8008929149999986</c:v>
                </c:pt>
                <c:pt idx="156">
                  <c:v>6.141696016</c:v>
                </c:pt>
                <c:pt idx="157">
                  <c:v>4.9510519660000005</c:v>
                </c:pt>
                <c:pt idx="158">
                  <c:v>5.0316255690000027</c:v>
                </c:pt>
                <c:pt idx="159">
                  <c:v>4.796368531999998</c:v>
                </c:pt>
                <c:pt idx="160">
                  <c:v>4.6052172710000008</c:v>
                </c:pt>
                <c:pt idx="161">
                  <c:v>4.3585295480000017</c:v>
                </c:pt>
                <c:pt idx="162">
                  <c:v>4.9327396720000012</c:v>
                </c:pt>
                <c:pt idx="163">
                  <c:v>5.0393983899999997</c:v>
                </c:pt>
                <c:pt idx="164">
                  <c:v>4.8144943909999975</c:v>
                </c:pt>
                <c:pt idx="165">
                  <c:v>4.9418192200000011</c:v>
                </c:pt>
                <c:pt idx="166">
                  <c:v>5.1711299199999994</c:v>
                </c:pt>
                <c:pt idx="167">
                  <c:v>6.3163926800000008</c:v>
                </c:pt>
                <c:pt idx="168">
                  <c:v>6.2459381799999996</c:v>
                </c:pt>
                <c:pt idx="169">
                  <c:v>5.0451133300000004</c:v>
                </c:pt>
                <c:pt idx="170">
                  <c:v>5.5</c:v>
                </c:pt>
                <c:pt idx="171">
                  <c:v>5.1320361099999996</c:v>
                </c:pt>
                <c:pt idx="172">
                  <c:v>5.23544301</c:v>
                </c:pt>
                <c:pt idx="173">
                  <c:v>4.8829021399999997</c:v>
                </c:pt>
                <c:pt idx="174">
                  <c:v>4.7621123699999997</c:v>
                </c:pt>
                <c:pt idx="175">
                  <c:v>4.9430698199999998</c:v>
                </c:pt>
                <c:pt idx="176">
                  <c:v>4.9882803300000003</c:v>
                </c:pt>
                <c:pt idx="177">
                  <c:v>5.3</c:v>
                </c:pt>
                <c:pt idx="178">
                  <c:v>5.1738624</c:v>
                </c:pt>
                <c:pt idx="179">
                  <c:v>6.5873090100000002</c:v>
                </c:pt>
                <c:pt idx="180">
                  <c:v>6.8796785800000002</c:v>
                </c:pt>
                <c:pt idx="181">
                  <c:v>5.5741105299999996</c:v>
                </c:pt>
                <c:pt idx="182">
                  <c:v>5.7412732000000002</c:v>
                </c:pt>
                <c:pt idx="183">
                  <c:v>5.4344093400000002</c:v>
                </c:pt>
                <c:pt idx="184">
                  <c:v>5.3593803800000002</c:v>
                </c:pt>
                <c:pt idx="185">
                  <c:v>4.9720724799999996</c:v>
                </c:pt>
                <c:pt idx="186">
                  <c:v>5.0444708800000004</c:v>
                </c:pt>
                <c:pt idx="187">
                  <c:v>5.1123921000000001</c:v>
                </c:pt>
                <c:pt idx="188">
                  <c:v>5.2774517300000001</c:v>
                </c:pt>
                <c:pt idx="189">
                  <c:v>5.5922376399999996</c:v>
                </c:pt>
                <c:pt idx="190">
                  <c:v>5.2974913700000004</c:v>
                </c:pt>
                <c:pt idx="191">
                  <c:v>6.9290016000000003</c:v>
                </c:pt>
                <c:pt idx="192">
                  <c:v>7.16997997</c:v>
                </c:pt>
                <c:pt idx="193">
                  <c:v>5.6898268099999996</c:v>
                </c:pt>
                <c:pt idx="194">
                  <c:v>6.1332742199999997</c:v>
                </c:pt>
                <c:pt idx="195">
                  <c:v>4.2248320399999999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91-B142-B543-3EAE21D12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969662240"/>
        <c:axId val="969663936"/>
      </c:barChart>
      <c:dateAx>
        <c:axId val="96966224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Offset val="100"/>
        <c:baseTimeUnit val="months"/>
      </c:dateAx>
      <c:valAx>
        <c:axId val="9696639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'New Summary Monthly'!$A$168</c:f>
              <c:strCache>
                <c:ptCount val="1"/>
                <c:pt idx="0">
                  <c:v> Venice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'New Summary Monthly'!$B$151:$BJ$151</c:f>
              <c:numCache>
                <c:formatCode>mmm\-yy</c:formatCode>
                <c:ptCount val="6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  <c:pt idx="11">
                  <c:v>42552</c:v>
                </c:pt>
                <c:pt idx="12">
                  <c:v>42583</c:v>
                </c:pt>
                <c:pt idx="13">
                  <c:v>42614</c:v>
                </c:pt>
                <c:pt idx="14">
                  <c:v>42644</c:v>
                </c:pt>
                <c:pt idx="15">
                  <c:v>42675</c:v>
                </c:pt>
                <c:pt idx="16">
                  <c:v>42705</c:v>
                </c:pt>
                <c:pt idx="17">
                  <c:v>42736</c:v>
                </c:pt>
                <c:pt idx="18">
                  <c:v>42767</c:v>
                </c:pt>
                <c:pt idx="19">
                  <c:v>42795</c:v>
                </c:pt>
                <c:pt idx="20">
                  <c:v>42826</c:v>
                </c:pt>
                <c:pt idx="21">
                  <c:v>42856</c:v>
                </c:pt>
                <c:pt idx="22">
                  <c:v>42887</c:v>
                </c:pt>
                <c:pt idx="23">
                  <c:v>42917</c:v>
                </c:pt>
                <c:pt idx="24">
                  <c:v>42948</c:v>
                </c:pt>
                <c:pt idx="25">
                  <c:v>42979</c:v>
                </c:pt>
                <c:pt idx="26">
                  <c:v>43009</c:v>
                </c:pt>
                <c:pt idx="27">
                  <c:v>43040</c:v>
                </c:pt>
                <c:pt idx="28">
                  <c:v>43070</c:v>
                </c:pt>
                <c:pt idx="29">
                  <c:v>43101</c:v>
                </c:pt>
                <c:pt idx="30">
                  <c:v>43132</c:v>
                </c:pt>
                <c:pt idx="31">
                  <c:v>43160</c:v>
                </c:pt>
                <c:pt idx="32">
                  <c:v>43191</c:v>
                </c:pt>
                <c:pt idx="33">
                  <c:v>43221</c:v>
                </c:pt>
                <c:pt idx="34">
                  <c:v>43252</c:v>
                </c:pt>
                <c:pt idx="35">
                  <c:v>43282</c:v>
                </c:pt>
                <c:pt idx="36">
                  <c:v>43313</c:v>
                </c:pt>
                <c:pt idx="37">
                  <c:v>43344</c:v>
                </c:pt>
                <c:pt idx="38">
                  <c:v>43374</c:v>
                </c:pt>
                <c:pt idx="39">
                  <c:v>43405</c:v>
                </c:pt>
                <c:pt idx="40">
                  <c:v>43435</c:v>
                </c:pt>
                <c:pt idx="41">
                  <c:v>43466</c:v>
                </c:pt>
                <c:pt idx="42">
                  <c:v>43497</c:v>
                </c:pt>
                <c:pt idx="43">
                  <c:v>43525</c:v>
                </c:pt>
                <c:pt idx="44">
                  <c:v>43556</c:v>
                </c:pt>
                <c:pt idx="45">
                  <c:v>43586</c:v>
                </c:pt>
                <c:pt idx="46">
                  <c:v>43617</c:v>
                </c:pt>
                <c:pt idx="47">
                  <c:v>43647</c:v>
                </c:pt>
                <c:pt idx="48">
                  <c:v>43678</c:v>
                </c:pt>
                <c:pt idx="49">
                  <c:v>43709</c:v>
                </c:pt>
                <c:pt idx="50">
                  <c:v>43739</c:v>
                </c:pt>
                <c:pt idx="51">
                  <c:v>43770</c:v>
                </c:pt>
                <c:pt idx="52">
                  <c:v>43800</c:v>
                </c:pt>
                <c:pt idx="53">
                  <c:v>43831</c:v>
                </c:pt>
                <c:pt idx="54">
                  <c:v>43862</c:v>
                </c:pt>
                <c:pt idx="55">
                  <c:v>43891</c:v>
                </c:pt>
                <c:pt idx="56">
                  <c:v>43922</c:v>
                </c:pt>
                <c:pt idx="57">
                  <c:v>43952</c:v>
                </c:pt>
                <c:pt idx="58">
                  <c:v>43983</c:v>
                </c:pt>
                <c:pt idx="59">
                  <c:v>44013</c:v>
                </c:pt>
                <c:pt idx="60">
                  <c:v>44044</c:v>
                </c:pt>
              </c:numCache>
            </c:numRef>
          </c:cat>
          <c:val>
            <c:numRef>
              <c:f>'New Summary Monthly'!$B$168:$BN$168</c:f>
              <c:numCache>
                <c:formatCode>#,##0.00</c:formatCode>
                <c:ptCount val="65"/>
                <c:pt idx="0">
                  <c:v>8.3050203048999993</c:v>
                </c:pt>
                <c:pt idx="1">
                  <c:v>7.0949999999999998</c:v>
                </c:pt>
                <c:pt idx="2">
                  <c:v>7.7183037690000011</c:v>
                </c:pt>
                <c:pt idx="3">
                  <c:v>7.7997065363687996</c:v>
                </c:pt>
                <c:pt idx="4">
                  <c:v>8.0297476000000003</c:v>
                </c:pt>
                <c:pt idx="5">
                  <c:v>9.7071607370000024</c:v>
                </c:pt>
                <c:pt idx="6">
                  <c:v>7.4161669584000007</c:v>
                </c:pt>
                <c:pt idx="7">
                  <c:v>7.8577643458759994</c:v>
                </c:pt>
                <c:pt idx="8">
                  <c:v>8.9611115072999983</c:v>
                </c:pt>
                <c:pt idx="9">
                  <c:v>7.0641409776000001</c:v>
                </c:pt>
                <c:pt idx="10">
                  <c:v>6.807271931199999</c:v>
                </c:pt>
                <c:pt idx="11">
                  <c:v>6.7601867044999997</c:v>
                </c:pt>
                <c:pt idx="12">
                  <c:v>8.2497469999999993</c:v>
                </c:pt>
                <c:pt idx="13">
                  <c:v>9.0210509999999999</c:v>
                </c:pt>
                <c:pt idx="14">
                  <c:v>8.8259620000000005</c:v>
                </c:pt>
                <c:pt idx="15">
                  <c:v>7.2019450936</c:v>
                </c:pt>
                <c:pt idx="16">
                  <c:v>7.1559999999999997</c:v>
                </c:pt>
                <c:pt idx="17">
                  <c:v>8.8585150000000006</c:v>
                </c:pt>
                <c:pt idx="18">
                  <c:v>6.6908760000000003</c:v>
                </c:pt>
                <c:pt idx="19">
                  <c:v>7.0321857400000001</c:v>
                </c:pt>
                <c:pt idx="20">
                  <c:v>9.0690329999999992</c:v>
                </c:pt>
                <c:pt idx="21">
                  <c:v>6.6567480000000003</c:v>
                </c:pt>
                <c:pt idx="22">
                  <c:v>6.8188639999999996</c:v>
                </c:pt>
                <c:pt idx="23">
                  <c:v>7.0191949999999999</c:v>
                </c:pt>
                <c:pt idx="24">
                  <c:v>6.9906709999999999</c:v>
                </c:pt>
                <c:pt idx="25">
                  <c:v>7.5367800000000003</c:v>
                </c:pt>
                <c:pt idx="26">
                  <c:v>8.5406669999999991</c:v>
                </c:pt>
                <c:pt idx="27">
                  <c:v>6.9496719999999996</c:v>
                </c:pt>
                <c:pt idx="28">
                  <c:v>8.4309842600000025</c:v>
                </c:pt>
                <c:pt idx="29">
                  <c:v>8.8810479999999998</c:v>
                </c:pt>
                <c:pt idx="30">
                  <c:v>7.9052280000000001</c:v>
                </c:pt>
                <c:pt idx="31">
                  <c:v>8.7702159999999996</c:v>
                </c:pt>
                <c:pt idx="32">
                  <c:v>8.1435080000000042</c:v>
                </c:pt>
                <c:pt idx="33">
                  <c:v>7.3789569999999998</c:v>
                </c:pt>
                <c:pt idx="34">
                  <c:v>7.3368940000000009</c:v>
                </c:pt>
                <c:pt idx="35">
                  <c:v>7.6184609999999999</c:v>
                </c:pt>
                <c:pt idx="36">
                  <c:v>8.878482</c:v>
                </c:pt>
                <c:pt idx="37">
                  <c:v>8.8319980000000005</c:v>
                </c:pt>
                <c:pt idx="38">
                  <c:v>7.905608</c:v>
                </c:pt>
                <c:pt idx="39">
                  <c:v>8.3041339999999995</c:v>
                </c:pt>
                <c:pt idx="40">
                  <c:v>7.6306939999999912</c:v>
                </c:pt>
                <c:pt idx="41">
                  <c:v>8.2376159999999992</c:v>
                </c:pt>
                <c:pt idx="42">
                  <c:v>6.9734040000000004</c:v>
                </c:pt>
                <c:pt idx="43">
                  <c:v>8.7898390000000006</c:v>
                </c:pt>
                <c:pt idx="44">
                  <c:v>8.062087</c:v>
                </c:pt>
                <c:pt idx="45">
                  <c:v>8.0899239999999999</c:v>
                </c:pt>
                <c:pt idx="46">
                  <c:v>5.956734</c:v>
                </c:pt>
                <c:pt idx="47">
                  <c:v>8.1513639999999992</c:v>
                </c:pt>
                <c:pt idx="48">
                  <c:v>9.1202500000000004</c:v>
                </c:pt>
                <c:pt idx="49">
                  <c:v>7.588355</c:v>
                </c:pt>
                <c:pt idx="50">
                  <c:v>6.5459880000000004</c:v>
                </c:pt>
                <c:pt idx="51">
                  <c:v>7.1051760000000002</c:v>
                </c:pt>
                <c:pt idx="52">
                  <c:v>8.1799990000000005</c:v>
                </c:pt>
                <c:pt idx="53">
                  <c:v>9.8755889999999997</c:v>
                </c:pt>
                <c:pt idx="54">
                  <c:v>4.667615435897436</c:v>
                </c:pt>
                <c:pt idx="55">
                  <c:v>1.6095225641025643</c:v>
                </c:pt>
                <c:pt idx="58">
                  <c:v>2.2673420000000002</c:v>
                </c:pt>
                <c:pt idx="59">
                  <c:v>4.966113</c:v>
                </c:pt>
                <c:pt idx="60">
                  <c:v>7.0694699999999999</c:v>
                </c:pt>
                <c:pt idx="61">
                  <c:v>11.108908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36-B948-8E7D-0F5A45F7A5A9}"/>
            </c:ext>
          </c:extLst>
        </c:ser>
        <c:ser>
          <c:idx val="1"/>
          <c:order val="1"/>
          <c:tx>
            <c:strRef>
              <c:f>'New Summary Monthly'!$A$167</c:f>
              <c:strCache>
                <c:ptCount val="1"/>
                <c:pt idx="0">
                  <c:v> San Remo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Monthly'!$B$151:$BJ$151</c:f>
              <c:numCache>
                <c:formatCode>mmm\-yy</c:formatCode>
                <c:ptCount val="6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  <c:pt idx="11">
                  <c:v>42552</c:v>
                </c:pt>
                <c:pt idx="12">
                  <c:v>42583</c:v>
                </c:pt>
                <c:pt idx="13">
                  <c:v>42614</c:v>
                </c:pt>
                <c:pt idx="14">
                  <c:v>42644</c:v>
                </c:pt>
                <c:pt idx="15">
                  <c:v>42675</c:v>
                </c:pt>
                <c:pt idx="16">
                  <c:v>42705</c:v>
                </c:pt>
                <c:pt idx="17">
                  <c:v>42736</c:v>
                </c:pt>
                <c:pt idx="18">
                  <c:v>42767</c:v>
                </c:pt>
                <c:pt idx="19">
                  <c:v>42795</c:v>
                </c:pt>
                <c:pt idx="20">
                  <c:v>42826</c:v>
                </c:pt>
                <c:pt idx="21">
                  <c:v>42856</c:v>
                </c:pt>
                <c:pt idx="22">
                  <c:v>42887</c:v>
                </c:pt>
                <c:pt idx="23">
                  <c:v>42917</c:v>
                </c:pt>
                <c:pt idx="24">
                  <c:v>42948</c:v>
                </c:pt>
                <c:pt idx="25">
                  <c:v>42979</c:v>
                </c:pt>
                <c:pt idx="26">
                  <c:v>43009</c:v>
                </c:pt>
                <c:pt idx="27">
                  <c:v>43040</c:v>
                </c:pt>
                <c:pt idx="28">
                  <c:v>43070</c:v>
                </c:pt>
                <c:pt idx="29">
                  <c:v>43101</c:v>
                </c:pt>
                <c:pt idx="30">
                  <c:v>43132</c:v>
                </c:pt>
                <c:pt idx="31">
                  <c:v>43160</c:v>
                </c:pt>
                <c:pt idx="32">
                  <c:v>43191</c:v>
                </c:pt>
                <c:pt idx="33">
                  <c:v>43221</c:v>
                </c:pt>
                <c:pt idx="34">
                  <c:v>43252</c:v>
                </c:pt>
                <c:pt idx="35">
                  <c:v>43282</c:v>
                </c:pt>
                <c:pt idx="36">
                  <c:v>43313</c:v>
                </c:pt>
                <c:pt idx="37">
                  <c:v>43344</c:v>
                </c:pt>
                <c:pt idx="38">
                  <c:v>43374</c:v>
                </c:pt>
                <c:pt idx="39">
                  <c:v>43405</c:v>
                </c:pt>
                <c:pt idx="40">
                  <c:v>43435</c:v>
                </c:pt>
                <c:pt idx="41">
                  <c:v>43466</c:v>
                </c:pt>
                <c:pt idx="42">
                  <c:v>43497</c:v>
                </c:pt>
                <c:pt idx="43">
                  <c:v>43525</c:v>
                </c:pt>
                <c:pt idx="44">
                  <c:v>43556</c:v>
                </c:pt>
                <c:pt idx="45">
                  <c:v>43586</c:v>
                </c:pt>
                <c:pt idx="46">
                  <c:v>43617</c:v>
                </c:pt>
                <c:pt idx="47">
                  <c:v>43647</c:v>
                </c:pt>
                <c:pt idx="48">
                  <c:v>43678</c:v>
                </c:pt>
                <c:pt idx="49">
                  <c:v>43709</c:v>
                </c:pt>
                <c:pt idx="50">
                  <c:v>43739</c:v>
                </c:pt>
                <c:pt idx="51">
                  <c:v>43770</c:v>
                </c:pt>
                <c:pt idx="52">
                  <c:v>43800</c:v>
                </c:pt>
                <c:pt idx="53">
                  <c:v>43831</c:v>
                </c:pt>
                <c:pt idx="54">
                  <c:v>43862</c:v>
                </c:pt>
                <c:pt idx="55">
                  <c:v>43891</c:v>
                </c:pt>
                <c:pt idx="56">
                  <c:v>43922</c:v>
                </c:pt>
                <c:pt idx="57">
                  <c:v>43952</c:v>
                </c:pt>
                <c:pt idx="58">
                  <c:v>43983</c:v>
                </c:pt>
                <c:pt idx="59">
                  <c:v>44013</c:v>
                </c:pt>
                <c:pt idx="60">
                  <c:v>44044</c:v>
                </c:pt>
              </c:numCache>
            </c:numRef>
          </c:cat>
          <c:val>
            <c:numRef>
              <c:f>'New Summary Monthly'!$B$167:$BN$167</c:f>
              <c:numCache>
                <c:formatCode>#,##0.00</c:formatCode>
                <c:ptCount val="65"/>
                <c:pt idx="0">
                  <c:v>5.6902693803000011</c:v>
                </c:pt>
                <c:pt idx="1">
                  <c:v>3.996</c:v>
                </c:pt>
                <c:pt idx="2">
                  <c:v>3.1294199270000003</c:v>
                </c:pt>
                <c:pt idx="3">
                  <c:v>2.8655015741352003</c:v>
                </c:pt>
                <c:pt idx="4">
                  <c:v>4.1771250000000002</c:v>
                </c:pt>
                <c:pt idx="5">
                  <c:v>4.1258344950000003</c:v>
                </c:pt>
                <c:pt idx="6">
                  <c:v>3.84684925</c:v>
                </c:pt>
                <c:pt idx="7">
                  <c:v>3.4907681730599998</c:v>
                </c:pt>
                <c:pt idx="8">
                  <c:v>3.412016795</c:v>
                </c:pt>
                <c:pt idx="9">
                  <c:v>2.9862333297000001</c:v>
                </c:pt>
                <c:pt idx="10">
                  <c:v>3.5018189084000002</c:v>
                </c:pt>
                <c:pt idx="11">
                  <c:v>4.0786590629999999</c:v>
                </c:pt>
                <c:pt idx="12">
                  <c:v>5.2585430000000004</c:v>
                </c:pt>
                <c:pt idx="13">
                  <c:v>3.5043000000000002</c:v>
                </c:pt>
                <c:pt idx="14">
                  <c:v>3.7608700000000002</c:v>
                </c:pt>
                <c:pt idx="15">
                  <c:v>2.5169095952</c:v>
                </c:pt>
                <c:pt idx="16">
                  <c:v>4.2300000000000004</c:v>
                </c:pt>
                <c:pt idx="17">
                  <c:v>3.8740230000000002</c:v>
                </c:pt>
                <c:pt idx="18">
                  <c:v>4.049315</c:v>
                </c:pt>
                <c:pt idx="19">
                  <c:v>3.38745092</c:v>
                </c:pt>
                <c:pt idx="20">
                  <c:v>4.1123500000000002</c:v>
                </c:pt>
                <c:pt idx="21">
                  <c:v>3.076371</c:v>
                </c:pt>
                <c:pt idx="22">
                  <c:v>3.163913</c:v>
                </c:pt>
                <c:pt idx="23">
                  <c:v>3.7740900000000002</c:v>
                </c:pt>
                <c:pt idx="24">
                  <c:v>5.6447700000000003</c:v>
                </c:pt>
                <c:pt idx="25">
                  <c:v>3.6624300000000001</c:v>
                </c:pt>
                <c:pt idx="26">
                  <c:v>3.034662</c:v>
                </c:pt>
                <c:pt idx="27">
                  <c:v>2.948582</c:v>
                </c:pt>
                <c:pt idx="28">
                  <c:v>4.0624760799999962</c:v>
                </c:pt>
                <c:pt idx="29">
                  <c:v>3.679373</c:v>
                </c:pt>
                <c:pt idx="30">
                  <c:v>3.5852469999999999</c:v>
                </c:pt>
                <c:pt idx="31">
                  <c:v>3.2671549999999998</c:v>
                </c:pt>
                <c:pt idx="32">
                  <c:v>3.84</c:v>
                </c:pt>
                <c:pt idx="33">
                  <c:v>3.4161269999999999</c:v>
                </c:pt>
                <c:pt idx="34">
                  <c:v>3.3312580000000018</c:v>
                </c:pt>
                <c:pt idx="35">
                  <c:v>3.5484650000000002</c:v>
                </c:pt>
                <c:pt idx="36">
                  <c:v>4.832374999999999</c:v>
                </c:pt>
                <c:pt idx="37">
                  <c:v>3.4460790000000001</c:v>
                </c:pt>
                <c:pt idx="38">
                  <c:v>2.7683369999999998</c:v>
                </c:pt>
                <c:pt idx="39">
                  <c:v>2.8906580000000002</c:v>
                </c:pt>
                <c:pt idx="40">
                  <c:v>4.2651019999999988</c:v>
                </c:pt>
                <c:pt idx="41">
                  <c:v>3.8439230000000002</c:v>
                </c:pt>
                <c:pt idx="42">
                  <c:v>3.5812439999999999</c:v>
                </c:pt>
                <c:pt idx="43">
                  <c:v>3.5070109999999999</c:v>
                </c:pt>
                <c:pt idx="44">
                  <c:v>3.8030550000000001</c:v>
                </c:pt>
                <c:pt idx="45">
                  <c:v>3.8708390000000001</c:v>
                </c:pt>
                <c:pt idx="46">
                  <c:v>3.2150530000000002</c:v>
                </c:pt>
                <c:pt idx="47">
                  <c:v>3.5910359999999999</c:v>
                </c:pt>
                <c:pt idx="48">
                  <c:v>5.717962</c:v>
                </c:pt>
                <c:pt idx="49">
                  <c:v>3.6165579999999999</c:v>
                </c:pt>
                <c:pt idx="50">
                  <c:v>3.0499299999999998</c:v>
                </c:pt>
                <c:pt idx="51">
                  <c:v>2.8906580000000002</c:v>
                </c:pt>
                <c:pt idx="52">
                  <c:v>3.8432080000000002</c:v>
                </c:pt>
                <c:pt idx="53">
                  <c:v>3.914431</c:v>
                </c:pt>
                <c:pt idx="54">
                  <c:v>3.2893844871794866</c:v>
                </c:pt>
                <c:pt idx="55">
                  <c:v>1.1342705128205126</c:v>
                </c:pt>
                <c:pt idx="58">
                  <c:v>1.663904</c:v>
                </c:pt>
                <c:pt idx="59">
                  <c:v>2.9</c:v>
                </c:pt>
                <c:pt idx="60">
                  <c:v>4.9230400000000003</c:v>
                </c:pt>
                <c:pt idx="61">
                  <c:v>5.7448610000000002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36-B948-8E7D-0F5A45F7A5A9}"/>
            </c:ext>
          </c:extLst>
        </c:ser>
        <c:ser>
          <c:idx val="2"/>
          <c:order val="2"/>
          <c:tx>
            <c:strRef>
              <c:f>'New Summary Monthly'!$A$166</c:f>
              <c:strCache>
                <c:ptCount val="1"/>
                <c:pt idx="0">
                  <c:v> St Vincent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numRef>
              <c:f>'New Summary Monthly'!$B$151:$BJ$151</c:f>
              <c:numCache>
                <c:formatCode>mmm\-yy</c:formatCode>
                <c:ptCount val="6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  <c:pt idx="11">
                  <c:v>42552</c:v>
                </c:pt>
                <c:pt idx="12">
                  <c:v>42583</c:v>
                </c:pt>
                <c:pt idx="13">
                  <c:v>42614</c:v>
                </c:pt>
                <c:pt idx="14">
                  <c:v>42644</c:v>
                </c:pt>
                <c:pt idx="15">
                  <c:v>42675</c:v>
                </c:pt>
                <c:pt idx="16">
                  <c:v>42705</c:v>
                </c:pt>
                <c:pt idx="17">
                  <c:v>42736</c:v>
                </c:pt>
                <c:pt idx="18">
                  <c:v>42767</c:v>
                </c:pt>
                <c:pt idx="19">
                  <c:v>42795</c:v>
                </c:pt>
                <c:pt idx="20">
                  <c:v>42826</c:v>
                </c:pt>
                <c:pt idx="21">
                  <c:v>42856</c:v>
                </c:pt>
                <c:pt idx="22">
                  <c:v>42887</c:v>
                </c:pt>
                <c:pt idx="23">
                  <c:v>42917</c:v>
                </c:pt>
                <c:pt idx="24">
                  <c:v>42948</c:v>
                </c:pt>
                <c:pt idx="25">
                  <c:v>42979</c:v>
                </c:pt>
                <c:pt idx="26">
                  <c:v>43009</c:v>
                </c:pt>
                <c:pt idx="27">
                  <c:v>43040</c:v>
                </c:pt>
                <c:pt idx="28">
                  <c:v>43070</c:v>
                </c:pt>
                <c:pt idx="29">
                  <c:v>43101</c:v>
                </c:pt>
                <c:pt idx="30">
                  <c:v>43132</c:v>
                </c:pt>
                <c:pt idx="31">
                  <c:v>43160</c:v>
                </c:pt>
                <c:pt idx="32">
                  <c:v>43191</c:v>
                </c:pt>
                <c:pt idx="33">
                  <c:v>43221</c:v>
                </c:pt>
                <c:pt idx="34">
                  <c:v>43252</c:v>
                </c:pt>
                <c:pt idx="35">
                  <c:v>43282</c:v>
                </c:pt>
                <c:pt idx="36">
                  <c:v>43313</c:v>
                </c:pt>
                <c:pt idx="37">
                  <c:v>43344</c:v>
                </c:pt>
                <c:pt idx="38">
                  <c:v>43374</c:v>
                </c:pt>
                <c:pt idx="39">
                  <c:v>43405</c:v>
                </c:pt>
                <c:pt idx="40">
                  <c:v>43435</c:v>
                </c:pt>
                <c:pt idx="41">
                  <c:v>43466</c:v>
                </c:pt>
                <c:pt idx="42">
                  <c:v>43497</c:v>
                </c:pt>
                <c:pt idx="43">
                  <c:v>43525</c:v>
                </c:pt>
                <c:pt idx="44">
                  <c:v>43556</c:v>
                </c:pt>
                <c:pt idx="45">
                  <c:v>43586</c:v>
                </c:pt>
                <c:pt idx="46">
                  <c:v>43617</c:v>
                </c:pt>
                <c:pt idx="47">
                  <c:v>43647</c:v>
                </c:pt>
                <c:pt idx="48">
                  <c:v>43678</c:v>
                </c:pt>
                <c:pt idx="49">
                  <c:v>43709</c:v>
                </c:pt>
                <c:pt idx="50">
                  <c:v>43739</c:v>
                </c:pt>
                <c:pt idx="51">
                  <c:v>43770</c:v>
                </c:pt>
                <c:pt idx="52">
                  <c:v>43800</c:v>
                </c:pt>
                <c:pt idx="53">
                  <c:v>43831</c:v>
                </c:pt>
                <c:pt idx="54">
                  <c:v>43862</c:v>
                </c:pt>
                <c:pt idx="55">
                  <c:v>43891</c:v>
                </c:pt>
                <c:pt idx="56">
                  <c:v>43922</c:v>
                </c:pt>
                <c:pt idx="57">
                  <c:v>43952</c:v>
                </c:pt>
                <c:pt idx="58">
                  <c:v>43983</c:v>
                </c:pt>
                <c:pt idx="59">
                  <c:v>44013</c:v>
                </c:pt>
                <c:pt idx="60">
                  <c:v>44044</c:v>
                </c:pt>
              </c:numCache>
            </c:numRef>
          </c:cat>
          <c:val>
            <c:numRef>
              <c:f>'New Summary Monthly'!$B$166:$BN$166</c:f>
              <c:numCache>
                <c:formatCode>#,##0.00</c:formatCode>
                <c:ptCount val="65"/>
                <c:pt idx="0">
                  <c:v>6.0050238842999999</c:v>
                </c:pt>
                <c:pt idx="1">
                  <c:v>4.51</c:v>
                </c:pt>
                <c:pt idx="2">
                  <c:v>5.8281803318999996</c:v>
                </c:pt>
                <c:pt idx="3">
                  <c:v>5.0600408990608807</c:v>
                </c:pt>
                <c:pt idx="4">
                  <c:v>7.1959999999999997</c:v>
                </c:pt>
                <c:pt idx="5">
                  <c:v>6.2972389128000001</c:v>
                </c:pt>
                <c:pt idx="6">
                  <c:v>5.1381189210999993</c:v>
                </c:pt>
                <c:pt idx="7">
                  <c:v>5.3893718907999997</c:v>
                </c:pt>
                <c:pt idx="8">
                  <c:v>5.1143650272000007</c:v>
                </c:pt>
                <c:pt idx="9">
                  <c:v>4.2644915144000004</c:v>
                </c:pt>
                <c:pt idx="10">
                  <c:v>3.6201390027999998</c:v>
                </c:pt>
                <c:pt idx="11">
                  <c:v>4.0321432875000003</c:v>
                </c:pt>
                <c:pt idx="12">
                  <c:v>4.9144969999999999</c:v>
                </c:pt>
                <c:pt idx="13">
                  <c:v>3.952499</c:v>
                </c:pt>
                <c:pt idx="14">
                  <c:v>4.8972189999999998</c:v>
                </c:pt>
                <c:pt idx="15">
                  <c:v>4.5651758382000001</c:v>
                </c:pt>
                <c:pt idx="16">
                  <c:v>6.2309999999999999</c:v>
                </c:pt>
                <c:pt idx="17">
                  <c:v>5.102284</c:v>
                </c:pt>
                <c:pt idx="18">
                  <c:v>4.3851829999999996</c:v>
                </c:pt>
                <c:pt idx="19">
                  <c:v>4.6412089999999999</c:v>
                </c:pt>
                <c:pt idx="20">
                  <c:v>5.2595280000000004</c:v>
                </c:pt>
                <c:pt idx="21">
                  <c:v>4.0699480000000001</c:v>
                </c:pt>
                <c:pt idx="22">
                  <c:v>4.443524</c:v>
                </c:pt>
                <c:pt idx="23">
                  <c:v>5.1046250000000004</c:v>
                </c:pt>
                <c:pt idx="24">
                  <c:v>5.4235189999999998</c:v>
                </c:pt>
                <c:pt idx="25">
                  <c:v>4.3088160000000002</c:v>
                </c:pt>
                <c:pt idx="26">
                  <c:v>4.582427</c:v>
                </c:pt>
                <c:pt idx="27">
                  <c:v>3.8514940000000002</c:v>
                </c:pt>
                <c:pt idx="28">
                  <c:v>6.1712449999999919</c:v>
                </c:pt>
                <c:pt idx="29">
                  <c:v>4.8659850000000002</c:v>
                </c:pt>
                <c:pt idx="30">
                  <c:v>4.1930839999999998</c:v>
                </c:pt>
                <c:pt idx="31">
                  <c:v>4.8531180000000003</c:v>
                </c:pt>
                <c:pt idx="32">
                  <c:v>4.6878130000000002</c:v>
                </c:pt>
                <c:pt idx="33">
                  <c:v>4.09511</c:v>
                </c:pt>
                <c:pt idx="34">
                  <c:v>4.4483369999999987</c:v>
                </c:pt>
                <c:pt idx="35">
                  <c:v>4.7803699999999996</c:v>
                </c:pt>
                <c:pt idx="36">
                  <c:v>5.7011690000000002</c:v>
                </c:pt>
                <c:pt idx="37">
                  <c:v>4.4272039999999997</c:v>
                </c:pt>
                <c:pt idx="38">
                  <c:v>4.7228760000000003</c:v>
                </c:pt>
                <c:pt idx="39">
                  <c:v>5.1277710000000001</c:v>
                </c:pt>
                <c:pt idx="40">
                  <c:v>5.9361420000000038</c:v>
                </c:pt>
                <c:pt idx="41">
                  <c:v>5.0823749999999999</c:v>
                </c:pt>
                <c:pt idx="42">
                  <c:v>4.761246882</c:v>
                </c:pt>
                <c:pt idx="43">
                  <c:v>5.0530730000000004</c:v>
                </c:pt>
                <c:pt idx="44">
                  <c:v>5.7457010000000004</c:v>
                </c:pt>
                <c:pt idx="45">
                  <c:v>4.3800299999999996</c:v>
                </c:pt>
                <c:pt idx="46">
                  <c:v>4.2652640000000002</c:v>
                </c:pt>
                <c:pt idx="47">
                  <c:v>5.3965490000000003</c:v>
                </c:pt>
                <c:pt idx="48">
                  <c:v>6.5199850000000001</c:v>
                </c:pt>
                <c:pt idx="49">
                  <c:v>4.5178929999999999</c:v>
                </c:pt>
                <c:pt idx="50">
                  <c:v>4.6222719999999997</c:v>
                </c:pt>
                <c:pt idx="51">
                  <c:v>4.9756809999999998</c:v>
                </c:pt>
                <c:pt idx="52">
                  <c:v>5.3106150000000003</c:v>
                </c:pt>
                <c:pt idx="53">
                  <c:v>6.2746829999999996</c:v>
                </c:pt>
                <c:pt idx="54">
                  <c:v>3.6980234871794866</c:v>
                </c:pt>
                <c:pt idx="55">
                  <c:v>1.2751805128205127</c:v>
                </c:pt>
                <c:pt idx="58">
                  <c:v>2.0510130000000002</c:v>
                </c:pt>
                <c:pt idx="59">
                  <c:v>3.7431130000000001</c:v>
                </c:pt>
                <c:pt idx="60">
                  <c:v>5.1444109999999998</c:v>
                </c:pt>
                <c:pt idx="61">
                  <c:v>7.4912039999999998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36-B948-8E7D-0F5A45F7A5A9}"/>
            </c:ext>
          </c:extLst>
        </c:ser>
        <c:ser>
          <c:idx val="3"/>
          <c:order val="3"/>
          <c:tx>
            <c:strRef>
              <c:f>'New Summary Monthly'!$A$165</c:f>
              <c:strCache>
                <c:ptCount val="1"/>
                <c:pt idx="0">
                  <c:v> Campione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Monthly'!$B$151:$BJ$151</c:f>
              <c:numCache>
                <c:formatCode>mmm\-yy</c:formatCode>
                <c:ptCount val="6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  <c:pt idx="11">
                  <c:v>42552</c:v>
                </c:pt>
                <c:pt idx="12">
                  <c:v>42583</c:v>
                </c:pt>
                <c:pt idx="13">
                  <c:v>42614</c:v>
                </c:pt>
                <c:pt idx="14">
                  <c:v>42644</c:v>
                </c:pt>
                <c:pt idx="15">
                  <c:v>42675</c:v>
                </c:pt>
                <c:pt idx="16">
                  <c:v>42705</c:v>
                </c:pt>
                <c:pt idx="17">
                  <c:v>42736</c:v>
                </c:pt>
                <c:pt idx="18">
                  <c:v>42767</c:v>
                </c:pt>
                <c:pt idx="19">
                  <c:v>42795</c:v>
                </c:pt>
                <c:pt idx="20">
                  <c:v>42826</c:v>
                </c:pt>
                <c:pt idx="21">
                  <c:v>42856</c:v>
                </c:pt>
                <c:pt idx="22">
                  <c:v>42887</c:v>
                </c:pt>
                <c:pt idx="23">
                  <c:v>42917</c:v>
                </c:pt>
                <c:pt idx="24">
                  <c:v>42948</c:v>
                </c:pt>
                <c:pt idx="25">
                  <c:v>42979</c:v>
                </c:pt>
                <c:pt idx="26">
                  <c:v>43009</c:v>
                </c:pt>
                <c:pt idx="27">
                  <c:v>43040</c:v>
                </c:pt>
                <c:pt idx="28">
                  <c:v>43070</c:v>
                </c:pt>
                <c:pt idx="29">
                  <c:v>43101</c:v>
                </c:pt>
                <c:pt idx="30">
                  <c:v>43132</c:v>
                </c:pt>
                <c:pt idx="31">
                  <c:v>43160</c:v>
                </c:pt>
                <c:pt idx="32">
                  <c:v>43191</c:v>
                </c:pt>
                <c:pt idx="33">
                  <c:v>43221</c:v>
                </c:pt>
                <c:pt idx="34">
                  <c:v>43252</c:v>
                </c:pt>
                <c:pt idx="35">
                  <c:v>43282</c:v>
                </c:pt>
                <c:pt idx="36">
                  <c:v>43313</c:v>
                </c:pt>
                <c:pt idx="37">
                  <c:v>43344</c:v>
                </c:pt>
                <c:pt idx="38">
                  <c:v>43374</c:v>
                </c:pt>
                <c:pt idx="39">
                  <c:v>43405</c:v>
                </c:pt>
                <c:pt idx="40">
                  <c:v>43435</c:v>
                </c:pt>
                <c:pt idx="41">
                  <c:v>43466</c:v>
                </c:pt>
                <c:pt idx="42">
                  <c:v>43497</c:v>
                </c:pt>
                <c:pt idx="43">
                  <c:v>43525</c:v>
                </c:pt>
                <c:pt idx="44">
                  <c:v>43556</c:v>
                </c:pt>
                <c:pt idx="45">
                  <c:v>43586</c:v>
                </c:pt>
                <c:pt idx="46">
                  <c:v>43617</c:v>
                </c:pt>
                <c:pt idx="47">
                  <c:v>43647</c:v>
                </c:pt>
                <c:pt idx="48">
                  <c:v>43678</c:v>
                </c:pt>
                <c:pt idx="49">
                  <c:v>43709</c:v>
                </c:pt>
                <c:pt idx="50">
                  <c:v>43739</c:v>
                </c:pt>
                <c:pt idx="51">
                  <c:v>43770</c:v>
                </c:pt>
                <c:pt idx="52">
                  <c:v>43800</c:v>
                </c:pt>
                <c:pt idx="53">
                  <c:v>43831</c:v>
                </c:pt>
                <c:pt idx="54">
                  <c:v>43862</c:v>
                </c:pt>
                <c:pt idx="55">
                  <c:v>43891</c:v>
                </c:pt>
                <c:pt idx="56">
                  <c:v>43922</c:v>
                </c:pt>
                <c:pt idx="57">
                  <c:v>43952</c:v>
                </c:pt>
                <c:pt idx="58">
                  <c:v>43983</c:v>
                </c:pt>
                <c:pt idx="59">
                  <c:v>44013</c:v>
                </c:pt>
                <c:pt idx="60">
                  <c:v>44044</c:v>
                </c:pt>
              </c:numCache>
            </c:numRef>
          </c:cat>
          <c:val>
            <c:numRef>
              <c:f>'New Summary Monthly'!$B$165:$BN$165</c:f>
              <c:numCache>
                <c:formatCode>#,##0.00</c:formatCode>
                <c:ptCount val="65"/>
                <c:pt idx="0">
                  <c:v>7.1344302749999997</c:v>
                </c:pt>
                <c:pt idx="1">
                  <c:v>7.8179999999999996</c:v>
                </c:pt>
                <c:pt idx="2">
                  <c:v>7.7041100249999994</c:v>
                </c:pt>
                <c:pt idx="3">
                  <c:v>7.7098618720199994</c:v>
                </c:pt>
                <c:pt idx="4">
                  <c:v>8.92</c:v>
                </c:pt>
                <c:pt idx="5">
                  <c:v>8.0000826276000012</c:v>
                </c:pt>
                <c:pt idx="6">
                  <c:v>6.047678168700001</c:v>
                </c:pt>
                <c:pt idx="7">
                  <c:v>8.0451815950000007</c:v>
                </c:pt>
                <c:pt idx="8">
                  <c:v>7.9217317695999991</c:v>
                </c:pt>
                <c:pt idx="9">
                  <c:v>7.7814413087999998</c:v>
                </c:pt>
                <c:pt idx="10">
                  <c:v>8.1308682642000001</c:v>
                </c:pt>
                <c:pt idx="11">
                  <c:v>7.6866382149999994</c:v>
                </c:pt>
                <c:pt idx="12">
                  <c:v>6.7676249999999998</c:v>
                </c:pt>
                <c:pt idx="13">
                  <c:v>7.3975400000000002</c:v>
                </c:pt>
                <c:pt idx="14">
                  <c:v>9.0106549999999999</c:v>
                </c:pt>
                <c:pt idx="15">
                  <c:v>7.356738427499999</c:v>
                </c:pt>
                <c:pt idx="16">
                  <c:v>8</c:v>
                </c:pt>
                <c:pt idx="17">
                  <c:v>8.1600190000000001</c:v>
                </c:pt>
                <c:pt idx="18">
                  <c:v>6.8591110000000004</c:v>
                </c:pt>
                <c:pt idx="19">
                  <c:v>8.6862250000000003</c:v>
                </c:pt>
                <c:pt idx="20">
                  <c:v>8.4489459999999994</c:v>
                </c:pt>
                <c:pt idx="21">
                  <c:v>6.9008880000000001</c:v>
                </c:pt>
                <c:pt idx="22">
                  <c:v>6.8981659999999998</c:v>
                </c:pt>
                <c:pt idx="23">
                  <c:v>7.2859129999999999</c:v>
                </c:pt>
                <c:pt idx="24">
                  <c:v>7.09734</c:v>
                </c:pt>
                <c:pt idx="25">
                  <c:v>7.1239999999999997</c:v>
                </c:pt>
                <c:pt idx="26">
                  <c:v>7.9247019999999999</c:v>
                </c:pt>
                <c:pt idx="27">
                  <c:v>8.3080049999999996</c:v>
                </c:pt>
                <c:pt idx="28">
                  <c:v>7.4569610000000068</c:v>
                </c:pt>
                <c:pt idx="29">
                  <c:v>7.5131750000000004</c:v>
                </c:pt>
                <c:pt idx="30">
                  <c:v>6.0671429999999997</c:v>
                </c:pt>
                <c:pt idx="31">
                  <c:v>7.3360409999999998</c:v>
                </c:pt>
                <c:pt idx="32">
                  <c:v>7.0836410000000001</c:v>
                </c:pt>
                <c:pt idx="33">
                  <c:v>6.2620399999999998</c:v>
                </c:pt>
                <c:pt idx="34">
                  <c:v>6.1982369999999989</c:v>
                </c:pt>
                <c:pt idx="35">
                  <c:v>5.000699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D36-B948-8E7D-0F5A45F7A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969662240"/>
        <c:axId val="969663936"/>
      </c:barChart>
      <c:dateAx>
        <c:axId val="96966224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Offset val="100"/>
        <c:baseTimeUnit val="months"/>
      </c:dateAx>
      <c:valAx>
        <c:axId val="9696639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995179272688195E-2"/>
          <c:y val="2.977203620830075E-2"/>
          <c:w val="0.97708922990179581"/>
          <c:h val="0.780201606450162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'New Summary Monthly'!$A$164</c:f>
              <c:strCache>
                <c:ptCount val="1"/>
                <c:pt idx="0">
                  <c:v>Tables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Monthly'!$B$151:$BJ$151</c:f>
              <c:numCache>
                <c:formatCode>mmm\-yy</c:formatCode>
                <c:ptCount val="6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  <c:pt idx="11">
                  <c:v>42552</c:v>
                </c:pt>
                <c:pt idx="12">
                  <c:v>42583</c:v>
                </c:pt>
                <c:pt idx="13">
                  <c:v>42614</c:v>
                </c:pt>
                <c:pt idx="14">
                  <c:v>42644</c:v>
                </c:pt>
                <c:pt idx="15">
                  <c:v>42675</c:v>
                </c:pt>
                <c:pt idx="16">
                  <c:v>42705</c:v>
                </c:pt>
                <c:pt idx="17">
                  <c:v>42736</c:v>
                </c:pt>
                <c:pt idx="18">
                  <c:v>42767</c:v>
                </c:pt>
                <c:pt idx="19">
                  <c:v>42795</c:v>
                </c:pt>
                <c:pt idx="20">
                  <c:v>42826</c:v>
                </c:pt>
                <c:pt idx="21">
                  <c:v>42856</c:v>
                </c:pt>
                <c:pt idx="22">
                  <c:v>42887</c:v>
                </c:pt>
                <c:pt idx="23">
                  <c:v>42917</c:v>
                </c:pt>
                <c:pt idx="24">
                  <c:v>42948</c:v>
                </c:pt>
                <c:pt idx="25">
                  <c:v>42979</c:v>
                </c:pt>
                <c:pt idx="26">
                  <c:v>43009</c:v>
                </c:pt>
                <c:pt idx="27">
                  <c:v>43040</c:v>
                </c:pt>
                <c:pt idx="28">
                  <c:v>43070</c:v>
                </c:pt>
                <c:pt idx="29">
                  <c:v>43101</c:v>
                </c:pt>
                <c:pt idx="30">
                  <c:v>43132</c:v>
                </c:pt>
                <c:pt idx="31">
                  <c:v>43160</c:v>
                </c:pt>
                <c:pt idx="32">
                  <c:v>43191</c:v>
                </c:pt>
                <c:pt idx="33">
                  <c:v>43221</c:v>
                </c:pt>
                <c:pt idx="34">
                  <c:v>43252</c:v>
                </c:pt>
                <c:pt idx="35">
                  <c:v>43282</c:v>
                </c:pt>
                <c:pt idx="36">
                  <c:v>43313</c:v>
                </c:pt>
                <c:pt idx="37">
                  <c:v>43344</c:v>
                </c:pt>
                <c:pt idx="38">
                  <c:v>43374</c:v>
                </c:pt>
                <c:pt idx="39">
                  <c:v>43405</c:v>
                </c:pt>
                <c:pt idx="40">
                  <c:v>43435</c:v>
                </c:pt>
                <c:pt idx="41">
                  <c:v>43466</c:v>
                </c:pt>
                <c:pt idx="42">
                  <c:v>43497</c:v>
                </c:pt>
                <c:pt idx="43">
                  <c:v>43525</c:v>
                </c:pt>
                <c:pt idx="44">
                  <c:v>43556</c:v>
                </c:pt>
                <c:pt idx="45">
                  <c:v>43586</c:v>
                </c:pt>
                <c:pt idx="46">
                  <c:v>43617</c:v>
                </c:pt>
                <c:pt idx="47">
                  <c:v>43647</c:v>
                </c:pt>
                <c:pt idx="48">
                  <c:v>43678</c:v>
                </c:pt>
                <c:pt idx="49">
                  <c:v>43709</c:v>
                </c:pt>
                <c:pt idx="50">
                  <c:v>43739</c:v>
                </c:pt>
                <c:pt idx="51">
                  <c:v>43770</c:v>
                </c:pt>
                <c:pt idx="52">
                  <c:v>43800</c:v>
                </c:pt>
                <c:pt idx="53">
                  <c:v>43831</c:v>
                </c:pt>
                <c:pt idx="54">
                  <c:v>43862</c:v>
                </c:pt>
                <c:pt idx="55">
                  <c:v>43891</c:v>
                </c:pt>
                <c:pt idx="56">
                  <c:v>43922</c:v>
                </c:pt>
                <c:pt idx="57">
                  <c:v>43952</c:v>
                </c:pt>
                <c:pt idx="58">
                  <c:v>43983</c:v>
                </c:pt>
                <c:pt idx="59">
                  <c:v>44013</c:v>
                </c:pt>
                <c:pt idx="60">
                  <c:v>44044</c:v>
                </c:pt>
              </c:numCache>
            </c:numRef>
          </c:cat>
          <c:val>
            <c:numRef>
              <c:f>'New Summary Monthly'!$B$163:$BN$163</c:f>
              <c:numCache>
                <c:formatCode>#,##0.00</c:formatCode>
                <c:ptCount val="65"/>
                <c:pt idx="0">
                  <c:v>9.1116608228000011</c:v>
                </c:pt>
                <c:pt idx="1">
                  <c:v>8.8260000000000005</c:v>
                </c:pt>
                <c:pt idx="2">
                  <c:v>9.7459871630000006</c:v>
                </c:pt>
                <c:pt idx="3">
                  <c:v>9.4838073059777592</c:v>
                </c:pt>
                <c:pt idx="4">
                  <c:v>12.133554999999999</c:v>
                </c:pt>
                <c:pt idx="5">
                  <c:v>10.888857184100004</c:v>
                </c:pt>
                <c:pt idx="6">
                  <c:v>7.9205712144000007</c:v>
                </c:pt>
                <c:pt idx="7">
                  <c:v>9.3489968844450573</c:v>
                </c:pt>
                <c:pt idx="8">
                  <c:v>10.318281981099997</c:v>
                </c:pt>
                <c:pt idx="9">
                  <c:v>7.9487141261000005</c:v>
                </c:pt>
                <c:pt idx="10">
                  <c:v>7.2279113098999996</c:v>
                </c:pt>
                <c:pt idx="11">
                  <c:v>7.055501242200001</c:v>
                </c:pt>
                <c:pt idx="12">
                  <c:v>8.4946330000000003</c:v>
                </c:pt>
                <c:pt idx="13">
                  <c:v>9.2057580000000012</c:v>
                </c:pt>
                <c:pt idx="14">
                  <c:v>10.369489</c:v>
                </c:pt>
                <c:pt idx="15">
                  <c:v>7.8587669652999992</c:v>
                </c:pt>
                <c:pt idx="16">
                  <c:v>9.7740000000000009</c:v>
                </c:pt>
                <c:pt idx="17">
                  <c:v>9.5799219999999998</c:v>
                </c:pt>
                <c:pt idx="18">
                  <c:v>7.9750309999999995</c:v>
                </c:pt>
                <c:pt idx="19">
                  <c:v>9.202597121902393</c:v>
                </c:pt>
                <c:pt idx="20">
                  <c:v>10.365400999999999</c:v>
                </c:pt>
                <c:pt idx="21">
                  <c:v>7.2107650000000003</c:v>
                </c:pt>
                <c:pt idx="22">
                  <c:v>6.9776859999999994</c:v>
                </c:pt>
                <c:pt idx="23">
                  <c:v>8.0605980000000006</c:v>
                </c:pt>
                <c:pt idx="24">
                  <c:v>7.6010749999999998</c:v>
                </c:pt>
                <c:pt idx="25">
                  <c:v>7.8238060000000003</c:v>
                </c:pt>
                <c:pt idx="26">
                  <c:v>9.2797759999999982</c:v>
                </c:pt>
                <c:pt idx="27">
                  <c:v>8.2474149999999984</c:v>
                </c:pt>
                <c:pt idx="28">
                  <c:v>9.217046878097598</c:v>
                </c:pt>
                <c:pt idx="29">
                  <c:v>8.3416139999999999</c:v>
                </c:pt>
                <c:pt idx="30">
                  <c:v>7.9854209999999988</c:v>
                </c:pt>
                <c:pt idx="31">
                  <c:v>9.2545159999999989</c:v>
                </c:pt>
                <c:pt idx="32">
                  <c:v>8.4902250000000059</c:v>
                </c:pt>
                <c:pt idx="33">
                  <c:v>6.9746869999999994</c:v>
                </c:pt>
                <c:pt idx="34">
                  <c:v>7.5620420000000026</c:v>
                </c:pt>
                <c:pt idx="35">
                  <c:v>7.1505260000000002</c:v>
                </c:pt>
                <c:pt idx="36">
                  <c:v>6.9992619999999999</c:v>
                </c:pt>
                <c:pt idx="37">
                  <c:v>6.261374</c:v>
                </c:pt>
                <c:pt idx="38">
                  <c:v>6.1734450000000001</c:v>
                </c:pt>
                <c:pt idx="39">
                  <c:v>6.8434259999999991</c:v>
                </c:pt>
                <c:pt idx="40">
                  <c:v>6.2375949999999953</c:v>
                </c:pt>
                <c:pt idx="41">
                  <c:v>6.2111859999999997</c:v>
                </c:pt>
                <c:pt idx="42">
                  <c:v>6.2626452366000001</c:v>
                </c:pt>
                <c:pt idx="43">
                  <c:v>6.3128890000000011</c:v>
                </c:pt>
                <c:pt idx="44">
                  <c:v>7.2866530000000012</c:v>
                </c:pt>
                <c:pt idx="45">
                  <c:v>6.3176100000000002</c:v>
                </c:pt>
                <c:pt idx="46">
                  <c:v>4.3446240000000005</c:v>
                </c:pt>
                <c:pt idx="47">
                  <c:v>6.3325119999999995</c:v>
                </c:pt>
                <c:pt idx="48">
                  <c:v>7.9536740000000004</c:v>
                </c:pt>
                <c:pt idx="49">
                  <c:v>5.5589369999999994</c:v>
                </c:pt>
                <c:pt idx="50">
                  <c:v>5.1951640000000001</c:v>
                </c:pt>
                <c:pt idx="51">
                  <c:v>5.7098379999999995</c:v>
                </c:pt>
                <c:pt idx="52">
                  <c:v>5.5928650000000015</c:v>
                </c:pt>
                <c:pt idx="53">
                  <c:v>8.3211779999999997</c:v>
                </c:pt>
                <c:pt idx="54">
                  <c:v>4.6436128281419879</c:v>
                </c:pt>
                <c:pt idx="55">
                  <c:v>1.382897382835506</c:v>
                </c:pt>
                <c:pt idx="56">
                  <c:v>0</c:v>
                </c:pt>
                <c:pt idx="57">
                  <c:v>0</c:v>
                </c:pt>
                <c:pt idx="58">
                  <c:v>1.5329750000000004</c:v>
                </c:pt>
                <c:pt idx="59">
                  <c:v>3.026821</c:v>
                </c:pt>
                <c:pt idx="60">
                  <c:v>6.240945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A8-FB4A-BEBB-11EB46EDE9D1}"/>
            </c:ext>
          </c:extLst>
        </c:ser>
        <c:ser>
          <c:idx val="1"/>
          <c:order val="1"/>
          <c:tx>
            <c:strRef>
              <c:f>'New Summary Monthly'!$A$158</c:f>
              <c:strCache>
                <c:ptCount val="1"/>
                <c:pt idx="0">
                  <c:v>Slots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Monthly'!$B$151:$BJ$151</c:f>
              <c:numCache>
                <c:formatCode>mmm\-yy</c:formatCode>
                <c:ptCount val="6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  <c:pt idx="11">
                  <c:v>42552</c:v>
                </c:pt>
                <c:pt idx="12">
                  <c:v>42583</c:v>
                </c:pt>
                <c:pt idx="13">
                  <c:v>42614</c:v>
                </c:pt>
                <c:pt idx="14">
                  <c:v>42644</c:v>
                </c:pt>
                <c:pt idx="15">
                  <c:v>42675</c:v>
                </c:pt>
                <c:pt idx="16">
                  <c:v>42705</c:v>
                </c:pt>
                <c:pt idx="17">
                  <c:v>42736</c:v>
                </c:pt>
                <c:pt idx="18">
                  <c:v>42767</c:v>
                </c:pt>
                <c:pt idx="19">
                  <c:v>42795</c:v>
                </c:pt>
                <c:pt idx="20">
                  <c:v>42826</c:v>
                </c:pt>
                <c:pt idx="21">
                  <c:v>42856</c:v>
                </c:pt>
                <c:pt idx="22">
                  <c:v>42887</c:v>
                </c:pt>
                <c:pt idx="23">
                  <c:v>42917</c:v>
                </c:pt>
                <c:pt idx="24">
                  <c:v>42948</c:v>
                </c:pt>
                <c:pt idx="25">
                  <c:v>42979</c:v>
                </c:pt>
                <c:pt idx="26">
                  <c:v>43009</c:v>
                </c:pt>
                <c:pt idx="27">
                  <c:v>43040</c:v>
                </c:pt>
                <c:pt idx="28">
                  <c:v>43070</c:v>
                </c:pt>
                <c:pt idx="29">
                  <c:v>43101</c:v>
                </c:pt>
                <c:pt idx="30">
                  <c:v>43132</c:v>
                </c:pt>
                <c:pt idx="31">
                  <c:v>43160</c:v>
                </c:pt>
                <c:pt idx="32">
                  <c:v>43191</c:v>
                </c:pt>
                <c:pt idx="33">
                  <c:v>43221</c:v>
                </c:pt>
                <c:pt idx="34">
                  <c:v>43252</c:v>
                </c:pt>
                <c:pt idx="35">
                  <c:v>43282</c:v>
                </c:pt>
                <c:pt idx="36">
                  <c:v>43313</c:v>
                </c:pt>
                <c:pt idx="37">
                  <c:v>43344</c:v>
                </c:pt>
                <c:pt idx="38">
                  <c:v>43374</c:v>
                </c:pt>
                <c:pt idx="39">
                  <c:v>43405</c:v>
                </c:pt>
                <c:pt idx="40">
                  <c:v>43435</c:v>
                </c:pt>
                <c:pt idx="41">
                  <c:v>43466</c:v>
                </c:pt>
                <c:pt idx="42">
                  <c:v>43497</c:v>
                </c:pt>
                <c:pt idx="43">
                  <c:v>43525</c:v>
                </c:pt>
                <c:pt idx="44">
                  <c:v>43556</c:v>
                </c:pt>
                <c:pt idx="45">
                  <c:v>43586</c:v>
                </c:pt>
                <c:pt idx="46">
                  <c:v>43617</c:v>
                </c:pt>
                <c:pt idx="47">
                  <c:v>43647</c:v>
                </c:pt>
                <c:pt idx="48">
                  <c:v>43678</c:v>
                </c:pt>
                <c:pt idx="49">
                  <c:v>43709</c:v>
                </c:pt>
                <c:pt idx="50">
                  <c:v>43739</c:v>
                </c:pt>
                <c:pt idx="51">
                  <c:v>43770</c:v>
                </c:pt>
                <c:pt idx="52">
                  <c:v>43800</c:v>
                </c:pt>
                <c:pt idx="53">
                  <c:v>43831</c:v>
                </c:pt>
                <c:pt idx="54">
                  <c:v>43862</c:v>
                </c:pt>
                <c:pt idx="55">
                  <c:v>43891</c:v>
                </c:pt>
                <c:pt idx="56">
                  <c:v>43922</c:v>
                </c:pt>
                <c:pt idx="57">
                  <c:v>43952</c:v>
                </c:pt>
                <c:pt idx="58">
                  <c:v>43983</c:v>
                </c:pt>
                <c:pt idx="59">
                  <c:v>44013</c:v>
                </c:pt>
                <c:pt idx="60">
                  <c:v>44044</c:v>
                </c:pt>
              </c:numCache>
            </c:numRef>
          </c:cat>
          <c:val>
            <c:numRef>
              <c:f>'New Summary Monthly'!$B$157:$BN$157</c:f>
              <c:numCache>
                <c:formatCode>#,##0.00</c:formatCode>
                <c:ptCount val="65"/>
                <c:pt idx="0">
                  <c:v>18.0230830217</c:v>
                </c:pt>
                <c:pt idx="1">
                  <c:v>14.593</c:v>
                </c:pt>
                <c:pt idx="2">
                  <c:v>14.634026889899999</c:v>
                </c:pt>
                <c:pt idx="3">
                  <c:v>13.95130357560712</c:v>
                </c:pt>
                <c:pt idx="4">
                  <c:v>16.189317600000003</c:v>
                </c:pt>
                <c:pt idx="5">
                  <c:v>17.2414595883</c:v>
                </c:pt>
                <c:pt idx="6">
                  <c:v>14.5282420838</c:v>
                </c:pt>
                <c:pt idx="7">
                  <c:v>15.434089120290942</c:v>
                </c:pt>
                <c:pt idx="8">
                  <c:v>15.090943118</c:v>
                </c:pt>
                <c:pt idx="9">
                  <c:v>14.147593004400001</c:v>
                </c:pt>
                <c:pt idx="10">
                  <c:v>14.8321867967</c:v>
                </c:pt>
                <c:pt idx="11">
                  <c:v>15.502126027799999</c:v>
                </c:pt>
                <c:pt idx="12">
                  <c:v>16.695779000000002</c:v>
                </c:pt>
                <c:pt idx="13">
                  <c:v>14.669632</c:v>
                </c:pt>
                <c:pt idx="14">
                  <c:v>16.125216999999999</c:v>
                </c:pt>
                <c:pt idx="15">
                  <c:v>21.6407689545</c:v>
                </c:pt>
                <c:pt idx="16">
                  <c:v>15.843</c:v>
                </c:pt>
                <c:pt idx="17">
                  <c:v>16.414919000000001</c:v>
                </c:pt>
                <c:pt idx="18">
                  <c:v>14.009454000000002</c:v>
                </c:pt>
                <c:pt idx="19">
                  <c:v>14.544473538097607</c:v>
                </c:pt>
                <c:pt idx="20">
                  <c:v>16.524456000000001</c:v>
                </c:pt>
                <c:pt idx="21">
                  <c:v>13.49319</c:v>
                </c:pt>
                <c:pt idx="22">
                  <c:v>14.346781</c:v>
                </c:pt>
                <c:pt idx="23">
                  <c:v>15.123224999999998</c:v>
                </c:pt>
                <c:pt idx="24">
                  <c:v>17.555225</c:v>
                </c:pt>
                <c:pt idx="25">
                  <c:v>14.808219999999999</c:v>
                </c:pt>
                <c:pt idx="26">
                  <c:v>14.802681999999999</c:v>
                </c:pt>
                <c:pt idx="27">
                  <c:v>22.057752999999998</c:v>
                </c:pt>
                <c:pt idx="28">
                  <c:v>16.904619461902399</c:v>
                </c:pt>
                <c:pt idx="29">
                  <c:v>16.597967000000001</c:v>
                </c:pt>
                <c:pt idx="30">
                  <c:v>13.765280999999998</c:v>
                </c:pt>
                <c:pt idx="31">
                  <c:v>14.972014</c:v>
                </c:pt>
                <c:pt idx="32">
                  <c:v>15.264737</c:v>
                </c:pt>
                <c:pt idx="33">
                  <c:v>14.177547000000001</c:v>
                </c:pt>
                <c:pt idx="34">
                  <c:v>13.752683999999999</c:v>
                </c:pt>
                <c:pt idx="35">
                  <c:v>13.797469</c:v>
                </c:pt>
                <c:pt idx="36">
                  <c:v>12.412763999999999</c:v>
                </c:pt>
                <c:pt idx="37">
                  <c:v>10.443906999999999</c:v>
                </c:pt>
                <c:pt idx="38">
                  <c:v>9.223376</c:v>
                </c:pt>
                <c:pt idx="39">
                  <c:v>9.4791369999999997</c:v>
                </c:pt>
                <c:pt idx="40">
                  <c:v>11.594342999999999</c:v>
                </c:pt>
                <c:pt idx="41">
                  <c:v>10.952728</c:v>
                </c:pt>
                <c:pt idx="42">
                  <c:v>9.0532496454000011</c:v>
                </c:pt>
                <c:pt idx="43">
                  <c:v>11.037034</c:v>
                </c:pt>
                <c:pt idx="44">
                  <c:v>10.32419</c:v>
                </c:pt>
                <c:pt idx="45">
                  <c:v>10.023183</c:v>
                </c:pt>
                <c:pt idx="46">
                  <c:v>9.0924269999999989</c:v>
                </c:pt>
                <c:pt idx="47">
                  <c:v>10.806437000000001</c:v>
                </c:pt>
                <c:pt idx="48">
                  <c:v>13.404523000000001</c:v>
                </c:pt>
                <c:pt idx="49">
                  <c:v>10.163869</c:v>
                </c:pt>
                <c:pt idx="50">
                  <c:v>9.0230259999999998</c:v>
                </c:pt>
                <c:pt idx="51">
                  <c:v>9.2616770000000006</c:v>
                </c:pt>
                <c:pt idx="52">
                  <c:v>11.740957</c:v>
                </c:pt>
                <c:pt idx="53">
                  <c:v>11.743525</c:v>
                </c:pt>
                <c:pt idx="54">
                  <c:v>7.0114105821144213</c:v>
                </c:pt>
                <c:pt idx="55">
                  <c:v>2.6360762069080836</c:v>
                </c:pt>
                <c:pt idx="56">
                  <c:v>0</c:v>
                </c:pt>
                <c:pt idx="57">
                  <c:v>0</c:v>
                </c:pt>
                <c:pt idx="58">
                  <c:v>4.4492840000000005</c:v>
                </c:pt>
                <c:pt idx="59">
                  <c:v>8.5824050000000014</c:v>
                </c:pt>
                <c:pt idx="60">
                  <c:v>10.895976000000001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A8-FB4A-BEBB-11EB46EDE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969662240"/>
        <c:axId val="969663936"/>
      </c:barChart>
      <c:dateAx>
        <c:axId val="96966224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Offset val="100"/>
        <c:baseTimeUnit val="months"/>
      </c:dateAx>
      <c:valAx>
        <c:axId val="9696639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178586430303495E-2"/>
          <c:y val="3.3144064028110813E-2"/>
          <c:w val="0.91086993103359604"/>
          <c:h val="0.7997662556152302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'New Summary Monthly'!$A$65</c:f>
              <c:strCache>
                <c:ptCount val="1"/>
                <c:pt idx="0">
                  <c:v> Land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'New Summary Monthly'!$B$54:$R$54</c:f>
              <c:strCach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2025TD</c:v>
                </c:pt>
              </c:strCache>
            </c:strRef>
          </c:cat>
          <c:val>
            <c:numRef>
              <c:f>'New Summary Monthly'!$B$65:$R$65</c:f>
              <c:numCache>
                <c:formatCode>#,##0.0</c:formatCode>
                <c:ptCount val="17"/>
                <c:pt idx="0">
                  <c:v>807.72822229034421</c:v>
                </c:pt>
                <c:pt idx="1">
                  <c:v>597.4438016165285</c:v>
                </c:pt>
                <c:pt idx="2">
                  <c:v>614.55868197282996</c:v>
                </c:pt>
                <c:pt idx="3">
                  <c:v>604.89846457198541</c:v>
                </c:pt>
                <c:pt idx="4">
                  <c:v>589.99</c:v>
                </c:pt>
                <c:pt idx="5">
                  <c:v>600</c:v>
                </c:pt>
                <c:pt idx="6">
                  <c:v>517.99999999999989</c:v>
                </c:pt>
                <c:pt idx="7">
                  <c:v>583.34400000000005</c:v>
                </c:pt>
                <c:pt idx="8">
                  <c:v>809.28</c:v>
                </c:pt>
                <c:pt idx="9">
                  <c:v>840.74636133999991</c:v>
                </c:pt>
                <c:pt idx="10">
                  <c:v>867.52843052999992</c:v>
                </c:pt>
                <c:pt idx="11">
                  <c:v>580.61266177000016</c:v>
                </c:pt>
                <c:pt idx="12">
                  <c:v>385.68922760000004</c:v>
                </c:pt>
                <c:pt idx="13">
                  <c:v>861.10672693000004</c:v>
                </c:pt>
                <c:pt idx="14">
                  <c:v>929.59999999999991</c:v>
                </c:pt>
                <c:pt idx="15">
                  <c:v>954.32194260000006</c:v>
                </c:pt>
                <c:pt idx="16">
                  <c:v>513.23204209000005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D9-4144-ACE2-1BC734E7B5E4}"/>
            </c:ext>
          </c:extLst>
        </c:ser>
        <c:ser>
          <c:idx val="1"/>
          <c:order val="1"/>
          <c:tx>
            <c:strRef>
              <c:f>'New Summary Monthly'!$A$66</c:f>
              <c:strCache>
                <c:ptCount val="1"/>
                <c:pt idx="0">
                  <c:v> Remote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'New Summary Monthly'!$B$54:$R$54</c:f>
              <c:strCach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2025TD</c:v>
                </c:pt>
              </c:strCache>
            </c:strRef>
          </c:cat>
          <c:val>
            <c:numRef>
              <c:f>'New Summary Monthly'!$B$66:$R$66</c:f>
              <c:numCache>
                <c:formatCode>#,##0.0</c:formatCode>
                <c:ptCount val="17"/>
                <c:pt idx="0">
                  <c:v>170.73738170965581</c:v>
                </c:pt>
                <c:pt idx="1">
                  <c:v>212.83919699999998</c:v>
                </c:pt>
                <c:pt idx="2">
                  <c:v>208.83470799999998</c:v>
                </c:pt>
                <c:pt idx="3">
                  <c:v>166.9062879514</c:v>
                </c:pt>
                <c:pt idx="4">
                  <c:v>192.01</c:v>
                </c:pt>
                <c:pt idx="5">
                  <c:v>213.99999999999997</c:v>
                </c:pt>
                <c:pt idx="6">
                  <c:v>267.03000000000003</c:v>
                </c:pt>
                <c:pt idx="7">
                  <c:v>355.64499999999998</c:v>
                </c:pt>
                <c:pt idx="8">
                  <c:v>561.97</c:v>
                </c:pt>
                <c:pt idx="9">
                  <c:v>640.82071189999999</c:v>
                </c:pt>
                <c:pt idx="10">
                  <c:v>725.60986048999985</c:v>
                </c:pt>
                <c:pt idx="11">
                  <c:v>997.73967964000008</c:v>
                </c:pt>
                <c:pt idx="12">
                  <c:v>1442.3473267900004</c:v>
                </c:pt>
                <c:pt idx="13">
                  <c:v>1351.4821701999999</c:v>
                </c:pt>
                <c:pt idx="14">
                  <c:v>1475.3</c:v>
                </c:pt>
                <c:pt idx="15">
                  <c:v>1622.8385920299997</c:v>
                </c:pt>
                <c:pt idx="16">
                  <c:v>792.86233398000002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D9-4144-ACE2-1BC734E7B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969662240"/>
        <c:axId val="969663936"/>
      </c:barChart>
      <c:catAx>
        <c:axId val="96966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Algn val="ctr"/>
        <c:lblOffset val="100"/>
        <c:noMultiLvlLbl val="0"/>
      </c:catAx>
      <c:valAx>
        <c:axId val="9696639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526075443051517E-2"/>
          <c:y val="3.8511516219974617E-2"/>
          <c:w val="0.90237779521212347"/>
          <c:h val="0.79276661530032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'New Summary Monthly'!$A$27</c:f>
              <c:strCache>
                <c:ptCount val="1"/>
                <c:pt idx="0">
                  <c:v> Sportsbetting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'New Summary Monthly'!$B$54:$R$54</c:f>
              <c:strCach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2025TD</c:v>
                </c:pt>
              </c:strCache>
            </c:strRef>
          </c:cat>
          <c:val>
            <c:numRef>
              <c:f>'New Summary Monthly'!$B$67:$R$67</c:f>
              <c:numCache>
                <c:formatCode>#,##0.0</c:formatCode>
                <c:ptCount val="17"/>
                <c:pt idx="0">
                  <c:v>978.46560399999998</c:v>
                </c:pt>
                <c:pt idx="1">
                  <c:v>810.28299861652852</c:v>
                </c:pt>
                <c:pt idx="2">
                  <c:v>823.39338997282994</c:v>
                </c:pt>
                <c:pt idx="3">
                  <c:v>771.80475252338545</c:v>
                </c:pt>
                <c:pt idx="4">
                  <c:v>782</c:v>
                </c:pt>
                <c:pt idx="5">
                  <c:v>814</c:v>
                </c:pt>
                <c:pt idx="6">
                  <c:v>785.03</c:v>
                </c:pt>
                <c:pt idx="7">
                  <c:v>938.98900000000003</c:v>
                </c:pt>
                <c:pt idx="8">
                  <c:v>1371.25</c:v>
                </c:pt>
                <c:pt idx="9">
                  <c:v>1481.5670732399999</c:v>
                </c:pt>
                <c:pt idx="10">
                  <c:v>1593.1382910199998</c:v>
                </c:pt>
                <c:pt idx="11">
                  <c:v>1578.3523414100002</c:v>
                </c:pt>
                <c:pt idx="12">
                  <c:v>1828.0365543900004</c:v>
                </c:pt>
                <c:pt idx="13">
                  <c:v>2212.5888971300001</c:v>
                </c:pt>
                <c:pt idx="14">
                  <c:v>2404.8999999999996</c:v>
                </c:pt>
                <c:pt idx="15">
                  <c:v>2577.1605346299998</c:v>
                </c:pt>
                <c:pt idx="16">
                  <c:v>1306.0943760700002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DB-9D45-BE49-192749ACA749}"/>
            </c:ext>
          </c:extLst>
        </c:ser>
        <c:ser>
          <c:idx val="1"/>
          <c:order val="1"/>
          <c:tx>
            <c:strRef>
              <c:f>'New Summary Monthly'!$A$28</c:f>
              <c:strCache>
                <c:ptCount val="1"/>
                <c:pt idx="0">
                  <c:v> Casino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'New Summary Monthly'!$B$54:$R$54</c:f>
              <c:strCach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2025TD</c:v>
                </c:pt>
              </c:strCache>
            </c:strRef>
          </c:cat>
          <c:val>
            <c:numRef>
              <c:f>'New Summary Monthly'!$B$70:$R$70</c:f>
              <c:numCache>
                <c:formatCode>#,##0.0</c:formatCode>
                <c:ptCount val="17"/>
                <c:pt idx="2">
                  <c:v>49.159015000000004</c:v>
                </c:pt>
                <c:pt idx="3">
                  <c:v>146.89135099999999</c:v>
                </c:pt>
                <c:pt idx="4">
                  <c:v>244.25</c:v>
                </c:pt>
                <c:pt idx="5">
                  <c:v>255.48000000000002</c:v>
                </c:pt>
                <c:pt idx="6">
                  <c:v>338.33000000000004</c:v>
                </c:pt>
                <c:pt idx="7">
                  <c:v>438.89000000000004</c:v>
                </c:pt>
                <c:pt idx="8">
                  <c:v>567.04999999999995</c:v>
                </c:pt>
                <c:pt idx="9">
                  <c:v>710.03786290999994</c:v>
                </c:pt>
                <c:pt idx="10">
                  <c:v>831.16971128123259</c:v>
                </c:pt>
                <c:pt idx="11">
                  <c:v>1217.8720565599997</c:v>
                </c:pt>
                <c:pt idx="12">
                  <c:v>1773.6061473599998</c:v>
                </c:pt>
                <c:pt idx="13">
                  <c:v>2013.1635003899999</c:v>
                </c:pt>
                <c:pt idx="14">
                  <c:v>2368.3000000000002</c:v>
                </c:pt>
                <c:pt idx="15">
                  <c:v>2797.6071059800001</c:v>
                </c:pt>
                <c:pt idx="16">
                  <c:v>1285.1172405500001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DB-9D45-BE49-192749ACA749}"/>
            </c:ext>
          </c:extLst>
        </c:ser>
        <c:ser>
          <c:idx val="2"/>
          <c:order val="2"/>
          <c:tx>
            <c:strRef>
              <c:f>'New Summary Monthly'!$A$34</c:f>
              <c:strCache>
                <c:ptCount val="1"/>
                <c:pt idx="0">
                  <c:v> Poker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'New Summary Monthly'!$B$54:$R$54</c:f>
              <c:strCach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2025TD</c:v>
                </c:pt>
              </c:strCache>
            </c:strRef>
          </c:cat>
          <c:val>
            <c:numRef>
              <c:f>'New Summary Monthly'!$B$73:$R$73</c:f>
              <c:numCache>
                <c:formatCode>#,##0.0</c:formatCode>
                <c:ptCount val="17"/>
                <c:pt idx="0">
                  <c:v>287.01451917277438</c:v>
                </c:pt>
                <c:pt idx="1">
                  <c:v>376.48407700000001</c:v>
                </c:pt>
                <c:pt idx="2">
                  <c:v>384.37030100000004</c:v>
                </c:pt>
                <c:pt idx="3">
                  <c:v>360.62855000000002</c:v>
                </c:pt>
                <c:pt idx="4">
                  <c:v>229.74</c:v>
                </c:pt>
                <c:pt idx="5">
                  <c:v>188.53999999999996</c:v>
                </c:pt>
                <c:pt idx="6">
                  <c:v>143.65999999999997</c:v>
                </c:pt>
                <c:pt idx="7">
                  <c:v>140.82000000000002</c:v>
                </c:pt>
                <c:pt idx="8">
                  <c:v>153.04</c:v>
                </c:pt>
                <c:pt idx="9">
                  <c:v>146.99616877</c:v>
                </c:pt>
                <c:pt idx="10">
                  <c:v>137.76038955649599</c:v>
                </c:pt>
                <c:pt idx="11">
                  <c:v>206.935153318495</c:v>
                </c:pt>
                <c:pt idx="12">
                  <c:v>177.18353522000001</c:v>
                </c:pt>
                <c:pt idx="13">
                  <c:v>169.78227893999997</c:v>
                </c:pt>
                <c:pt idx="14">
                  <c:v>177.49882953584907</c:v>
                </c:pt>
                <c:pt idx="15">
                  <c:v>174.91625307999999</c:v>
                </c:pt>
                <c:pt idx="16">
                  <c:v>80.840162030000002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DB-9D45-BE49-192749ACA749}"/>
            </c:ext>
          </c:extLst>
        </c:ser>
        <c:ser>
          <c:idx val="3"/>
          <c:order val="3"/>
          <c:tx>
            <c:strRef>
              <c:f>'New Summary Monthly'!$A$32</c:f>
              <c:strCache>
                <c:ptCount val="1"/>
                <c:pt idx="0">
                  <c:v> Bingo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'New Summary Monthly'!$B$54:$R$54</c:f>
              <c:strCach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2025TD</c:v>
                </c:pt>
              </c:strCache>
            </c:strRef>
          </c:cat>
          <c:val>
            <c:numRef>
              <c:f>'New Summary Monthly'!$B$74:$R$74</c:f>
              <c:numCache>
                <c:formatCode>#,##0.0</c:formatCode>
                <c:ptCount val="17"/>
                <c:pt idx="0">
                  <c:v>2.3498587646205524E-2</c:v>
                </c:pt>
                <c:pt idx="1">
                  <c:v>44.206241000000006</c:v>
                </c:pt>
                <c:pt idx="2">
                  <c:v>54.934426000000002</c:v>
                </c:pt>
                <c:pt idx="3">
                  <c:v>42.815416000000006</c:v>
                </c:pt>
                <c:pt idx="4">
                  <c:v>31.99</c:v>
                </c:pt>
                <c:pt idx="5">
                  <c:v>27</c:v>
                </c:pt>
                <c:pt idx="6">
                  <c:v>25.009999999999998</c:v>
                </c:pt>
                <c:pt idx="7">
                  <c:v>27.35</c:v>
                </c:pt>
                <c:pt idx="8">
                  <c:v>27.879999999999995</c:v>
                </c:pt>
                <c:pt idx="9">
                  <c:v>31.075223130000001</c:v>
                </c:pt>
                <c:pt idx="10">
                  <c:v>37.422039323032401</c:v>
                </c:pt>
                <c:pt idx="11">
                  <c:v>58.173371130786002</c:v>
                </c:pt>
                <c:pt idx="12">
                  <c:v>66.574887765999989</c:v>
                </c:pt>
                <c:pt idx="13">
                  <c:v>61.100463175000009</c:v>
                </c:pt>
                <c:pt idx="14">
                  <c:v>63.79606669999999</c:v>
                </c:pt>
                <c:pt idx="15">
                  <c:v>67.213969830000011</c:v>
                </c:pt>
                <c:pt idx="16">
                  <c:v>23.217913039999999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DB-9D45-BE49-192749ACA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969662240"/>
        <c:axId val="969663936"/>
      </c:barChart>
      <c:catAx>
        <c:axId val="96966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Algn val="ctr"/>
        <c:lblOffset val="100"/>
        <c:noMultiLvlLbl val="0"/>
      </c:catAx>
      <c:valAx>
        <c:axId val="9696639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931475826611776E-2"/>
          <c:y val="3.8089272010572273E-2"/>
          <c:w val="0.94281255149357512"/>
          <c:h val="0.80489830232415316"/>
        </c:manualLayout>
      </c:layout>
      <c:lineChart>
        <c:grouping val="standard"/>
        <c:varyColors val="0"/>
        <c:ser>
          <c:idx val="0"/>
          <c:order val="0"/>
          <c:tx>
            <c:strRef>
              <c:f>'New Summary Monthly'!$CA$84</c:f>
              <c:strCache>
                <c:ptCount val="1"/>
                <c:pt idx="0">
                  <c:v>Casino (inc Poker)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'New Summary Monthly'!$CB$83:$CW$83</c:f>
              <c:strCache>
                <c:ptCount val="2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2024e</c:v>
                </c:pt>
                <c:pt idx="16">
                  <c:v>2025e</c:v>
                </c:pt>
                <c:pt idx="17">
                  <c:v>2026e</c:v>
                </c:pt>
                <c:pt idx="18">
                  <c:v>2027e</c:v>
                </c:pt>
                <c:pt idx="19">
                  <c:v>2028e</c:v>
                </c:pt>
                <c:pt idx="20">
                  <c:v>2029e</c:v>
                </c:pt>
                <c:pt idx="21">
                  <c:v>2030e</c:v>
                </c:pt>
              </c:strCache>
            </c:strRef>
          </c:cat>
          <c:val>
            <c:numRef>
              <c:f>'New Summary Monthly'!$CB$84:$CW$84</c:f>
              <c:numCache>
                <c:formatCode>0%</c:formatCode>
                <c:ptCount val="22"/>
                <c:pt idx="0">
                  <c:v>0.37130213999437545</c:v>
                </c:pt>
                <c:pt idx="1">
                  <c:v>0.4465118329092444</c:v>
                </c:pt>
                <c:pt idx="2">
                  <c:v>0.50776845856685071</c:v>
                </c:pt>
                <c:pt idx="3">
                  <c:v>0.59387470778530782</c:v>
                </c:pt>
                <c:pt idx="4">
                  <c:v>0.6053639846743295</c:v>
                </c:pt>
                <c:pt idx="5">
                  <c:v>0.59229372774200795</c:v>
                </c:pt>
                <c:pt idx="6">
                  <c:v>0.61941251596424007</c:v>
                </c:pt>
                <c:pt idx="7">
                  <c:v>0.66681682430022882</c:v>
                </c:pt>
                <c:pt idx="8">
                  <c:v>0.71473240445752839</c:v>
                </c:pt>
                <c:pt idx="9">
                  <c:v>0.77856312836606922</c:v>
                </c:pt>
                <c:pt idx="10">
                  <c:v>0.83035113952345507</c:v>
                </c:pt>
                <c:pt idx="11">
                  <c:v>0.93760800504844011</c:v>
                </c:pt>
                <c:pt idx="12">
                  <c:v>0.97024348748056588</c:v>
                </c:pt>
                <c:pt idx="13">
                  <c:v>0.9431478966177379</c:v>
                </c:pt>
                <c:pt idx="14">
                  <c:v>0.95141226985288518</c:v>
                </c:pt>
                <c:pt idx="15">
                  <c:v>0.95891637078903635</c:v>
                </c:pt>
                <c:pt idx="16">
                  <c:v>0.96390380385803565</c:v>
                </c:pt>
                <c:pt idx="17">
                  <c:v>0.96777812694356335</c:v>
                </c:pt>
                <c:pt idx="18">
                  <c:v>0.97099413249991184</c:v>
                </c:pt>
                <c:pt idx="19">
                  <c:v>0.9737056496919938</c:v>
                </c:pt>
                <c:pt idx="20">
                  <c:v>0.97600312988113169</c:v>
                </c:pt>
                <c:pt idx="21">
                  <c:v>0.97796257849656731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D55-504C-9734-B695F1D06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9662240"/>
        <c:axId val="969663936"/>
      </c:lineChart>
      <c:catAx>
        <c:axId val="96966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Algn val="ctr"/>
        <c:lblOffset val="100"/>
        <c:noMultiLvlLbl val="0"/>
      </c:catAx>
      <c:valAx>
        <c:axId val="969663936"/>
        <c:scaling>
          <c:orientation val="minMax"/>
          <c:max val="1"/>
          <c:min val="0.30000000000000004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9525">
            <a:solidFill>
              <a:schemeClr val="bg1">
                <a:lumMod val="75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r>
              <a:rPr lang="en-GB"/>
              <a:t>Total Gambling Market GGR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'Overview (LC)'!$E$29</c:f>
              <c:strCache>
                <c:ptCount val="1"/>
                <c:pt idx="0">
                  <c:v>Total Betting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(LC)'!$G$17:$AH$17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(LC)'!$G$29:$AH$29</c:f>
              <c:numCache>
                <c:formatCode>_(* #,##0_);_(* \(#,##0\);_(* "-"??_);_(@_)</c:formatCode>
                <c:ptCount val="28"/>
                <c:pt idx="0">
                  <c:v>1375.0163923923799</c:v>
                </c:pt>
                <c:pt idx="1">
                  <c:v>1403.4493073623566</c:v>
                </c:pt>
                <c:pt idx="2">
                  <c:v>1419.6499784799735</c:v>
                </c:pt>
                <c:pt idx="3">
                  <c:v>1669.9793064472522</c:v>
                </c:pt>
                <c:pt idx="4">
                  <c:v>1680.0757312301678</c:v>
                </c:pt>
                <c:pt idx="5">
                  <c:v>1778.2421093203232</c:v>
                </c:pt>
                <c:pt idx="6">
                  <c:v>1569.3331907375189</c:v>
                </c:pt>
                <c:pt idx="7">
                  <c:v>1545.8325291893714</c:v>
                </c:pt>
                <c:pt idx="8">
                  <c:v>1358.5174134315707</c:v>
                </c:pt>
                <c:pt idx="9">
                  <c:v>1035.1602123132075</c:v>
                </c:pt>
                <c:pt idx="10">
                  <c:v>1071.514620728233</c:v>
                </c:pt>
                <c:pt idx="11">
                  <c:v>1248.5493666299312</c:v>
                </c:pt>
                <c:pt idx="12">
                  <c:v>1199.0563462254286</c:v>
                </c:pt>
                <c:pt idx="13">
                  <c:v>1357.3352282666553</c:v>
                </c:pt>
                <c:pt idx="14">
                  <c:v>1786.2156837039092</c:v>
                </c:pt>
                <c:pt idx="15">
                  <c:v>1958.4339701951735</c:v>
                </c:pt>
                <c:pt idx="16">
                  <c:v>2094.7129946691448</c:v>
                </c:pt>
                <c:pt idx="17">
                  <c:v>1951.8349999999998</c:v>
                </c:pt>
                <c:pt idx="18">
                  <c:v>2240.1383236299998</c:v>
                </c:pt>
                <c:pt idx="19">
                  <c:v>2853.1762219263464</c:v>
                </c:pt>
                <c:pt idx="20">
                  <c:v>3130.4686899040744</c:v>
                </c:pt>
                <c:pt idx="21">
                  <c:v>3389.2607282548042</c:v>
                </c:pt>
                <c:pt idx="22">
                  <c:v>3775.4157487165285</c:v>
                </c:pt>
                <c:pt idx="23">
                  <c:v>4066.0137407585007</c:v>
                </c:pt>
                <c:pt idx="24">
                  <c:v>4364.7726751281771</c:v>
                </c:pt>
                <c:pt idx="25">
                  <c:v>4680.3741119370816</c:v>
                </c:pt>
                <c:pt idx="26">
                  <c:v>5009.1348114191478</c:v>
                </c:pt>
                <c:pt idx="27">
                  <c:v>5355.4139382048043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BD-894F-BC62-D4F55D10A588}"/>
            </c:ext>
          </c:extLst>
        </c:ser>
        <c:ser>
          <c:idx val="1"/>
          <c:order val="1"/>
          <c:tx>
            <c:strRef>
              <c:f>'Overview (LC)'!$E$30</c:f>
              <c:strCache>
                <c:ptCount val="1"/>
                <c:pt idx="0">
                  <c:v>Total Gaming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(LC)'!$G$17:$AH$17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(LC)'!$G$30:$AH$30</c:f>
              <c:numCache>
                <c:formatCode>_(* #,##0_);_(* \(#,##0\);_(* "-"??_);_(@_)</c:formatCode>
                <c:ptCount val="28"/>
                <c:pt idx="0">
                  <c:v>1179.4165515157395</c:v>
                </c:pt>
                <c:pt idx="1">
                  <c:v>2411.5502049410075</c:v>
                </c:pt>
                <c:pt idx="2">
                  <c:v>4156.7142393987524</c:v>
                </c:pt>
                <c:pt idx="3">
                  <c:v>5331.2296650728231</c:v>
                </c:pt>
                <c:pt idx="4">
                  <c:v>6254.0210561243903</c:v>
                </c:pt>
                <c:pt idx="5">
                  <c:v>6987.2517846571882</c:v>
                </c:pt>
                <c:pt idx="6">
                  <c:v>7804.5279726814679</c:v>
                </c:pt>
                <c:pt idx="7">
                  <c:v>9529.1722884612009</c:v>
                </c:pt>
                <c:pt idx="8">
                  <c:v>10920.437444126837</c:v>
                </c:pt>
                <c:pt idx="9">
                  <c:v>12000.80569752257</c:v>
                </c:pt>
                <c:pt idx="10">
                  <c:v>11082.391175157112</c:v>
                </c:pt>
                <c:pt idx="11">
                  <c:v>10792.607233877101</c:v>
                </c:pt>
                <c:pt idx="12">
                  <c:v>11024.623282324208</c:v>
                </c:pt>
                <c:pt idx="13">
                  <c:v>12026.762920412837</c:v>
                </c:pt>
                <c:pt idx="14">
                  <c:v>12213.806354426306</c:v>
                </c:pt>
                <c:pt idx="15">
                  <c:v>12076.74541030454</c:v>
                </c:pt>
                <c:pt idx="16">
                  <c:v>12216.38190146078</c:v>
                </c:pt>
                <c:pt idx="17">
                  <c:v>6789.9731672369135</c:v>
                </c:pt>
                <c:pt idx="18">
                  <c:v>7170.6887987733626</c:v>
                </c:pt>
                <c:pt idx="19">
                  <c:v>11575.639760044742</c:v>
                </c:pt>
                <c:pt idx="20">
                  <c:v>11894.940966983619</c:v>
                </c:pt>
                <c:pt idx="21">
                  <c:v>11916.45224332522</c:v>
                </c:pt>
                <c:pt idx="22">
                  <c:v>11819.821153626603</c:v>
                </c:pt>
                <c:pt idx="23">
                  <c:v>11862.584624987441</c:v>
                </c:pt>
                <c:pt idx="24">
                  <c:v>11976.732163439156</c:v>
                </c:pt>
                <c:pt idx="25">
                  <c:v>12183.11493924274</c:v>
                </c:pt>
                <c:pt idx="26">
                  <c:v>12452.039804522188</c:v>
                </c:pt>
                <c:pt idx="27">
                  <c:v>12770.270368330612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BD-894F-BC62-D4F55D10A588}"/>
            </c:ext>
          </c:extLst>
        </c:ser>
        <c:ser>
          <c:idx val="2"/>
          <c:order val="2"/>
          <c:tx>
            <c:strRef>
              <c:f>'Overview (LC)'!$E$31</c:f>
              <c:strCache>
                <c:ptCount val="1"/>
                <c:pt idx="0">
                  <c:v>Total Lottery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(LC)'!$G$17:$AH$17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(LC)'!$G$31:$AH$31</c:f>
              <c:numCache>
                <c:formatCode>_(* #,##0_);_(* \(#,##0\);_(* "-"??_);_(@_)</c:formatCode>
                <c:ptCount val="28"/>
                <c:pt idx="0">
                  <c:v>4837.583494642764</c:v>
                </c:pt>
                <c:pt idx="1">
                  <c:v>6972.3117955686721</c:v>
                </c:pt>
                <c:pt idx="2">
                  <c:v>5157.7037586161332</c:v>
                </c:pt>
                <c:pt idx="3">
                  <c:v>5547.207045627827</c:v>
                </c:pt>
                <c:pt idx="4">
                  <c:v>6357</c:v>
                </c:pt>
                <c:pt idx="5">
                  <c:v>6962</c:v>
                </c:pt>
                <c:pt idx="6">
                  <c:v>7544.9999999999991</c:v>
                </c:pt>
                <c:pt idx="7">
                  <c:v>6888.9999999999991</c:v>
                </c:pt>
                <c:pt idx="8">
                  <c:v>6986.0000000000009</c:v>
                </c:pt>
                <c:pt idx="9">
                  <c:v>5936</c:v>
                </c:pt>
                <c:pt idx="10">
                  <c:v>5657</c:v>
                </c:pt>
                <c:pt idx="11">
                  <c:v>5436</c:v>
                </c:pt>
                <c:pt idx="12">
                  <c:v>5419</c:v>
                </c:pt>
                <c:pt idx="13">
                  <c:v>6229</c:v>
                </c:pt>
                <c:pt idx="14">
                  <c:v>5480</c:v>
                </c:pt>
                <c:pt idx="15">
                  <c:v>5393.26</c:v>
                </c:pt>
                <c:pt idx="16">
                  <c:v>5554.2599999999993</c:v>
                </c:pt>
                <c:pt idx="17">
                  <c:v>4546.4899999999989</c:v>
                </c:pt>
                <c:pt idx="18">
                  <c:v>6316.07</c:v>
                </c:pt>
                <c:pt idx="19">
                  <c:v>6197.64</c:v>
                </c:pt>
                <c:pt idx="20">
                  <c:v>5935.0000000000009</c:v>
                </c:pt>
                <c:pt idx="21">
                  <c:v>6485.0999999999995</c:v>
                </c:pt>
                <c:pt idx="22">
                  <c:v>6656.1893611512423</c:v>
                </c:pt>
                <c:pt idx="23">
                  <c:v>6848.3599340626042</c:v>
                </c:pt>
                <c:pt idx="24">
                  <c:v>7070.2533497947315</c:v>
                </c:pt>
                <c:pt idx="25">
                  <c:v>7297.0826971921069</c:v>
                </c:pt>
                <c:pt idx="26">
                  <c:v>7539.4889934779003</c:v>
                </c:pt>
                <c:pt idx="27">
                  <c:v>7800.3791829141619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BD-894F-BC62-D4F55D10A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04624"/>
        <c:axId val="73545040"/>
      </c:barChart>
      <c:catAx>
        <c:axId val="7380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545040"/>
        <c:crosses val="autoZero"/>
        <c:auto val="1"/>
        <c:lblAlgn val="ctr"/>
        <c:lblOffset val="100"/>
        <c:noMultiLvlLbl val="0"/>
      </c:catAx>
      <c:valAx>
        <c:axId val="7354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80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sz="1400">
          <a:latin typeface="Apercu" panose="02000506040000020004" pitchFamily="2" charset="77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4372418936052E-2"/>
          <c:y val="3.0792600233305451E-2"/>
          <c:w val="0.92266156954416534"/>
          <c:h val="0.764581967596241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'New Summary Monthly'!$A$27</c:f>
              <c:strCache>
                <c:ptCount val="1"/>
                <c:pt idx="0">
                  <c:v> Sportsbetting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'New Summary Monthly'!$DF$12:$GP$12</c:f>
              <c:numCache>
                <c:formatCode>mmm\-yy</c:formatCode>
                <c:ptCount val="8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</c:numCache>
            </c:numRef>
          </c:cat>
          <c:val>
            <c:numRef>
              <c:f>'New Summary Monthly'!$DF$24:$GP$24</c:f>
              <c:numCache>
                <c:formatCode>#,##0.0</c:formatCode>
                <c:ptCount val="89"/>
                <c:pt idx="0">
                  <c:v>60.76</c:v>
                </c:pt>
                <c:pt idx="1">
                  <c:v>50.866530820000001</c:v>
                </c:pt>
                <c:pt idx="2">
                  <c:v>51.286889000000002</c:v>
                </c:pt>
                <c:pt idx="3">
                  <c:v>58.7</c:v>
                </c:pt>
                <c:pt idx="4">
                  <c:v>40.802765000000001</c:v>
                </c:pt>
                <c:pt idx="5">
                  <c:v>47.593061000000034</c:v>
                </c:pt>
                <c:pt idx="6">
                  <c:v>51.479214800000001</c:v>
                </c:pt>
                <c:pt idx="7">
                  <c:v>49.956369849999987</c:v>
                </c:pt>
                <c:pt idx="8">
                  <c:v>60.385169840000003</c:v>
                </c:pt>
                <c:pt idx="9">
                  <c:v>56.894812999999999</c:v>
                </c:pt>
                <c:pt idx="10">
                  <c:v>65.059459590000003</c:v>
                </c:pt>
                <c:pt idx="11">
                  <c:v>47.036439000000001</c:v>
                </c:pt>
                <c:pt idx="12">
                  <c:v>58.054727459999981</c:v>
                </c:pt>
                <c:pt idx="13">
                  <c:v>69.095324260000012</c:v>
                </c:pt>
                <c:pt idx="14">
                  <c:v>51.976993150000006</c:v>
                </c:pt>
                <c:pt idx="15">
                  <c:v>75.50613534</c:v>
                </c:pt>
                <c:pt idx="16">
                  <c:v>56.196695299999988</c:v>
                </c:pt>
                <c:pt idx="17">
                  <c:v>42.504221889999997</c:v>
                </c:pt>
                <c:pt idx="18">
                  <c:v>47.247418319999994</c:v>
                </c:pt>
                <c:pt idx="19">
                  <c:v>56.354305340000003</c:v>
                </c:pt>
                <c:pt idx="20">
                  <c:v>61.052811240000011</c:v>
                </c:pt>
                <c:pt idx="21">
                  <c:v>56.583900519999986</c:v>
                </c:pt>
                <c:pt idx="22">
                  <c:v>59.862524259999979</c:v>
                </c:pt>
                <c:pt idx="23">
                  <c:v>91.174803409999996</c:v>
                </c:pt>
                <c:pt idx="24">
                  <c:v>95.249746500000015</c:v>
                </c:pt>
                <c:pt idx="25">
                  <c:v>86.676731829999994</c:v>
                </c:pt>
                <c:pt idx="26">
                  <c:v>49.391668080000009</c:v>
                </c:pt>
                <c:pt idx="27">
                  <c:v>20.899308209999997</c:v>
                </c:pt>
                <c:pt idx="28">
                  <c:v>35.365157090000004</c:v>
                </c:pt>
                <c:pt idx="29">
                  <c:v>62.684143649999974</c:v>
                </c:pt>
                <c:pt idx="30">
                  <c:v>88.216347110000015</c:v>
                </c:pt>
                <c:pt idx="31">
                  <c:v>69.578502369999981</c:v>
                </c:pt>
                <c:pt idx="32">
                  <c:v>75.758434909999963</c:v>
                </c:pt>
                <c:pt idx="33">
                  <c:v>125.76851247999997</c:v>
                </c:pt>
                <c:pt idx="34">
                  <c:v>111.05516151000003</c:v>
                </c:pt>
                <c:pt idx="35">
                  <c:v>177.09596590000001</c:v>
                </c:pt>
                <c:pt idx="36">
                  <c:v>144.84260818000001</c:v>
                </c:pt>
                <c:pt idx="37">
                  <c:v>185.50649856000001</c:v>
                </c:pt>
                <c:pt idx="38">
                  <c:v>132.32191820000003</c:v>
                </c:pt>
                <c:pt idx="39">
                  <c:v>103.54220643000002</c:v>
                </c:pt>
                <c:pt idx="40">
                  <c:v>153.70405179999997</c:v>
                </c:pt>
                <c:pt idx="41">
                  <c:v>113.21929914</c:v>
                </c:pt>
                <c:pt idx="42">
                  <c:v>63.189526259999994</c:v>
                </c:pt>
                <c:pt idx="43">
                  <c:v>81.390533430000019</c:v>
                </c:pt>
                <c:pt idx="44">
                  <c:v>119.43826003</c:v>
                </c:pt>
                <c:pt idx="45">
                  <c:v>76.066223469999983</c:v>
                </c:pt>
                <c:pt idx="46">
                  <c:v>143.98827944000004</c:v>
                </c:pt>
                <c:pt idx="47">
                  <c:v>125.13792185000004</c:v>
                </c:pt>
                <c:pt idx="48">
                  <c:v>128.84919049999996</c:v>
                </c:pt>
                <c:pt idx="49">
                  <c:v>122.10167034000003</c:v>
                </c:pt>
                <c:pt idx="50">
                  <c:v>127.52114061</c:v>
                </c:pt>
                <c:pt idx="51">
                  <c:v>118.94508986000004</c:v>
                </c:pt>
                <c:pt idx="52">
                  <c:v>97.489711360000001</c:v>
                </c:pt>
                <c:pt idx="53">
                  <c:v>74.302094339999982</c:v>
                </c:pt>
                <c:pt idx="54">
                  <c:v>80.376295949999985</c:v>
                </c:pt>
                <c:pt idx="55">
                  <c:v>107.87800773000001</c:v>
                </c:pt>
                <c:pt idx="56">
                  <c:v>149.15188270000002</c:v>
                </c:pt>
                <c:pt idx="57">
                  <c:v>132.03496484000004</c:v>
                </c:pt>
                <c:pt idx="58">
                  <c:v>126.30987244000002</c:v>
                </c:pt>
                <c:pt idx="59">
                  <c:v>86.522249530000011</c:v>
                </c:pt>
                <c:pt idx="60">
                  <c:v>180.8</c:v>
                </c:pt>
                <c:pt idx="61">
                  <c:v>128.6</c:v>
                </c:pt>
                <c:pt idx="62">
                  <c:v>146.6</c:v>
                </c:pt>
                <c:pt idx="63">
                  <c:v>154.6</c:v>
                </c:pt>
                <c:pt idx="64">
                  <c:v>126.3</c:v>
                </c:pt>
                <c:pt idx="65">
                  <c:v>88.3</c:v>
                </c:pt>
                <c:pt idx="66">
                  <c:v>88.7</c:v>
                </c:pt>
                <c:pt idx="67">
                  <c:v>107.4</c:v>
                </c:pt>
                <c:pt idx="68">
                  <c:v>110.2</c:v>
                </c:pt>
                <c:pt idx="69">
                  <c:v>57.3</c:v>
                </c:pt>
                <c:pt idx="70">
                  <c:v>151.30000000000001</c:v>
                </c:pt>
                <c:pt idx="71">
                  <c:v>135.19999999999999</c:v>
                </c:pt>
                <c:pt idx="72">
                  <c:v>88.2</c:v>
                </c:pt>
                <c:pt idx="73">
                  <c:v>147</c:v>
                </c:pt>
                <c:pt idx="74">
                  <c:v>143.6</c:v>
                </c:pt>
                <c:pt idx="75">
                  <c:v>145.22699297</c:v>
                </c:pt>
                <c:pt idx="76">
                  <c:v>142.20603159999999</c:v>
                </c:pt>
                <c:pt idx="77">
                  <c:v>125.03</c:v>
                </c:pt>
                <c:pt idx="78">
                  <c:v>103.9218</c:v>
                </c:pt>
                <c:pt idx="79">
                  <c:v>142.31602841</c:v>
                </c:pt>
                <c:pt idx="80">
                  <c:v>112.1</c:v>
                </c:pt>
                <c:pt idx="81">
                  <c:v>160.4</c:v>
                </c:pt>
                <c:pt idx="82">
                  <c:v>156.9</c:v>
                </c:pt>
                <c:pt idx="83">
                  <c:v>155.93773905</c:v>
                </c:pt>
                <c:pt idx="84">
                  <c:v>158.96233398000001</c:v>
                </c:pt>
                <c:pt idx="85">
                  <c:v>191.2</c:v>
                </c:pt>
                <c:pt idx="86">
                  <c:v>132.9</c:v>
                </c:pt>
                <c:pt idx="87">
                  <c:v>167.7</c:v>
                </c:pt>
                <c:pt idx="88">
                  <c:v>142.1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3C-7A42-A4B7-6902DC954CE4}"/>
            </c:ext>
          </c:extLst>
        </c:ser>
        <c:ser>
          <c:idx val="1"/>
          <c:order val="1"/>
          <c:tx>
            <c:strRef>
              <c:f>'New Summary Monthly'!$A$28</c:f>
              <c:strCache>
                <c:ptCount val="1"/>
                <c:pt idx="0">
                  <c:v> Casino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Monthly'!$DF$12:$GP$12</c:f>
              <c:numCache>
                <c:formatCode>mmm\-yy</c:formatCode>
                <c:ptCount val="8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</c:numCache>
            </c:numRef>
          </c:cat>
          <c:val>
            <c:numRef>
              <c:f>'New Summary Monthly'!$DF$28:$GP$28</c:f>
              <c:numCache>
                <c:formatCode>#,##0.0</c:formatCode>
                <c:ptCount val="89"/>
                <c:pt idx="0">
                  <c:v>59.7</c:v>
                </c:pt>
                <c:pt idx="1">
                  <c:v>54.891883640000003</c:v>
                </c:pt>
                <c:pt idx="2">
                  <c:v>60.641289999999998</c:v>
                </c:pt>
                <c:pt idx="3">
                  <c:v>58.1</c:v>
                </c:pt>
                <c:pt idx="4">
                  <c:v>57.302202999999999</c:v>
                </c:pt>
                <c:pt idx="5">
                  <c:v>55.494256999999998</c:v>
                </c:pt>
                <c:pt idx="6">
                  <c:v>56.258000000000003</c:v>
                </c:pt>
                <c:pt idx="7">
                  <c:v>56.464994500000003</c:v>
                </c:pt>
                <c:pt idx="8">
                  <c:v>58.65</c:v>
                </c:pt>
                <c:pt idx="9">
                  <c:v>64.913787999999997</c:v>
                </c:pt>
                <c:pt idx="10">
                  <c:v>57.200574770000003</c:v>
                </c:pt>
                <c:pt idx="11">
                  <c:v>70.420872000000003</c:v>
                </c:pt>
                <c:pt idx="12">
                  <c:v>71.942071190361759</c:v>
                </c:pt>
                <c:pt idx="13">
                  <c:v>61.40534213136182</c:v>
                </c:pt>
                <c:pt idx="14">
                  <c:v>72.571528158493095</c:v>
                </c:pt>
                <c:pt idx="15">
                  <c:v>67.422118842051447</c:v>
                </c:pt>
                <c:pt idx="16">
                  <c:v>69.915004660313983</c:v>
                </c:pt>
                <c:pt idx="17">
                  <c:v>62.550703943263557</c:v>
                </c:pt>
                <c:pt idx="18">
                  <c:v>64.478732467207024</c:v>
                </c:pt>
                <c:pt idx="19">
                  <c:v>67.044378711617981</c:v>
                </c:pt>
                <c:pt idx="20">
                  <c:v>71.743824963628995</c:v>
                </c:pt>
                <c:pt idx="21">
                  <c:v>65.681182734199965</c:v>
                </c:pt>
                <c:pt idx="22">
                  <c:v>71.348908267882976</c:v>
                </c:pt>
                <c:pt idx="23">
                  <c:v>85.06591521084998</c:v>
                </c:pt>
                <c:pt idx="24">
                  <c:v>81.824983610000032</c:v>
                </c:pt>
                <c:pt idx="25">
                  <c:v>78.129455380000024</c:v>
                </c:pt>
                <c:pt idx="26">
                  <c:v>93.995830549999994</c:v>
                </c:pt>
                <c:pt idx="27">
                  <c:v>98.281219379999996</c:v>
                </c:pt>
                <c:pt idx="28">
                  <c:v>105.50681990000004</c:v>
                </c:pt>
                <c:pt idx="29">
                  <c:v>98.658382449999976</c:v>
                </c:pt>
                <c:pt idx="30">
                  <c:v>92.973815129999963</c:v>
                </c:pt>
                <c:pt idx="31">
                  <c:v>94.804208550000027</c:v>
                </c:pt>
                <c:pt idx="32">
                  <c:v>92.707567770000026</c:v>
                </c:pt>
                <c:pt idx="33">
                  <c:v>103.55499985999997</c:v>
                </c:pt>
                <c:pt idx="34">
                  <c:v>123.59264278999997</c:v>
                </c:pt>
                <c:pt idx="35">
                  <c:v>153.84213118999995</c:v>
                </c:pt>
                <c:pt idx="36">
                  <c:v>162.84849324999993</c:v>
                </c:pt>
                <c:pt idx="37">
                  <c:v>142.9743348100001</c:v>
                </c:pt>
                <c:pt idx="38">
                  <c:v>158.72486277999994</c:v>
                </c:pt>
                <c:pt idx="39">
                  <c:v>161.20574770999997</c:v>
                </c:pt>
                <c:pt idx="40">
                  <c:v>155.10037652999998</c:v>
                </c:pt>
                <c:pt idx="41">
                  <c:v>133.95609898000001</c:v>
                </c:pt>
                <c:pt idx="42">
                  <c:v>128.8395903</c:v>
                </c:pt>
                <c:pt idx="43">
                  <c:v>134.22394301000006</c:v>
                </c:pt>
                <c:pt idx="44">
                  <c:v>139.68392421000001</c:v>
                </c:pt>
                <c:pt idx="45">
                  <c:v>148.80530187999994</c:v>
                </c:pt>
                <c:pt idx="46">
                  <c:v>141.77767768999999</c:v>
                </c:pt>
                <c:pt idx="47">
                  <c:v>165.46579620999995</c:v>
                </c:pt>
                <c:pt idx="48">
                  <c:v>171.27230837000005</c:v>
                </c:pt>
                <c:pt idx="49">
                  <c:v>147.92658824</c:v>
                </c:pt>
                <c:pt idx="50">
                  <c:v>160.60141478999995</c:v>
                </c:pt>
                <c:pt idx="51">
                  <c:v>158.52532664000003</c:v>
                </c:pt>
                <c:pt idx="52">
                  <c:v>163.53260316999996</c:v>
                </c:pt>
                <c:pt idx="53">
                  <c:v>152.92269152000006</c:v>
                </c:pt>
                <c:pt idx="54">
                  <c:v>160.35304239999999</c:v>
                </c:pt>
                <c:pt idx="55">
                  <c:v>170.74622260999999</c:v>
                </c:pt>
                <c:pt idx="56">
                  <c:v>165.07424562</c:v>
                </c:pt>
                <c:pt idx="57">
                  <c:v>179.99062419000006</c:v>
                </c:pt>
                <c:pt idx="58">
                  <c:v>176.12401583000005</c:v>
                </c:pt>
                <c:pt idx="59">
                  <c:v>206.09441701</c:v>
                </c:pt>
                <c:pt idx="60">
                  <c:v>204.7</c:v>
                </c:pt>
                <c:pt idx="61">
                  <c:v>178.9</c:v>
                </c:pt>
                <c:pt idx="62">
                  <c:v>196.8</c:v>
                </c:pt>
                <c:pt idx="63">
                  <c:v>191.5</c:v>
                </c:pt>
                <c:pt idx="64">
                  <c:v>191.5</c:v>
                </c:pt>
                <c:pt idx="65">
                  <c:v>175.7</c:v>
                </c:pt>
                <c:pt idx="66">
                  <c:v>183.5</c:v>
                </c:pt>
                <c:pt idx="67">
                  <c:v>193.5</c:v>
                </c:pt>
                <c:pt idx="68">
                  <c:v>197</c:v>
                </c:pt>
                <c:pt idx="69">
                  <c:v>210.5</c:v>
                </c:pt>
                <c:pt idx="70">
                  <c:v>210.2</c:v>
                </c:pt>
                <c:pt idx="71">
                  <c:v>234.5</c:v>
                </c:pt>
                <c:pt idx="72">
                  <c:v>236</c:v>
                </c:pt>
                <c:pt idx="73">
                  <c:v>215.8</c:v>
                </c:pt>
                <c:pt idx="74">
                  <c:v>225.7</c:v>
                </c:pt>
                <c:pt idx="75">
                  <c:v>214.53544214999999</c:v>
                </c:pt>
                <c:pt idx="76">
                  <c:v>221.7196673</c:v>
                </c:pt>
                <c:pt idx="77">
                  <c:v>215.85576171</c:v>
                </c:pt>
                <c:pt idx="78">
                  <c:v>228.06066853999999</c:v>
                </c:pt>
                <c:pt idx="79">
                  <c:v>228.0328581</c:v>
                </c:pt>
                <c:pt idx="80">
                  <c:v>241.1</c:v>
                </c:pt>
                <c:pt idx="81">
                  <c:v>251.8</c:v>
                </c:pt>
                <c:pt idx="82">
                  <c:v>237.1</c:v>
                </c:pt>
                <c:pt idx="83">
                  <c:v>281.90270817999999</c:v>
                </c:pt>
                <c:pt idx="84">
                  <c:v>273.61724055000002</c:v>
                </c:pt>
                <c:pt idx="85">
                  <c:v>240.6</c:v>
                </c:pt>
                <c:pt idx="86">
                  <c:v>262.5</c:v>
                </c:pt>
                <c:pt idx="87">
                  <c:v>251.4</c:v>
                </c:pt>
                <c:pt idx="88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3C-7A42-A4B7-6902DC954CE4}"/>
            </c:ext>
          </c:extLst>
        </c:ser>
        <c:ser>
          <c:idx val="2"/>
          <c:order val="2"/>
          <c:tx>
            <c:strRef>
              <c:f>'New Summary Monthly'!$A$34</c:f>
              <c:strCache>
                <c:ptCount val="1"/>
                <c:pt idx="0">
                  <c:v> Poker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numRef>
              <c:f>'New Summary Monthly'!$DF$12:$GP$12</c:f>
              <c:numCache>
                <c:formatCode>mmm\-yy</c:formatCode>
                <c:ptCount val="8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</c:numCache>
            </c:numRef>
          </c:cat>
          <c:val>
            <c:numRef>
              <c:f>'New Summary Monthly'!$DF$31:$GP$31</c:f>
              <c:numCache>
                <c:formatCode>#,##0.0</c:formatCode>
                <c:ptCount val="89"/>
                <c:pt idx="0">
                  <c:v>15.43</c:v>
                </c:pt>
                <c:pt idx="1">
                  <c:v>13.53672847</c:v>
                </c:pt>
                <c:pt idx="2">
                  <c:v>14.245888000000001</c:v>
                </c:pt>
                <c:pt idx="3">
                  <c:v>11.899999999999999</c:v>
                </c:pt>
                <c:pt idx="4">
                  <c:v>11.952695</c:v>
                </c:pt>
                <c:pt idx="5">
                  <c:v>10.900967859999998</c:v>
                </c:pt>
                <c:pt idx="6">
                  <c:v>10.600000000000001</c:v>
                </c:pt>
                <c:pt idx="7">
                  <c:v>10.321612</c:v>
                </c:pt>
                <c:pt idx="8">
                  <c:v>10.98273032</c:v>
                </c:pt>
                <c:pt idx="9">
                  <c:v>11.998609</c:v>
                </c:pt>
                <c:pt idx="10">
                  <c:v>12.17211912</c:v>
                </c:pt>
                <c:pt idx="11">
                  <c:v>12.954819000000001</c:v>
                </c:pt>
                <c:pt idx="12">
                  <c:v>15.004291730768999</c:v>
                </c:pt>
                <c:pt idx="13">
                  <c:v>12.239722671783996</c:v>
                </c:pt>
                <c:pt idx="14">
                  <c:v>12.565209981884005</c:v>
                </c:pt>
                <c:pt idx="15">
                  <c:v>11.860159598094</c:v>
                </c:pt>
                <c:pt idx="16">
                  <c:v>11.314900876752002</c:v>
                </c:pt>
                <c:pt idx="17">
                  <c:v>9.8186948223210013</c:v>
                </c:pt>
                <c:pt idx="18">
                  <c:v>9.6692089199639959</c:v>
                </c:pt>
                <c:pt idx="19">
                  <c:v>9.8377948127330015</c:v>
                </c:pt>
                <c:pt idx="20">
                  <c:v>10.98273032</c:v>
                </c:pt>
                <c:pt idx="21">
                  <c:v>10.687020146625997</c:v>
                </c:pt>
                <c:pt idx="22">
                  <c:v>11.562590753856</c:v>
                </c:pt>
                <c:pt idx="23">
                  <c:v>12.528515589668997</c:v>
                </c:pt>
                <c:pt idx="24">
                  <c:v>13.305677568477003</c:v>
                </c:pt>
                <c:pt idx="25">
                  <c:v>11.882306700092998</c:v>
                </c:pt>
                <c:pt idx="26">
                  <c:v>26.044236146631995</c:v>
                </c:pt>
                <c:pt idx="27">
                  <c:v>32.26708882733999</c:v>
                </c:pt>
                <c:pt idx="28">
                  <c:v>23.172783546193997</c:v>
                </c:pt>
                <c:pt idx="29">
                  <c:v>14.339759250691998</c:v>
                </c:pt>
                <c:pt idx="30">
                  <c:v>11.068498341411999</c:v>
                </c:pt>
                <c:pt idx="31">
                  <c:v>11.196534069648001</c:v>
                </c:pt>
                <c:pt idx="32">
                  <c:v>11.98273032</c:v>
                </c:pt>
                <c:pt idx="33">
                  <c:v>13.100768754030998</c:v>
                </c:pt>
                <c:pt idx="34">
                  <c:v>18.429582666555998</c:v>
                </c:pt>
                <c:pt idx="35">
                  <c:v>20.519725973092001</c:v>
                </c:pt>
                <c:pt idx="36">
                  <c:v>21.800047560000003</c:v>
                </c:pt>
                <c:pt idx="37">
                  <c:v>16.557180390000006</c:v>
                </c:pt>
                <c:pt idx="38">
                  <c:v>17.786239149999989</c:v>
                </c:pt>
                <c:pt idx="39">
                  <c:v>17.02134495</c:v>
                </c:pt>
                <c:pt idx="40">
                  <c:v>13.927399259999996</c:v>
                </c:pt>
                <c:pt idx="41">
                  <c:v>10.976943459999998</c:v>
                </c:pt>
                <c:pt idx="42">
                  <c:v>10.623406109999996</c:v>
                </c:pt>
                <c:pt idx="43">
                  <c:v>11.666281319999998</c:v>
                </c:pt>
                <c:pt idx="44">
                  <c:v>13.239431830000001</c:v>
                </c:pt>
                <c:pt idx="45">
                  <c:v>14.060798060000003</c:v>
                </c:pt>
                <c:pt idx="46">
                  <c:v>13.859436639999998</c:v>
                </c:pt>
                <c:pt idx="47">
                  <c:v>15.665026489999997</c:v>
                </c:pt>
                <c:pt idx="48">
                  <c:v>18.90273208</c:v>
                </c:pt>
                <c:pt idx="49">
                  <c:v>13.856007309999999</c:v>
                </c:pt>
                <c:pt idx="50">
                  <c:v>14.334491669999998</c:v>
                </c:pt>
                <c:pt idx="51">
                  <c:v>13.340851590000002</c:v>
                </c:pt>
                <c:pt idx="52">
                  <c:v>12.46198249</c:v>
                </c:pt>
                <c:pt idx="53">
                  <c:v>11.688183840000001</c:v>
                </c:pt>
                <c:pt idx="54">
                  <c:v>12.454043729999999</c:v>
                </c:pt>
                <c:pt idx="55">
                  <c:v>13.321294389999998</c:v>
                </c:pt>
                <c:pt idx="56">
                  <c:v>13.548738499999999</c:v>
                </c:pt>
                <c:pt idx="57">
                  <c:v>14.14643517</c:v>
                </c:pt>
                <c:pt idx="58">
                  <c:v>14.860085290000001</c:v>
                </c:pt>
                <c:pt idx="59">
                  <c:v>16.867432880000003</c:v>
                </c:pt>
                <c:pt idx="60">
                  <c:v>19.460000000000008</c:v>
                </c:pt>
                <c:pt idx="61">
                  <c:v>15.566037735849056</c:v>
                </c:pt>
                <c:pt idx="62">
                  <c:v>15</c:v>
                </c:pt>
                <c:pt idx="63">
                  <c:v>15.1</c:v>
                </c:pt>
                <c:pt idx="64">
                  <c:v>14.068400570000001</c:v>
                </c:pt>
                <c:pt idx="65">
                  <c:v>12.80439123</c:v>
                </c:pt>
                <c:pt idx="66">
                  <c:v>12.8</c:v>
                </c:pt>
                <c:pt idx="67">
                  <c:v>13.5</c:v>
                </c:pt>
                <c:pt idx="68">
                  <c:v>14</c:v>
                </c:pt>
                <c:pt idx="69">
                  <c:v>14.700000000000001</c:v>
                </c:pt>
                <c:pt idx="70">
                  <c:v>14.7</c:v>
                </c:pt>
                <c:pt idx="71">
                  <c:v>15.8</c:v>
                </c:pt>
                <c:pt idx="72">
                  <c:v>18.35787178</c:v>
                </c:pt>
                <c:pt idx="73">
                  <c:v>15.089686590000001</c:v>
                </c:pt>
                <c:pt idx="74">
                  <c:v>15.2</c:v>
                </c:pt>
                <c:pt idx="75">
                  <c:v>14.265052669999999</c:v>
                </c:pt>
                <c:pt idx="76">
                  <c:v>14.232368310000002</c:v>
                </c:pt>
                <c:pt idx="77">
                  <c:v>12.879468500000002</c:v>
                </c:pt>
                <c:pt idx="78">
                  <c:v>12.656000000000001</c:v>
                </c:pt>
                <c:pt idx="79">
                  <c:v>12.796857509999999</c:v>
                </c:pt>
                <c:pt idx="80">
                  <c:v>14.3</c:v>
                </c:pt>
                <c:pt idx="81">
                  <c:v>14.69358235</c:v>
                </c:pt>
                <c:pt idx="82">
                  <c:v>14.04</c:v>
                </c:pt>
                <c:pt idx="83">
                  <c:v>16.405365369999998</c:v>
                </c:pt>
                <c:pt idx="84">
                  <c:v>18.80661546</c:v>
                </c:pt>
                <c:pt idx="85">
                  <c:v>15.18128989</c:v>
                </c:pt>
                <c:pt idx="86">
                  <c:v>16.251585470000002</c:v>
                </c:pt>
                <c:pt idx="87">
                  <c:v>14.582348619999999</c:v>
                </c:pt>
                <c:pt idx="88">
                  <c:v>16.01832259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3C-7A42-A4B7-6902DC954CE4}"/>
            </c:ext>
          </c:extLst>
        </c:ser>
        <c:ser>
          <c:idx val="3"/>
          <c:order val="3"/>
          <c:tx>
            <c:strRef>
              <c:f>'New Summary Monthly'!$A$32</c:f>
              <c:strCache>
                <c:ptCount val="1"/>
                <c:pt idx="0">
                  <c:v> Bingo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Monthly'!$DF$12:$GP$12</c:f>
              <c:numCache>
                <c:formatCode>mmm\-yy</c:formatCode>
                <c:ptCount val="8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</c:numCache>
            </c:numRef>
          </c:cat>
          <c:val>
            <c:numRef>
              <c:f>'New Summary Monthly'!$DF$32:$GP$32</c:f>
              <c:numCache>
                <c:formatCode>#,##0.0</c:formatCode>
                <c:ptCount val="89"/>
                <c:pt idx="0">
                  <c:v>2.97</c:v>
                </c:pt>
                <c:pt idx="1">
                  <c:v>2.5077535200000001</c:v>
                </c:pt>
                <c:pt idx="2">
                  <c:v>2.8213789999999999</c:v>
                </c:pt>
                <c:pt idx="3">
                  <c:v>2.3664876499999998</c:v>
                </c:pt>
                <c:pt idx="4">
                  <c:v>2.3414640000000002</c:v>
                </c:pt>
                <c:pt idx="5">
                  <c:v>2.14514</c:v>
                </c:pt>
                <c:pt idx="6">
                  <c:v>2.19</c:v>
                </c:pt>
                <c:pt idx="7">
                  <c:v>2.383937</c:v>
                </c:pt>
                <c:pt idx="8">
                  <c:v>2.53771586</c:v>
                </c:pt>
                <c:pt idx="9">
                  <c:v>2.7935310000000002</c:v>
                </c:pt>
                <c:pt idx="10">
                  <c:v>2.7836821</c:v>
                </c:pt>
                <c:pt idx="11">
                  <c:v>3.2341329999999999</c:v>
                </c:pt>
                <c:pt idx="12">
                  <c:v>3.3186507799999996</c:v>
                </c:pt>
                <c:pt idx="13">
                  <c:v>2.698812274242</c:v>
                </c:pt>
                <c:pt idx="14">
                  <c:v>3.2535156966939986</c:v>
                </c:pt>
                <c:pt idx="15">
                  <c:v>3.0684871098140007</c:v>
                </c:pt>
                <c:pt idx="16">
                  <c:v>3.0101724426510006</c:v>
                </c:pt>
                <c:pt idx="17">
                  <c:v>2.6407773298560002</c:v>
                </c:pt>
                <c:pt idx="18">
                  <c:v>2.8343887499999996</c:v>
                </c:pt>
                <c:pt idx="19">
                  <c:v>2.9050224283079999</c:v>
                </c:pt>
                <c:pt idx="20">
                  <c:v>2.973054332891</c:v>
                </c:pt>
                <c:pt idx="21">
                  <c:v>3.2834387179424001</c:v>
                </c:pt>
                <c:pt idx="22">
                  <c:v>3.3724435506339989</c:v>
                </c:pt>
                <c:pt idx="23">
                  <c:v>4.0632759099999998</c:v>
                </c:pt>
                <c:pt idx="24">
                  <c:v>3.8987913223440005</c:v>
                </c:pt>
                <c:pt idx="25">
                  <c:v>3.5588955948479999</c:v>
                </c:pt>
                <c:pt idx="26">
                  <c:v>5.1289139376719994</c:v>
                </c:pt>
                <c:pt idx="27">
                  <c:v>5.5561678713719997</c:v>
                </c:pt>
                <c:pt idx="28">
                  <c:v>5.5048381041959988</c:v>
                </c:pt>
                <c:pt idx="29">
                  <c:v>4.6675564689270006</c:v>
                </c:pt>
                <c:pt idx="30">
                  <c:v>4.1002781003360003</c:v>
                </c:pt>
                <c:pt idx="31">
                  <c:v>4.0602230970840001</c:v>
                </c:pt>
                <c:pt idx="32">
                  <c:v>3.9525350448580014</c:v>
                </c:pt>
                <c:pt idx="33">
                  <c:v>4.411747060593</c:v>
                </c:pt>
                <c:pt idx="34">
                  <c:v>5.823877949562001</c:v>
                </c:pt>
                <c:pt idx="35">
                  <c:v>7.5095465789939979</c:v>
                </c:pt>
                <c:pt idx="36">
                  <c:v>7.6533254659999992</c:v>
                </c:pt>
                <c:pt idx="37">
                  <c:v>6.1262221009999998</c:v>
                </c:pt>
                <c:pt idx="38">
                  <c:v>6.6731746879999996</c:v>
                </c:pt>
                <c:pt idx="39">
                  <c:v>6.3373257260000004</c:v>
                </c:pt>
                <c:pt idx="40">
                  <c:v>5.9176796720000029</c:v>
                </c:pt>
                <c:pt idx="41">
                  <c:v>5.0042434749999991</c:v>
                </c:pt>
                <c:pt idx="42">
                  <c:v>4.5691137220000009</c:v>
                </c:pt>
                <c:pt idx="43">
                  <c:v>4.4789435099999997</c:v>
                </c:pt>
                <c:pt idx="44">
                  <c:v>4.4517395749999995</c:v>
                </c:pt>
                <c:pt idx="45">
                  <c:v>4.9447533470000007</c:v>
                </c:pt>
                <c:pt idx="46">
                  <c:v>4.6174735689999977</c:v>
                </c:pt>
                <c:pt idx="47">
                  <c:v>5.8008929149999986</c:v>
                </c:pt>
                <c:pt idx="48">
                  <c:v>6.141696016</c:v>
                </c:pt>
                <c:pt idx="49">
                  <c:v>4.9510519660000005</c:v>
                </c:pt>
                <c:pt idx="50">
                  <c:v>5.0316255690000027</c:v>
                </c:pt>
                <c:pt idx="51">
                  <c:v>4.796368531999998</c:v>
                </c:pt>
                <c:pt idx="52">
                  <c:v>4.6052172710000008</c:v>
                </c:pt>
                <c:pt idx="53">
                  <c:v>4.3585295480000017</c:v>
                </c:pt>
                <c:pt idx="54">
                  <c:v>4.9327396720000012</c:v>
                </c:pt>
                <c:pt idx="55">
                  <c:v>5.0393983899999997</c:v>
                </c:pt>
                <c:pt idx="56">
                  <c:v>4.8144943909999975</c:v>
                </c:pt>
                <c:pt idx="57">
                  <c:v>4.9418192200000011</c:v>
                </c:pt>
                <c:pt idx="58">
                  <c:v>5.1711299199999994</c:v>
                </c:pt>
                <c:pt idx="59">
                  <c:v>6.3163926800000008</c:v>
                </c:pt>
                <c:pt idx="60">
                  <c:v>6.2459381799999996</c:v>
                </c:pt>
                <c:pt idx="61">
                  <c:v>5.0451133300000004</c:v>
                </c:pt>
                <c:pt idx="62">
                  <c:v>5.5</c:v>
                </c:pt>
                <c:pt idx="63">
                  <c:v>5.1320361099999996</c:v>
                </c:pt>
                <c:pt idx="64">
                  <c:v>5.23544301</c:v>
                </c:pt>
                <c:pt idx="65">
                  <c:v>4.8829021399999997</c:v>
                </c:pt>
                <c:pt idx="66">
                  <c:v>4.7621123699999997</c:v>
                </c:pt>
                <c:pt idx="67">
                  <c:v>4.9430698199999998</c:v>
                </c:pt>
                <c:pt idx="68">
                  <c:v>4.9882803300000003</c:v>
                </c:pt>
                <c:pt idx="69">
                  <c:v>5.3</c:v>
                </c:pt>
                <c:pt idx="70">
                  <c:v>5.1738624</c:v>
                </c:pt>
                <c:pt idx="71">
                  <c:v>6.5873090100000002</c:v>
                </c:pt>
                <c:pt idx="72">
                  <c:v>6.8796785800000002</c:v>
                </c:pt>
                <c:pt idx="73">
                  <c:v>5.5741105299999996</c:v>
                </c:pt>
                <c:pt idx="74">
                  <c:v>5.7412732000000002</c:v>
                </c:pt>
                <c:pt idx="75">
                  <c:v>5.4344093400000002</c:v>
                </c:pt>
                <c:pt idx="76">
                  <c:v>5.3593803800000002</c:v>
                </c:pt>
                <c:pt idx="77">
                  <c:v>4.9720724799999996</c:v>
                </c:pt>
                <c:pt idx="78">
                  <c:v>5.0444708800000004</c:v>
                </c:pt>
                <c:pt idx="79">
                  <c:v>5.1123921000000001</c:v>
                </c:pt>
                <c:pt idx="80">
                  <c:v>5.2774517300000001</c:v>
                </c:pt>
                <c:pt idx="81">
                  <c:v>5.5922376399999996</c:v>
                </c:pt>
                <c:pt idx="82">
                  <c:v>5.2974913700000004</c:v>
                </c:pt>
                <c:pt idx="83">
                  <c:v>6.9290016000000003</c:v>
                </c:pt>
                <c:pt idx="84">
                  <c:v>7.16997997</c:v>
                </c:pt>
                <c:pt idx="85">
                  <c:v>5.6898268099999996</c:v>
                </c:pt>
                <c:pt idx="86">
                  <c:v>6.1332742199999997</c:v>
                </c:pt>
                <c:pt idx="87">
                  <c:v>4.2248320399999999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3C-7A42-A4B7-6902DC954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969662240"/>
        <c:axId val="969663936"/>
      </c:barChart>
      <c:dateAx>
        <c:axId val="96966224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Offset val="100"/>
        <c:baseTimeUnit val="months"/>
      </c:dateAx>
      <c:valAx>
        <c:axId val="9696639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421529889991186E-2"/>
          <c:y val="2.2891917205449492E-2"/>
          <c:w val="0.92010261803917115"/>
          <c:h val="0.78638080862721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'New Summary Monthly'!$A$23</c:f>
              <c:strCache>
                <c:ptCount val="1"/>
                <c:pt idx="0">
                  <c:v> Landbased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Monthly'!$DF$12:$GP$12</c:f>
              <c:numCache>
                <c:formatCode>mmm\-yy</c:formatCode>
                <c:ptCount val="8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</c:numCache>
            </c:numRef>
          </c:cat>
          <c:val>
            <c:numRef>
              <c:f>'New Summary Monthly'!$DF$23:$GP$23</c:f>
              <c:numCache>
                <c:formatCode>#,##0.0</c:formatCode>
                <c:ptCount val="89"/>
                <c:pt idx="0">
                  <c:v>89.73</c:v>
                </c:pt>
                <c:pt idx="1">
                  <c:v>73.149198600000005</c:v>
                </c:pt>
                <c:pt idx="2">
                  <c:v>59.780025000000002</c:v>
                </c:pt>
                <c:pt idx="3">
                  <c:v>87.8</c:v>
                </c:pt>
                <c:pt idx="4">
                  <c:v>52.133837999999997</c:v>
                </c:pt>
                <c:pt idx="5">
                  <c:v>65.209339999999969</c:v>
                </c:pt>
                <c:pt idx="6">
                  <c:v>62.836491199999976</c:v>
                </c:pt>
                <c:pt idx="7">
                  <c:v>61.438973599999997</c:v>
                </c:pt>
                <c:pt idx="8">
                  <c:v>79.124564289999967</c:v>
                </c:pt>
                <c:pt idx="9">
                  <c:v>76.680175000000006</c:v>
                </c:pt>
                <c:pt idx="10">
                  <c:v>83.463973650000042</c:v>
                </c:pt>
                <c:pt idx="11">
                  <c:v>49.399782000000002</c:v>
                </c:pt>
                <c:pt idx="12">
                  <c:v>66.535924489999999</c:v>
                </c:pt>
                <c:pt idx="13">
                  <c:v>90.885944850000016</c:v>
                </c:pt>
                <c:pt idx="14">
                  <c:v>54.432826459999959</c:v>
                </c:pt>
                <c:pt idx="15">
                  <c:v>98.131584029999985</c:v>
                </c:pt>
                <c:pt idx="16">
                  <c:v>77.879492779999978</c:v>
                </c:pt>
                <c:pt idx="17">
                  <c:v>39.965679629999997</c:v>
                </c:pt>
                <c:pt idx="18">
                  <c:v>48.080189849999982</c:v>
                </c:pt>
                <c:pt idx="19">
                  <c:v>63.220516579999973</c:v>
                </c:pt>
                <c:pt idx="20">
                  <c:v>67.557908740000002</c:v>
                </c:pt>
                <c:pt idx="21">
                  <c:v>72.216125819999974</c:v>
                </c:pt>
                <c:pt idx="22">
                  <c:v>63.561924439999991</c:v>
                </c:pt>
                <c:pt idx="23">
                  <c:v>125.06031286000002</c:v>
                </c:pt>
                <c:pt idx="24">
                  <c:v>116.73971300000004</c:v>
                </c:pt>
                <c:pt idx="25">
                  <c:v>98.575464550000007</c:v>
                </c:pt>
                <c:pt idx="26">
                  <c:v>25.926420919999988</c:v>
                </c:pt>
                <c:pt idx="27">
                  <c:v>5.536321000000001E-2</c:v>
                </c:pt>
                <c:pt idx="28">
                  <c:v>-1.3693050000000002E-2</c:v>
                </c:pt>
                <c:pt idx="29">
                  <c:v>10.866503780000004</c:v>
                </c:pt>
                <c:pt idx="30">
                  <c:v>83.117417880000048</c:v>
                </c:pt>
                <c:pt idx="31">
                  <c:v>55.173499209999989</c:v>
                </c:pt>
                <c:pt idx="32">
                  <c:v>76.690065309999994</c:v>
                </c:pt>
                <c:pt idx="33">
                  <c:v>117.62165598999999</c:v>
                </c:pt>
                <c:pt idx="34">
                  <c:v>-3.5714992700000017</c:v>
                </c:pt>
                <c:pt idx="35">
                  <c:v>-0.56824975999999972</c:v>
                </c:pt>
                <c:pt idx="36">
                  <c:v>-1.7494819999999998E-2</c:v>
                </c:pt>
                <c:pt idx="37">
                  <c:v>5.1941399999999999E-3</c:v>
                </c:pt>
                <c:pt idx="38">
                  <c:v>-1.2830000000000296E-5</c:v>
                </c:pt>
                <c:pt idx="39">
                  <c:v>7.512760000000002E-3</c:v>
                </c:pt>
                <c:pt idx="40">
                  <c:v>-0.17007805000000015</c:v>
                </c:pt>
                <c:pt idx="41">
                  <c:v>28.335375810000002</c:v>
                </c:pt>
                <c:pt idx="42">
                  <c:v>34.461995170000009</c:v>
                </c:pt>
                <c:pt idx="43">
                  <c:v>33.57048348</c:v>
                </c:pt>
                <c:pt idx="44">
                  <c:v>67.868094200000002</c:v>
                </c:pt>
                <c:pt idx="45">
                  <c:v>41.791922730000003</c:v>
                </c:pt>
                <c:pt idx="46">
                  <c:v>100.07553807000001</c:v>
                </c:pt>
                <c:pt idx="47">
                  <c:v>79.760696940000003</c:v>
                </c:pt>
                <c:pt idx="48">
                  <c:v>82.187395069999994</c:v>
                </c:pt>
                <c:pt idx="49">
                  <c:v>82.600026520000029</c:v>
                </c:pt>
                <c:pt idx="50">
                  <c:v>78.715001069999985</c:v>
                </c:pt>
                <c:pt idx="51">
                  <c:v>83.445950769999982</c:v>
                </c:pt>
                <c:pt idx="52">
                  <c:v>66.425969109999983</c:v>
                </c:pt>
                <c:pt idx="53">
                  <c:v>48.149551919999993</c:v>
                </c:pt>
                <c:pt idx="54">
                  <c:v>45.588664659999999</c:v>
                </c:pt>
                <c:pt idx="55">
                  <c:v>62.289695759999994</c:v>
                </c:pt>
                <c:pt idx="56">
                  <c:v>101.38613679000001</c:v>
                </c:pt>
                <c:pt idx="57">
                  <c:v>88.628390639999992</c:v>
                </c:pt>
                <c:pt idx="58">
                  <c:v>74.057525060000003</c:v>
                </c:pt>
                <c:pt idx="59">
                  <c:v>47.632419559999995</c:v>
                </c:pt>
                <c:pt idx="60">
                  <c:v>113.89999999999998</c:v>
                </c:pt>
                <c:pt idx="61">
                  <c:v>82.1</c:v>
                </c:pt>
                <c:pt idx="62">
                  <c:v>96.9</c:v>
                </c:pt>
                <c:pt idx="63">
                  <c:v>112.2</c:v>
                </c:pt>
                <c:pt idx="64">
                  <c:v>86.5</c:v>
                </c:pt>
                <c:pt idx="65">
                  <c:v>53.2</c:v>
                </c:pt>
                <c:pt idx="66">
                  <c:v>51.3</c:v>
                </c:pt>
                <c:pt idx="67">
                  <c:v>57.7</c:v>
                </c:pt>
                <c:pt idx="68">
                  <c:v>62.8</c:v>
                </c:pt>
                <c:pt idx="69">
                  <c:v>15.7</c:v>
                </c:pt>
                <c:pt idx="70">
                  <c:v>101.8</c:v>
                </c:pt>
                <c:pt idx="71">
                  <c:v>95.5</c:v>
                </c:pt>
                <c:pt idx="72">
                  <c:v>43.3</c:v>
                </c:pt>
                <c:pt idx="73">
                  <c:v>97.4</c:v>
                </c:pt>
                <c:pt idx="74">
                  <c:v>89.7</c:v>
                </c:pt>
                <c:pt idx="75">
                  <c:v>91.136700340000004</c:v>
                </c:pt>
                <c:pt idx="76">
                  <c:v>84.888270300000016</c:v>
                </c:pt>
                <c:pt idx="77">
                  <c:v>78</c:v>
                </c:pt>
                <c:pt idx="78">
                  <c:v>41.2</c:v>
                </c:pt>
                <c:pt idx="79">
                  <c:v>78.596971959999991</c:v>
                </c:pt>
                <c:pt idx="80">
                  <c:v>59.5</c:v>
                </c:pt>
                <c:pt idx="81">
                  <c:v>90.8</c:v>
                </c:pt>
                <c:pt idx="82">
                  <c:v>100.7</c:v>
                </c:pt>
                <c:pt idx="83">
                  <c:v>99.1</c:v>
                </c:pt>
                <c:pt idx="84">
                  <c:v>98.93204209000001</c:v>
                </c:pt>
                <c:pt idx="85">
                  <c:v>123.6</c:v>
                </c:pt>
                <c:pt idx="86">
                  <c:v>84.9</c:v>
                </c:pt>
                <c:pt idx="87">
                  <c:v>112.6</c:v>
                </c:pt>
                <c:pt idx="88">
                  <c:v>93.2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78-B745-B660-D7099A95A312}"/>
            </c:ext>
          </c:extLst>
        </c:ser>
        <c:ser>
          <c:idx val="1"/>
          <c:order val="1"/>
          <c:tx>
            <c:strRef>
              <c:f>'New Summary Monthly'!$A$24</c:f>
              <c:strCache>
                <c:ptCount val="1"/>
                <c:pt idx="0">
                  <c:v> Remote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Monthly'!$DF$12:$GP$12</c:f>
              <c:numCache>
                <c:formatCode>mmm\-yy</c:formatCode>
                <c:ptCount val="8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</c:numCache>
            </c:numRef>
          </c:cat>
          <c:val>
            <c:numRef>
              <c:f>'New Summary Monthly'!$DF$24:$GP$24</c:f>
              <c:numCache>
                <c:formatCode>#,##0.0</c:formatCode>
                <c:ptCount val="89"/>
                <c:pt idx="0">
                  <c:v>60.76</c:v>
                </c:pt>
                <c:pt idx="1">
                  <c:v>50.866530820000001</c:v>
                </c:pt>
                <c:pt idx="2">
                  <c:v>51.286889000000002</c:v>
                </c:pt>
                <c:pt idx="3">
                  <c:v>58.7</c:v>
                </c:pt>
                <c:pt idx="4">
                  <c:v>40.802765000000001</c:v>
                </c:pt>
                <c:pt idx="5">
                  <c:v>47.593061000000034</c:v>
                </c:pt>
                <c:pt idx="6">
                  <c:v>51.479214800000001</c:v>
                </c:pt>
                <c:pt idx="7">
                  <c:v>49.956369849999987</c:v>
                </c:pt>
                <c:pt idx="8">
                  <c:v>60.385169840000003</c:v>
                </c:pt>
                <c:pt idx="9">
                  <c:v>56.894812999999999</c:v>
                </c:pt>
                <c:pt idx="10">
                  <c:v>65.059459590000003</c:v>
                </c:pt>
                <c:pt idx="11">
                  <c:v>47.036439000000001</c:v>
                </c:pt>
                <c:pt idx="12">
                  <c:v>58.054727459999981</c:v>
                </c:pt>
                <c:pt idx="13">
                  <c:v>69.095324260000012</c:v>
                </c:pt>
                <c:pt idx="14">
                  <c:v>51.976993150000006</c:v>
                </c:pt>
                <c:pt idx="15">
                  <c:v>75.50613534</c:v>
                </c:pt>
                <c:pt idx="16">
                  <c:v>56.196695299999988</c:v>
                </c:pt>
                <c:pt idx="17">
                  <c:v>42.504221889999997</c:v>
                </c:pt>
                <c:pt idx="18">
                  <c:v>47.247418319999994</c:v>
                </c:pt>
                <c:pt idx="19">
                  <c:v>56.354305340000003</c:v>
                </c:pt>
                <c:pt idx="20">
                  <c:v>61.052811240000011</c:v>
                </c:pt>
                <c:pt idx="21">
                  <c:v>56.583900519999986</c:v>
                </c:pt>
                <c:pt idx="22">
                  <c:v>59.862524259999979</c:v>
                </c:pt>
                <c:pt idx="23">
                  <c:v>91.174803409999996</c:v>
                </c:pt>
                <c:pt idx="24">
                  <c:v>95.249746500000015</c:v>
                </c:pt>
                <c:pt idx="25">
                  <c:v>86.676731829999994</c:v>
                </c:pt>
                <c:pt idx="26">
                  <c:v>49.391668080000009</c:v>
                </c:pt>
                <c:pt idx="27">
                  <c:v>20.899308209999997</c:v>
                </c:pt>
                <c:pt idx="28">
                  <c:v>35.365157090000004</c:v>
                </c:pt>
                <c:pt idx="29">
                  <c:v>62.684143649999974</c:v>
                </c:pt>
                <c:pt idx="30">
                  <c:v>88.216347110000015</c:v>
                </c:pt>
                <c:pt idx="31">
                  <c:v>69.578502369999981</c:v>
                </c:pt>
                <c:pt idx="32">
                  <c:v>75.758434909999963</c:v>
                </c:pt>
                <c:pt idx="33">
                  <c:v>125.76851247999997</c:v>
                </c:pt>
                <c:pt idx="34">
                  <c:v>111.05516151000003</c:v>
                </c:pt>
                <c:pt idx="35">
                  <c:v>177.09596590000001</c:v>
                </c:pt>
                <c:pt idx="36">
                  <c:v>144.84260818000001</c:v>
                </c:pt>
                <c:pt idx="37">
                  <c:v>185.50649856000001</c:v>
                </c:pt>
                <c:pt idx="38">
                  <c:v>132.32191820000003</c:v>
                </c:pt>
                <c:pt idx="39">
                  <c:v>103.54220643000002</c:v>
                </c:pt>
                <c:pt idx="40">
                  <c:v>153.70405179999997</c:v>
                </c:pt>
                <c:pt idx="41">
                  <c:v>113.21929914</c:v>
                </c:pt>
                <c:pt idx="42">
                  <c:v>63.189526259999994</c:v>
                </c:pt>
                <c:pt idx="43">
                  <c:v>81.390533430000019</c:v>
                </c:pt>
                <c:pt idx="44">
                  <c:v>119.43826003</c:v>
                </c:pt>
                <c:pt idx="45">
                  <c:v>76.066223469999983</c:v>
                </c:pt>
                <c:pt idx="46">
                  <c:v>143.98827944000004</c:v>
                </c:pt>
                <c:pt idx="47">
                  <c:v>125.13792185000004</c:v>
                </c:pt>
                <c:pt idx="48">
                  <c:v>128.84919049999996</c:v>
                </c:pt>
                <c:pt idx="49">
                  <c:v>122.10167034000003</c:v>
                </c:pt>
                <c:pt idx="50">
                  <c:v>127.52114061</c:v>
                </c:pt>
                <c:pt idx="51">
                  <c:v>118.94508986000004</c:v>
                </c:pt>
                <c:pt idx="52">
                  <c:v>97.489711360000001</c:v>
                </c:pt>
                <c:pt idx="53">
                  <c:v>74.302094339999982</c:v>
                </c:pt>
                <c:pt idx="54">
                  <c:v>80.376295949999985</c:v>
                </c:pt>
                <c:pt idx="55">
                  <c:v>107.87800773000001</c:v>
                </c:pt>
                <c:pt idx="56">
                  <c:v>149.15188270000002</c:v>
                </c:pt>
                <c:pt idx="57">
                  <c:v>132.03496484000004</c:v>
                </c:pt>
                <c:pt idx="58">
                  <c:v>126.30987244000002</c:v>
                </c:pt>
                <c:pt idx="59">
                  <c:v>86.522249530000011</c:v>
                </c:pt>
                <c:pt idx="60">
                  <c:v>180.8</c:v>
                </c:pt>
                <c:pt idx="61">
                  <c:v>128.6</c:v>
                </c:pt>
                <c:pt idx="62">
                  <c:v>146.6</c:v>
                </c:pt>
                <c:pt idx="63">
                  <c:v>154.6</c:v>
                </c:pt>
                <c:pt idx="64">
                  <c:v>126.3</c:v>
                </c:pt>
                <c:pt idx="65">
                  <c:v>88.3</c:v>
                </c:pt>
                <c:pt idx="66">
                  <c:v>88.7</c:v>
                </c:pt>
                <c:pt idx="67">
                  <c:v>107.4</c:v>
                </c:pt>
                <c:pt idx="68">
                  <c:v>110.2</c:v>
                </c:pt>
                <c:pt idx="69">
                  <c:v>57.3</c:v>
                </c:pt>
                <c:pt idx="70">
                  <c:v>151.30000000000001</c:v>
                </c:pt>
                <c:pt idx="71">
                  <c:v>135.19999999999999</c:v>
                </c:pt>
                <c:pt idx="72">
                  <c:v>88.2</c:v>
                </c:pt>
                <c:pt idx="73">
                  <c:v>147</c:v>
                </c:pt>
                <c:pt idx="74">
                  <c:v>143.6</c:v>
                </c:pt>
                <c:pt idx="75">
                  <c:v>145.22699297</c:v>
                </c:pt>
                <c:pt idx="76">
                  <c:v>142.20603159999999</c:v>
                </c:pt>
                <c:pt idx="77">
                  <c:v>125.03</c:v>
                </c:pt>
                <c:pt idx="78">
                  <c:v>103.9218</c:v>
                </c:pt>
                <c:pt idx="79">
                  <c:v>142.31602841</c:v>
                </c:pt>
                <c:pt idx="80">
                  <c:v>112.1</c:v>
                </c:pt>
                <c:pt idx="81">
                  <c:v>160.4</c:v>
                </c:pt>
                <c:pt idx="82">
                  <c:v>156.9</c:v>
                </c:pt>
                <c:pt idx="83">
                  <c:v>155.93773905</c:v>
                </c:pt>
                <c:pt idx="84">
                  <c:v>158.96233398000001</c:v>
                </c:pt>
                <c:pt idx="85">
                  <c:v>191.2</c:v>
                </c:pt>
                <c:pt idx="86">
                  <c:v>132.9</c:v>
                </c:pt>
                <c:pt idx="87">
                  <c:v>167.7</c:v>
                </c:pt>
                <c:pt idx="88">
                  <c:v>142.1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78-B745-B660-D7099A95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969662240"/>
        <c:axId val="969663936"/>
      </c:barChart>
      <c:dateAx>
        <c:axId val="96966224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Offset val="100"/>
        <c:baseTimeUnit val="months"/>
      </c:dateAx>
      <c:valAx>
        <c:axId val="969663936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029040523807962E-2"/>
          <c:y val="2.2891917205449492E-2"/>
          <c:w val="0.93946317138907154"/>
          <c:h val="0.84369574715870865"/>
        </c:manualLayout>
      </c:layout>
      <c:lineChart>
        <c:grouping val="standard"/>
        <c:varyColors val="0"/>
        <c:ser>
          <c:idx val="1"/>
          <c:order val="0"/>
          <c:tx>
            <c:strRef>
              <c:f>'New Summary Monthly'!$A$24</c:f>
              <c:strCache>
                <c:ptCount val="1"/>
                <c:pt idx="0">
                  <c:v> Remote</c:v>
                </c:pt>
              </c:strCache>
            </c:strRef>
          </c:tx>
          <c:spPr>
            <a:ln w="28575" cap="rnd">
              <a:solidFill>
                <a:srgbClr val="4F81BD"/>
              </a:solidFill>
              <a:round/>
            </a:ln>
            <a:effectLst/>
          </c:spPr>
          <c:marker>
            <c:symbol val="none"/>
          </c:marker>
          <c:cat>
            <c:numRef>
              <c:f>'New Summary Monthly'!$DF$12:$GP$12</c:f>
              <c:numCache>
                <c:formatCode>mmm\-yy</c:formatCode>
                <c:ptCount val="8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</c:numCache>
            </c:numRef>
          </c:cat>
          <c:val>
            <c:numRef>
              <c:f>'New Summary Monthly'!$DF$24:$GP$24</c:f>
              <c:numCache>
                <c:formatCode>#,##0.0</c:formatCode>
                <c:ptCount val="89"/>
                <c:pt idx="0">
                  <c:v>60.76</c:v>
                </c:pt>
                <c:pt idx="1">
                  <c:v>50.866530820000001</c:v>
                </c:pt>
                <c:pt idx="2">
                  <c:v>51.286889000000002</c:v>
                </c:pt>
                <c:pt idx="3">
                  <c:v>58.7</c:v>
                </c:pt>
                <c:pt idx="4">
                  <c:v>40.802765000000001</c:v>
                </c:pt>
                <c:pt idx="5">
                  <c:v>47.593061000000034</c:v>
                </c:pt>
                <c:pt idx="6">
                  <c:v>51.479214800000001</c:v>
                </c:pt>
                <c:pt idx="7">
                  <c:v>49.956369849999987</c:v>
                </c:pt>
                <c:pt idx="8">
                  <c:v>60.385169840000003</c:v>
                </c:pt>
                <c:pt idx="9">
                  <c:v>56.894812999999999</c:v>
                </c:pt>
                <c:pt idx="10">
                  <c:v>65.059459590000003</c:v>
                </c:pt>
                <c:pt idx="11">
                  <c:v>47.036439000000001</c:v>
                </c:pt>
                <c:pt idx="12">
                  <c:v>58.054727459999981</c:v>
                </c:pt>
                <c:pt idx="13">
                  <c:v>69.095324260000012</c:v>
                </c:pt>
                <c:pt idx="14">
                  <c:v>51.976993150000006</c:v>
                </c:pt>
                <c:pt idx="15">
                  <c:v>75.50613534</c:v>
                </c:pt>
                <c:pt idx="16">
                  <c:v>56.196695299999988</c:v>
                </c:pt>
                <c:pt idx="17">
                  <c:v>42.504221889999997</c:v>
                </c:pt>
                <c:pt idx="18">
                  <c:v>47.247418319999994</c:v>
                </c:pt>
                <c:pt idx="19">
                  <c:v>56.354305340000003</c:v>
                </c:pt>
                <c:pt idx="20">
                  <c:v>61.052811240000011</c:v>
                </c:pt>
                <c:pt idx="21">
                  <c:v>56.583900519999986</c:v>
                </c:pt>
                <c:pt idx="22">
                  <c:v>59.862524259999979</c:v>
                </c:pt>
                <c:pt idx="23">
                  <c:v>91.174803409999996</c:v>
                </c:pt>
                <c:pt idx="24">
                  <c:v>95.249746500000015</c:v>
                </c:pt>
                <c:pt idx="25">
                  <c:v>86.676731829999994</c:v>
                </c:pt>
                <c:pt idx="26">
                  <c:v>49.391668080000009</c:v>
                </c:pt>
                <c:pt idx="27">
                  <c:v>20.899308209999997</c:v>
                </c:pt>
                <c:pt idx="28">
                  <c:v>35.365157090000004</c:v>
                </c:pt>
                <c:pt idx="29">
                  <c:v>62.684143649999974</c:v>
                </c:pt>
                <c:pt idx="30">
                  <c:v>88.216347110000015</c:v>
                </c:pt>
                <c:pt idx="31">
                  <c:v>69.578502369999981</c:v>
                </c:pt>
                <c:pt idx="32">
                  <c:v>75.758434909999963</c:v>
                </c:pt>
                <c:pt idx="33">
                  <c:v>125.76851247999997</c:v>
                </c:pt>
                <c:pt idx="34">
                  <c:v>111.05516151000003</c:v>
                </c:pt>
                <c:pt idx="35">
                  <c:v>177.09596590000001</c:v>
                </c:pt>
                <c:pt idx="36">
                  <c:v>144.84260818000001</c:v>
                </c:pt>
                <c:pt idx="37">
                  <c:v>185.50649856000001</c:v>
                </c:pt>
                <c:pt idx="38">
                  <c:v>132.32191820000003</c:v>
                </c:pt>
                <c:pt idx="39">
                  <c:v>103.54220643000002</c:v>
                </c:pt>
                <c:pt idx="40">
                  <c:v>153.70405179999997</c:v>
                </c:pt>
                <c:pt idx="41">
                  <c:v>113.21929914</c:v>
                </c:pt>
                <c:pt idx="42">
                  <c:v>63.189526259999994</c:v>
                </c:pt>
                <c:pt idx="43">
                  <c:v>81.390533430000019</c:v>
                </c:pt>
                <c:pt idx="44">
                  <c:v>119.43826003</c:v>
                </c:pt>
                <c:pt idx="45">
                  <c:v>76.066223469999983</c:v>
                </c:pt>
                <c:pt idx="46">
                  <c:v>143.98827944000004</c:v>
                </c:pt>
                <c:pt idx="47">
                  <c:v>125.13792185000004</c:v>
                </c:pt>
                <c:pt idx="48">
                  <c:v>128.84919049999996</c:v>
                </c:pt>
                <c:pt idx="49">
                  <c:v>122.10167034000003</c:v>
                </c:pt>
                <c:pt idx="50">
                  <c:v>127.52114061</c:v>
                </c:pt>
                <c:pt idx="51">
                  <c:v>118.94508986000004</c:v>
                </c:pt>
                <c:pt idx="52">
                  <c:v>97.489711360000001</c:v>
                </c:pt>
                <c:pt idx="53">
                  <c:v>74.302094339999982</c:v>
                </c:pt>
                <c:pt idx="54">
                  <c:v>80.376295949999985</c:v>
                </c:pt>
                <c:pt idx="55">
                  <c:v>107.87800773000001</c:v>
                </c:pt>
                <c:pt idx="56">
                  <c:v>149.15188270000002</c:v>
                </c:pt>
                <c:pt idx="57">
                  <c:v>132.03496484000004</c:v>
                </c:pt>
                <c:pt idx="58">
                  <c:v>126.30987244000002</c:v>
                </c:pt>
                <c:pt idx="59">
                  <c:v>86.522249530000011</c:v>
                </c:pt>
                <c:pt idx="60">
                  <c:v>180.8</c:v>
                </c:pt>
                <c:pt idx="61">
                  <c:v>128.6</c:v>
                </c:pt>
                <c:pt idx="62">
                  <c:v>146.6</c:v>
                </c:pt>
                <c:pt idx="63">
                  <c:v>154.6</c:v>
                </c:pt>
                <c:pt idx="64">
                  <c:v>126.3</c:v>
                </c:pt>
                <c:pt idx="65">
                  <c:v>88.3</c:v>
                </c:pt>
                <c:pt idx="66">
                  <c:v>88.7</c:v>
                </c:pt>
                <c:pt idx="67">
                  <c:v>107.4</c:v>
                </c:pt>
                <c:pt idx="68">
                  <c:v>110.2</c:v>
                </c:pt>
                <c:pt idx="69">
                  <c:v>57.3</c:v>
                </c:pt>
                <c:pt idx="70">
                  <c:v>151.30000000000001</c:v>
                </c:pt>
                <c:pt idx="71">
                  <c:v>135.19999999999999</c:v>
                </c:pt>
                <c:pt idx="72">
                  <c:v>88.2</c:v>
                </c:pt>
                <c:pt idx="73">
                  <c:v>147</c:v>
                </c:pt>
                <c:pt idx="74">
                  <c:v>143.6</c:v>
                </c:pt>
                <c:pt idx="75">
                  <c:v>145.22699297</c:v>
                </c:pt>
                <c:pt idx="76">
                  <c:v>142.20603159999999</c:v>
                </c:pt>
                <c:pt idx="77">
                  <c:v>125.03</c:v>
                </c:pt>
                <c:pt idx="78">
                  <c:v>103.9218</c:v>
                </c:pt>
                <c:pt idx="79">
                  <c:v>142.31602841</c:v>
                </c:pt>
                <c:pt idx="80">
                  <c:v>112.1</c:v>
                </c:pt>
                <c:pt idx="81">
                  <c:v>160.4</c:v>
                </c:pt>
                <c:pt idx="82">
                  <c:v>156.9</c:v>
                </c:pt>
                <c:pt idx="83">
                  <c:v>155.93773905</c:v>
                </c:pt>
                <c:pt idx="84">
                  <c:v>158.96233398000001</c:v>
                </c:pt>
                <c:pt idx="85">
                  <c:v>191.2</c:v>
                </c:pt>
                <c:pt idx="86">
                  <c:v>132.9</c:v>
                </c:pt>
                <c:pt idx="87">
                  <c:v>167.7</c:v>
                </c:pt>
                <c:pt idx="88">
                  <c:v>142.1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A4A-0B4A-8FFE-F1A9C1CEB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9662240"/>
        <c:axId val="969663936"/>
      </c:lineChart>
      <c:dateAx>
        <c:axId val="969662240"/>
        <c:scaling>
          <c:orientation val="minMax"/>
        </c:scaling>
        <c:delete val="0"/>
        <c:axPos val="b"/>
        <c:numFmt formatCode="mmm\-yy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Offset val="100"/>
        <c:baseTimeUnit val="months"/>
      </c:dateAx>
      <c:valAx>
        <c:axId val="9696639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029040523807962E-2"/>
          <c:y val="2.2891917205449492E-2"/>
          <c:w val="0.93423048612817139"/>
          <c:h val="0.84697615371094848"/>
        </c:manualLayout>
      </c:layout>
      <c:lineChart>
        <c:grouping val="standard"/>
        <c:varyColors val="0"/>
        <c:ser>
          <c:idx val="1"/>
          <c:order val="0"/>
          <c:tx>
            <c:strRef>
              <c:f>'New Summary Monthly'!$A$24</c:f>
              <c:strCache>
                <c:ptCount val="1"/>
                <c:pt idx="0">
                  <c:v> Remote</c:v>
                </c:pt>
              </c:strCache>
            </c:strRef>
          </c:tx>
          <c:spPr>
            <a:ln w="28575" cap="rnd">
              <a:solidFill>
                <a:srgbClr val="4F81BD"/>
              </a:solidFill>
              <a:round/>
            </a:ln>
            <a:effectLst/>
          </c:spPr>
          <c:marker>
            <c:symbol val="none"/>
          </c:marker>
          <c:cat>
            <c:numRef>
              <c:f>'New Summary Monthly'!$DF$12:$GP$12</c:f>
              <c:numCache>
                <c:formatCode>mmm\-yy</c:formatCode>
                <c:ptCount val="8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</c:numCache>
            </c:numRef>
          </c:cat>
          <c:val>
            <c:numRef>
              <c:f>'New Summary Monthly'!$DF$28:$GP$28</c:f>
              <c:numCache>
                <c:formatCode>#,##0.0</c:formatCode>
                <c:ptCount val="89"/>
                <c:pt idx="0">
                  <c:v>59.7</c:v>
                </c:pt>
                <c:pt idx="1">
                  <c:v>54.891883640000003</c:v>
                </c:pt>
                <c:pt idx="2">
                  <c:v>60.641289999999998</c:v>
                </c:pt>
                <c:pt idx="3">
                  <c:v>58.1</c:v>
                </c:pt>
                <c:pt idx="4">
                  <c:v>57.302202999999999</c:v>
                </c:pt>
                <c:pt idx="5">
                  <c:v>55.494256999999998</c:v>
                </c:pt>
                <c:pt idx="6">
                  <c:v>56.258000000000003</c:v>
                </c:pt>
                <c:pt idx="7">
                  <c:v>56.464994500000003</c:v>
                </c:pt>
                <c:pt idx="8">
                  <c:v>58.65</c:v>
                </c:pt>
                <c:pt idx="9">
                  <c:v>64.913787999999997</c:v>
                </c:pt>
                <c:pt idx="10">
                  <c:v>57.200574770000003</c:v>
                </c:pt>
                <c:pt idx="11">
                  <c:v>70.420872000000003</c:v>
                </c:pt>
                <c:pt idx="12">
                  <c:v>71.942071190361759</c:v>
                </c:pt>
                <c:pt idx="13">
                  <c:v>61.40534213136182</c:v>
                </c:pt>
                <c:pt idx="14">
                  <c:v>72.571528158493095</c:v>
                </c:pt>
                <c:pt idx="15">
                  <c:v>67.422118842051447</c:v>
                </c:pt>
                <c:pt idx="16">
                  <c:v>69.915004660313983</c:v>
                </c:pt>
                <c:pt idx="17">
                  <c:v>62.550703943263557</c:v>
                </c:pt>
                <c:pt idx="18">
                  <c:v>64.478732467207024</c:v>
                </c:pt>
                <c:pt idx="19">
                  <c:v>67.044378711617981</c:v>
                </c:pt>
                <c:pt idx="20">
                  <c:v>71.743824963628995</c:v>
                </c:pt>
                <c:pt idx="21">
                  <c:v>65.681182734199965</c:v>
                </c:pt>
                <c:pt idx="22">
                  <c:v>71.348908267882976</c:v>
                </c:pt>
                <c:pt idx="23">
                  <c:v>85.06591521084998</c:v>
                </c:pt>
                <c:pt idx="24">
                  <c:v>81.824983610000032</c:v>
                </c:pt>
                <c:pt idx="25">
                  <c:v>78.129455380000024</c:v>
                </c:pt>
                <c:pt idx="26">
                  <c:v>93.995830549999994</c:v>
                </c:pt>
                <c:pt idx="27">
                  <c:v>98.281219379999996</c:v>
                </c:pt>
                <c:pt idx="28">
                  <c:v>105.50681990000004</c:v>
                </c:pt>
                <c:pt idx="29">
                  <c:v>98.658382449999976</c:v>
                </c:pt>
                <c:pt idx="30">
                  <c:v>92.973815129999963</c:v>
                </c:pt>
                <c:pt idx="31">
                  <c:v>94.804208550000027</c:v>
                </c:pt>
                <c:pt idx="32">
                  <c:v>92.707567770000026</c:v>
                </c:pt>
                <c:pt idx="33">
                  <c:v>103.55499985999997</c:v>
                </c:pt>
                <c:pt idx="34">
                  <c:v>123.59264278999997</c:v>
                </c:pt>
                <c:pt idx="35">
                  <c:v>153.84213118999995</c:v>
                </c:pt>
                <c:pt idx="36">
                  <c:v>162.84849324999993</c:v>
                </c:pt>
                <c:pt idx="37">
                  <c:v>142.9743348100001</c:v>
                </c:pt>
                <c:pt idx="38">
                  <c:v>158.72486277999994</c:v>
                </c:pt>
                <c:pt idx="39">
                  <c:v>161.20574770999997</c:v>
                </c:pt>
                <c:pt idx="40">
                  <c:v>155.10037652999998</c:v>
                </c:pt>
                <c:pt idx="41">
                  <c:v>133.95609898000001</c:v>
                </c:pt>
                <c:pt idx="42">
                  <c:v>128.8395903</c:v>
                </c:pt>
                <c:pt idx="43">
                  <c:v>134.22394301000006</c:v>
                </c:pt>
                <c:pt idx="44">
                  <c:v>139.68392421000001</c:v>
                </c:pt>
                <c:pt idx="45">
                  <c:v>148.80530187999994</c:v>
                </c:pt>
                <c:pt idx="46">
                  <c:v>141.77767768999999</c:v>
                </c:pt>
                <c:pt idx="47">
                  <c:v>165.46579620999995</c:v>
                </c:pt>
                <c:pt idx="48">
                  <c:v>171.27230837000005</c:v>
                </c:pt>
                <c:pt idx="49">
                  <c:v>147.92658824</c:v>
                </c:pt>
                <c:pt idx="50">
                  <c:v>160.60141478999995</c:v>
                </c:pt>
                <c:pt idx="51">
                  <c:v>158.52532664000003</c:v>
                </c:pt>
                <c:pt idx="52">
                  <c:v>163.53260316999996</c:v>
                </c:pt>
                <c:pt idx="53">
                  <c:v>152.92269152000006</c:v>
                </c:pt>
                <c:pt idx="54">
                  <c:v>160.35304239999999</c:v>
                </c:pt>
                <c:pt idx="55">
                  <c:v>170.74622260999999</c:v>
                </c:pt>
                <c:pt idx="56">
                  <c:v>165.07424562</c:v>
                </c:pt>
                <c:pt idx="57">
                  <c:v>179.99062419000006</c:v>
                </c:pt>
                <c:pt idx="58">
                  <c:v>176.12401583000005</c:v>
                </c:pt>
                <c:pt idx="59">
                  <c:v>206.09441701</c:v>
                </c:pt>
                <c:pt idx="60">
                  <c:v>204.7</c:v>
                </c:pt>
                <c:pt idx="61">
                  <c:v>178.9</c:v>
                </c:pt>
                <c:pt idx="62">
                  <c:v>196.8</c:v>
                </c:pt>
                <c:pt idx="63">
                  <c:v>191.5</c:v>
                </c:pt>
                <c:pt idx="64">
                  <c:v>191.5</c:v>
                </c:pt>
                <c:pt idx="65">
                  <c:v>175.7</c:v>
                </c:pt>
                <c:pt idx="66">
                  <c:v>183.5</c:v>
                </c:pt>
                <c:pt idx="67">
                  <c:v>193.5</c:v>
                </c:pt>
                <c:pt idx="68">
                  <c:v>197</c:v>
                </c:pt>
                <c:pt idx="69">
                  <c:v>210.5</c:v>
                </c:pt>
                <c:pt idx="70">
                  <c:v>210.2</c:v>
                </c:pt>
                <c:pt idx="71">
                  <c:v>234.5</c:v>
                </c:pt>
                <c:pt idx="72">
                  <c:v>236</c:v>
                </c:pt>
                <c:pt idx="73">
                  <c:v>215.8</c:v>
                </c:pt>
                <c:pt idx="74">
                  <c:v>225.7</c:v>
                </c:pt>
                <c:pt idx="75">
                  <c:v>214.53544214999999</c:v>
                </c:pt>
                <c:pt idx="76">
                  <c:v>221.7196673</c:v>
                </c:pt>
                <c:pt idx="77">
                  <c:v>215.85576171</c:v>
                </c:pt>
                <c:pt idx="78">
                  <c:v>228.06066853999999</c:v>
                </c:pt>
                <c:pt idx="79">
                  <c:v>228.0328581</c:v>
                </c:pt>
                <c:pt idx="80">
                  <c:v>241.1</c:v>
                </c:pt>
                <c:pt idx="81">
                  <c:v>251.8</c:v>
                </c:pt>
                <c:pt idx="82">
                  <c:v>237.1</c:v>
                </c:pt>
                <c:pt idx="83">
                  <c:v>281.90270817999999</c:v>
                </c:pt>
                <c:pt idx="84">
                  <c:v>273.61724055000002</c:v>
                </c:pt>
                <c:pt idx="85">
                  <c:v>240.6</c:v>
                </c:pt>
                <c:pt idx="86">
                  <c:v>262.5</c:v>
                </c:pt>
                <c:pt idx="87">
                  <c:v>251.4</c:v>
                </c:pt>
                <c:pt idx="88">
                  <c:v>257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FB6-8D47-8A92-6B6264160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9662240"/>
        <c:axId val="969663936"/>
      </c:lineChart>
      <c:dateAx>
        <c:axId val="969662240"/>
        <c:scaling>
          <c:orientation val="minMax"/>
        </c:scaling>
        <c:delete val="0"/>
        <c:axPos val="b"/>
        <c:numFmt formatCode="mmm\-yy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Offset val="100"/>
        <c:baseTimeUnit val="months"/>
      </c:dateAx>
      <c:valAx>
        <c:axId val="969663936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029040523807962E-2"/>
          <c:y val="2.2891917205449492E-2"/>
          <c:w val="0.92028838582677164"/>
          <c:h val="0.81204744250076311"/>
        </c:manualLayout>
      </c:layout>
      <c:lineChart>
        <c:grouping val="standard"/>
        <c:varyColors val="0"/>
        <c:ser>
          <c:idx val="1"/>
          <c:order val="0"/>
          <c:tx>
            <c:strRef>
              <c:f>'New Summary Monthly'!$A$24</c:f>
              <c:strCache>
                <c:ptCount val="1"/>
                <c:pt idx="0">
                  <c:v> Remote</c:v>
                </c:pt>
              </c:strCache>
            </c:strRef>
          </c:tx>
          <c:spPr>
            <a:ln w="28575" cap="rnd">
              <a:solidFill>
                <a:srgbClr val="4F81BD"/>
              </a:solidFill>
              <a:round/>
            </a:ln>
            <a:effectLst/>
          </c:spPr>
          <c:marker>
            <c:symbol val="none"/>
          </c:marker>
          <c:cat>
            <c:numRef>
              <c:f>'New Summary Monthly'!$DF$12:$GP$12</c:f>
              <c:numCache>
                <c:formatCode>mmm\-yy</c:formatCode>
                <c:ptCount val="8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</c:numCache>
            </c:numRef>
          </c:cat>
          <c:val>
            <c:numRef>
              <c:f>'New Summary Monthly'!$DF$26:$GP$26</c:f>
              <c:numCache>
                <c:formatCode>0.0%</c:formatCode>
                <c:ptCount val="89"/>
                <c:pt idx="0">
                  <c:v>0.40374775732606816</c:v>
                </c:pt>
                <c:pt idx="1">
                  <c:v>0.4101619291189425</c:v>
                </c:pt>
                <c:pt idx="2">
                  <c:v>0.46176567938135027</c:v>
                </c:pt>
                <c:pt idx="3">
                  <c:v>0.40068259385665533</c:v>
                </c:pt>
                <c:pt idx="4">
                  <c:v>0.43903869608834317</c:v>
                </c:pt>
                <c:pt idx="5">
                  <c:v>0.42191531898332585</c:v>
                </c:pt>
                <c:pt idx="6">
                  <c:v>0.45032495184869881</c:v>
                </c:pt>
                <c:pt idx="7">
                  <c:v>0.44846012681331693</c:v>
                </c:pt>
                <c:pt idx="8">
                  <c:v>0.4328383980986662</c:v>
                </c:pt>
                <c:pt idx="9">
                  <c:v>0.4259391211773868</c:v>
                </c:pt>
                <c:pt idx="10">
                  <c:v>0.43804171618407162</c:v>
                </c:pt>
                <c:pt idx="11">
                  <c:v>0.48774660093742161</c:v>
                </c:pt>
                <c:pt idx="12">
                  <c:v>0.46596375050110644</c:v>
                </c:pt>
                <c:pt idx="13">
                  <c:v>0.43189633789247794</c:v>
                </c:pt>
                <c:pt idx="14">
                  <c:v>0.48846049491014659</c:v>
                </c:pt>
                <c:pt idx="15">
                  <c:v>0.4348486930947647</c:v>
                </c:pt>
                <c:pt idx="16">
                  <c:v>0.41914001363514902</c:v>
                </c:pt>
                <c:pt idx="17">
                  <c:v>0.51539071960322624</c:v>
                </c:pt>
                <c:pt idx="18">
                  <c:v>0.49563205483706835</c:v>
                </c:pt>
                <c:pt idx="19">
                  <c:v>0.4712890593113585</c:v>
                </c:pt>
                <c:pt idx="20">
                  <c:v>0.47471012719230726</c:v>
                </c:pt>
                <c:pt idx="21">
                  <c:v>0.43931590798461945</c:v>
                </c:pt>
                <c:pt idx="22">
                  <c:v>0.48501350332545573</c:v>
                </c:pt>
                <c:pt idx="23">
                  <c:v>0.42164660848220137</c:v>
                </c:pt>
                <c:pt idx="24">
                  <c:v>0.44931359665078058</c:v>
                </c:pt>
                <c:pt idx="25">
                  <c:v>0.46788504278893234</c:v>
                </c:pt>
                <c:pt idx="26">
                  <c:v>0.6557743131268241</c:v>
                </c:pt>
                <c:pt idx="27">
                  <c:v>0.99735795379987879</c:v>
                </c:pt>
                <c:pt idx="28">
                  <c:v>1.0003873403937247</c:v>
                </c:pt>
                <c:pt idx="29">
                  <c:v>0.8522582171646832</c:v>
                </c:pt>
                <c:pt idx="30">
                  <c:v>0.51488010617842184</c:v>
                </c:pt>
                <c:pt idx="31">
                  <c:v>0.55773455727186261</c:v>
                </c:pt>
                <c:pt idx="32">
                  <c:v>0.49694444222588086</c:v>
                </c:pt>
                <c:pt idx="33">
                  <c:v>0.516736207015289</c:v>
                </c:pt>
                <c:pt idx="34">
                  <c:v>1.0332282990323238</c:v>
                </c:pt>
                <c:pt idx="35">
                  <c:v>1.00321903989031</c:v>
                </c:pt>
                <c:pt idx="36">
                  <c:v>1.00012079962925</c:v>
                </c:pt>
                <c:pt idx="37">
                  <c:v>0.99997200101015526</c:v>
                </c:pt>
                <c:pt idx="38">
                  <c:v>1.0000000969605143</c:v>
                </c:pt>
                <c:pt idx="39">
                  <c:v>0.99992744779938791</c:v>
                </c:pt>
                <c:pt idx="40">
                  <c:v>1.0011077551492085</c:v>
                </c:pt>
                <c:pt idx="41">
                  <c:v>0.7998273400718936</c:v>
                </c:pt>
                <c:pt idx="42">
                  <c:v>0.64709208146128516</c:v>
                </c:pt>
                <c:pt idx="43">
                  <c:v>0.70798376369372717</c:v>
                </c:pt>
                <c:pt idx="44">
                  <c:v>0.63766261705856275</c:v>
                </c:pt>
                <c:pt idx="45">
                  <c:v>0.64540488648887295</c:v>
                </c:pt>
                <c:pt idx="46">
                  <c:v>0.58996159655701697</c:v>
                </c:pt>
                <c:pt idx="47">
                  <c:v>0.61073091946146063</c:v>
                </c:pt>
                <c:pt idx="48">
                  <c:v>0.61055380588149832</c:v>
                </c:pt>
                <c:pt idx="49">
                  <c:v>0.59648587292125876</c:v>
                </c:pt>
                <c:pt idx="50">
                  <c:v>0.61832586457064487</c:v>
                </c:pt>
                <c:pt idx="51">
                  <c:v>0.58769938377583031</c:v>
                </c:pt>
                <c:pt idx="52">
                  <c:v>0.59475524904307531</c:v>
                </c:pt>
                <c:pt idx="53">
                  <c:v>0.60678722262529095</c:v>
                </c:pt>
                <c:pt idx="54">
                  <c:v>0.63808455590164448</c:v>
                </c:pt>
                <c:pt idx="55">
                  <c:v>0.63395112890114025</c:v>
                </c:pt>
                <c:pt idx="56">
                  <c:v>0.59532634210015889</c:v>
                </c:pt>
                <c:pt idx="57">
                  <c:v>0.59835474065365202</c:v>
                </c:pt>
                <c:pt idx="58">
                  <c:v>0.63039134118613283</c:v>
                </c:pt>
                <c:pt idx="59">
                  <c:v>0.64494400468428759</c:v>
                </c:pt>
                <c:pt idx="60">
                  <c:v>0.61350525958601976</c:v>
                </c:pt>
                <c:pt idx="61">
                  <c:v>0.61034646416706217</c:v>
                </c:pt>
                <c:pt idx="62">
                  <c:v>0.60205338809034903</c:v>
                </c:pt>
                <c:pt idx="63">
                  <c:v>0.57946026986506738</c:v>
                </c:pt>
                <c:pt idx="64">
                  <c:v>0.59351503759398494</c:v>
                </c:pt>
                <c:pt idx="65">
                  <c:v>0.62402826855123672</c:v>
                </c:pt>
                <c:pt idx="66">
                  <c:v>0.63357142857142856</c:v>
                </c:pt>
                <c:pt idx="67">
                  <c:v>0.65051483949121736</c:v>
                </c:pt>
                <c:pt idx="68">
                  <c:v>0.63699421965317926</c:v>
                </c:pt>
                <c:pt idx="69">
                  <c:v>0.78493150684931501</c:v>
                </c:pt>
                <c:pt idx="70">
                  <c:v>0.59778743579612803</c:v>
                </c:pt>
                <c:pt idx="71">
                  <c:v>0.58604247941048981</c:v>
                </c:pt>
                <c:pt idx="72">
                  <c:v>0.6707224334600761</c:v>
                </c:pt>
                <c:pt idx="73">
                  <c:v>0.60147299509001639</c:v>
                </c:pt>
                <c:pt idx="74">
                  <c:v>0.61551650235747957</c:v>
                </c:pt>
                <c:pt idx="75">
                  <c:v>0.61442174530387483</c:v>
                </c:pt>
                <c:pt idx="76">
                  <c:v>0.62619814944815211</c:v>
                </c:pt>
                <c:pt idx="77">
                  <c:v>0.6158203221198838</c:v>
                </c:pt>
                <c:pt idx="78">
                  <c:v>0.71610054450813043</c:v>
                </c:pt>
                <c:pt idx="79">
                  <c:v>0.64421753437615492</c:v>
                </c:pt>
                <c:pt idx="80">
                  <c:v>0.65326340326340326</c:v>
                </c:pt>
                <c:pt idx="81">
                  <c:v>0.63853503184713378</c:v>
                </c:pt>
                <c:pt idx="82">
                  <c:v>0.60908385093167694</c:v>
                </c:pt>
                <c:pt idx="83">
                  <c:v>0.61143005592371769</c:v>
                </c:pt>
                <c:pt idx="84">
                  <c:v>0.61638542259972751</c:v>
                </c:pt>
                <c:pt idx="85">
                  <c:v>0.60736975857687425</c:v>
                </c:pt>
                <c:pt idx="86">
                  <c:v>0.61019283746556474</c:v>
                </c:pt>
                <c:pt idx="87">
                  <c:v>0.59828754905458448</c:v>
                </c:pt>
                <c:pt idx="88">
                  <c:v>0.60390990225244368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A32-E84E-BD30-BF0426C02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9662240"/>
        <c:axId val="969663936"/>
      </c:lineChart>
      <c:dateAx>
        <c:axId val="96966224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Offset val="100"/>
        <c:baseTimeUnit val="months"/>
      </c:dateAx>
      <c:valAx>
        <c:axId val="969663936"/>
        <c:scaling>
          <c:orientation val="minMax"/>
          <c:max val="1.05"/>
          <c:min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185905155520718E-2"/>
          <c:y val="2.2891917205449492E-2"/>
          <c:w val="0.94599522570990857"/>
          <c:h val="0.84988727128533392"/>
        </c:manualLayout>
      </c:layout>
      <c:areaChart>
        <c:grouping val="stacked"/>
        <c:varyColors val="0"/>
        <c:ser>
          <c:idx val="0"/>
          <c:order val="0"/>
          <c:tx>
            <c:strRef>
              <c:f>'New Summary Monthly'!$A$23</c:f>
              <c:strCache>
                <c:ptCount val="1"/>
                <c:pt idx="0">
                  <c:v> Landbased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cat>
            <c:numRef>
              <c:f>'New Summary Monthly'!$B$12:$GP$12</c:f>
              <c:numCache>
                <c:formatCode>mmm\-yy</c:formatCode>
                <c:ptCount val="197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</c:numCache>
            </c:numRef>
          </c:cat>
          <c:val>
            <c:numRef>
              <c:f>'New Summary Monthly'!$B$23:$GP$23</c:f>
              <c:numCache>
                <c:formatCode>#,##0.0</c:formatCode>
                <c:ptCount val="197"/>
                <c:pt idx="0">
                  <c:v>87.344025936382721</c:v>
                </c:pt>
                <c:pt idx="1">
                  <c:v>140.75368621935999</c:v>
                </c:pt>
                <c:pt idx="2">
                  <c:v>92.847562490675273</c:v>
                </c:pt>
                <c:pt idx="3">
                  <c:v>56.801514328961161</c:v>
                </c:pt>
                <c:pt idx="4">
                  <c:v>40.804205893370629</c:v>
                </c:pt>
                <c:pt idx="5">
                  <c:v>34.003688218430682</c:v>
                </c:pt>
                <c:pt idx="6">
                  <c:v>22.955872017907481</c:v>
                </c:pt>
                <c:pt idx="7">
                  <c:v>-6.9967980699580892</c:v>
                </c:pt>
                <c:pt idx="8">
                  <c:v>93.530778355405587</c:v>
                </c:pt>
                <c:pt idx="9">
                  <c:v>102.6790681652372</c:v>
                </c:pt>
                <c:pt idx="10">
                  <c:v>113.73376215732777</c:v>
                </c:pt>
                <c:pt idx="11">
                  <c:v>29.270856577243908</c:v>
                </c:pt>
                <c:pt idx="12">
                  <c:v>52.014137000000012</c:v>
                </c:pt>
                <c:pt idx="13">
                  <c:v>50.617198000000002</c:v>
                </c:pt>
                <c:pt idx="14">
                  <c:v>66.94265900000002</c:v>
                </c:pt>
                <c:pt idx="15">
                  <c:v>62.69618999999998</c:v>
                </c:pt>
                <c:pt idx="16">
                  <c:v>36.481238999999995</c:v>
                </c:pt>
                <c:pt idx="17">
                  <c:v>38.063546660728555</c:v>
                </c:pt>
                <c:pt idx="18">
                  <c:v>50.348712999999996</c:v>
                </c:pt>
                <c:pt idx="19">
                  <c:v>51.807050336299994</c:v>
                </c:pt>
                <c:pt idx="20">
                  <c:v>74.039338999999984</c:v>
                </c:pt>
                <c:pt idx="21">
                  <c:v>9.4374589999999845</c:v>
                </c:pt>
                <c:pt idx="22">
                  <c:v>75.725446000000005</c:v>
                </c:pt>
                <c:pt idx="23">
                  <c:v>29.270824619500001</c:v>
                </c:pt>
                <c:pt idx="24">
                  <c:v>54.043257319199974</c:v>
                </c:pt>
                <c:pt idx="25">
                  <c:v>96.693539166999983</c:v>
                </c:pt>
                <c:pt idx="26">
                  <c:v>8.9873827846000118</c:v>
                </c:pt>
                <c:pt idx="27">
                  <c:v>81.763830501300021</c:v>
                </c:pt>
                <c:pt idx="28">
                  <c:v>21.760537576450009</c:v>
                </c:pt>
                <c:pt idx="29">
                  <c:v>4.7601869339800071</c:v>
                </c:pt>
                <c:pt idx="30">
                  <c:v>27.684689280000011</c:v>
                </c:pt>
                <c:pt idx="31">
                  <c:v>27.889372380900014</c:v>
                </c:pt>
                <c:pt idx="32">
                  <c:v>54.444000000000003</c:v>
                </c:pt>
                <c:pt idx="33">
                  <c:v>84.365897892000007</c:v>
                </c:pt>
                <c:pt idx="34">
                  <c:v>74.349343137400012</c:v>
                </c:pt>
                <c:pt idx="35">
                  <c:v>77.816644999999994</c:v>
                </c:pt>
                <c:pt idx="36">
                  <c:v>99.739152999999988</c:v>
                </c:pt>
                <c:pt idx="37">
                  <c:v>75.605353000000008</c:v>
                </c:pt>
                <c:pt idx="38">
                  <c:v>72.382471210499972</c:v>
                </c:pt>
                <c:pt idx="39">
                  <c:v>64.564884261299994</c:v>
                </c:pt>
                <c:pt idx="40">
                  <c:v>27.141685039999999</c:v>
                </c:pt>
                <c:pt idx="41">
                  <c:v>27.170544939999999</c:v>
                </c:pt>
                <c:pt idx="42">
                  <c:v>33.676898000000001</c:v>
                </c:pt>
                <c:pt idx="43">
                  <c:v>31.287078000000001</c:v>
                </c:pt>
                <c:pt idx="44">
                  <c:v>-7.3758119999999998</c:v>
                </c:pt>
                <c:pt idx="45">
                  <c:v>66.301078000000004</c:v>
                </c:pt>
                <c:pt idx="46">
                  <c:v>56.345666857937076</c:v>
                </c:pt>
                <c:pt idx="47">
                  <c:v>58.059464262248419</c:v>
                </c:pt>
                <c:pt idx="48">
                  <c:v>89.85</c:v>
                </c:pt>
                <c:pt idx="49">
                  <c:v>61.38</c:v>
                </c:pt>
                <c:pt idx="50">
                  <c:v>59.61</c:v>
                </c:pt>
                <c:pt idx="51">
                  <c:v>63.92</c:v>
                </c:pt>
                <c:pt idx="52">
                  <c:v>26</c:v>
                </c:pt>
                <c:pt idx="53">
                  <c:v>28.27</c:v>
                </c:pt>
                <c:pt idx="54">
                  <c:v>33.29</c:v>
                </c:pt>
                <c:pt idx="55">
                  <c:v>30.08</c:v>
                </c:pt>
                <c:pt idx="56">
                  <c:v>4.3600000000000003</c:v>
                </c:pt>
                <c:pt idx="57">
                  <c:v>72.36</c:v>
                </c:pt>
                <c:pt idx="58">
                  <c:v>56.36</c:v>
                </c:pt>
                <c:pt idx="59">
                  <c:v>64.510000000000005</c:v>
                </c:pt>
                <c:pt idx="60">
                  <c:v>83.81</c:v>
                </c:pt>
                <c:pt idx="61">
                  <c:v>49.85</c:v>
                </c:pt>
                <c:pt idx="62">
                  <c:v>49.44</c:v>
                </c:pt>
                <c:pt idx="63">
                  <c:v>65.97</c:v>
                </c:pt>
                <c:pt idx="64">
                  <c:v>25.97</c:v>
                </c:pt>
                <c:pt idx="65">
                  <c:v>30.55</c:v>
                </c:pt>
                <c:pt idx="66">
                  <c:v>34.299999999999997</c:v>
                </c:pt>
                <c:pt idx="67">
                  <c:v>30.15</c:v>
                </c:pt>
                <c:pt idx="68">
                  <c:v>16.18</c:v>
                </c:pt>
                <c:pt idx="69">
                  <c:v>81.41</c:v>
                </c:pt>
                <c:pt idx="70">
                  <c:v>58.75</c:v>
                </c:pt>
                <c:pt idx="71">
                  <c:v>73.62</c:v>
                </c:pt>
                <c:pt idx="72">
                  <c:v>65.83</c:v>
                </c:pt>
                <c:pt idx="73">
                  <c:v>32.18</c:v>
                </c:pt>
                <c:pt idx="74">
                  <c:v>33.04</c:v>
                </c:pt>
                <c:pt idx="75">
                  <c:v>57.79</c:v>
                </c:pt>
                <c:pt idx="76">
                  <c:v>22.01</c:v>
                </c:pt>
                <c:pt idx="77">
                  <c:v>27.93</c:v>
                </c:pt>
                <c:pt idx="78">
                  <c:v>30</c:v>
                </c:pt>
                <c:pt idx="79">
                  <c:v>25.65</c:v>
                </c:pt>
                <c:pt idx="80">
                  <c:v>24.11</c:v>
                </c:pt>
                <c:pt idx="81">
                  <c:v>77.03</c:v>
                </c:pt>
                <c:pt idx="82">
                  <c:v>51.95</c:v>
                </c:pt>
                <c:pt idx="83">
                  <c:v>70.48</c:v>
                </c:pt>
                <c:pt idx="84">
                  <c:v>80.846999999999994</c:v>
                </c:pt>
                <c:pt idx="85">
                  <c:v>36.069000000000003</c:v>
                </c:pt>
                <c:pt idx="86">
                  <c:v>52.482999999999997</c:v>
                </c:pt>
                <c:pt idx="87">
                  <c:v>49.569000000000003</c:v>
                </c:pt>
                <c:pt idx="88">
                  <c:v>32.722999999999999</c:v>
                </c:pt>
                <c:pt idx="89">
                  <c:v>42.13</c:v>
                </c:pt>
                <c:pt idx="90">
                  <c:v>44.061</c:v>
                </c:pt>
                <c:pt idx="91">
                  <c:v>24.962</c:v>
                </c:pt>
                <c:pt idx="92">
                  <c:v>66.790000000000006</c:v>
                </c:pt>
                <c:pt idx="93">
                  <c:v>70.260000000000005</c:v>
                </c:pt>
                <c:pt idx="94">
                  <c:v>53.32</c:v>
                </c:pt>
                <c:pt idx="95">
                  <c:v>30.13</c:v>
                </c:pt>
                <c:pt idx="96">
                  <c:v>82.45</c:v>
                </c:pt>
                <c:pt idx="97">
                  <c:v>16.36</c:v>
                </c:pt>
                <c:pt idx="98">
                  <c:v>21.47</c:v>
                </c:pt>
                <c:pt idx="99">
                  <c:v>92.88</c:v>
                </c:pt>
                <c:pt idx="100">
                  <c:v>33.1</c:v>
                </c:pt>
                <c:pt idx="101">
                  <c:v>48.49</c:v>
                </c:pt>
                <c:pt idx="102">
                  <c:v>48.07</c:v>
                </c:pt>
                <c:pt idx="103">
                  <c:v>38.89</c:v>
                </c:pt>
                <c:pt idx="104">
                  <c:v>69.37</c:v>
                </c:pt>
                <c:pt idx="105">
                  <c:v>141.44999999999999</c:v>
                </c:pt>
                <c:pt idx="106">
                  <c:v>85.02</c:v>
                </c:pt>
                <c:pt idx="107">
                  <c:v>131.72999999999999</c:v>
                </c:pt>
                <c:pt idx="108">
                  <c:v>89.73</c:v>
                </c:pt>
                <c:pt idx="109">
                  <c:v>73.149198600000005</c:v>
                </c:pt>
                <c:pt idx="110">
                  <c:v>59.780025000000002</c:v>
                </c:pt>
                <c:pt idx="111">
                  <c:v>87.8</c:v>
                </c:pt>
                <c:pt idx="112">
                  <c:v>52.133837999999997</c:v>
                </c:pt>
                <c:pt idx="113">
                  <c:v>65.209339999999969</c:v>
                </c:pt>
                <c:pt idx="114">
                  <c:v>62.836491199999976</c:v>
                </c:pt>
                <c:pt idx="115">
                  <c:v>61.438973599999997</c:v>
                </c:pt>
                <c:pt idx="116">
                  <c:v>79.124564289999967</c:v>
                </c:pt>
                <c:pt idx="117">
                  <c:v>76.680175000000006</c:v>
                </c:pt>
                <c:pt idx="118">
                  <c:v>83.463973650000042</c:v>
                </c:pt>
                <c:pt idx="119">
                  <c:v>49.399782000000002</c:v>
                </c:pt>
                <c:pt idx="120">
                  <c:v>66.535924489999999</c:v>
                </c:pt>
                <c:pt idx="121">
                  <c:v>90.885944850000016</c:v>
                </c:pt>
                <c:pt idx="122">
                  <c:v>54.432826459999959</c:v>
                </c:pt>
                <c:pt idx="123">
                  <c:v>98.131584029999985</c:v>
                </c:pt>
                <c:pt idx="124">
                  <c:v>77.879492779999978</c:v>
                </c:pt>
                <c:pt idx="125">
                  <c:v>39.965679629999997</c:v>
                </c:pt>
                <c:pt idx="126">
                  <c:v>48.080189849999982</c:v>
                </c:pt>
                <c:pt idx="127">
                  <c:v>63.220516579999973</c:v>
                </c:pt>
                <c:pt idx="128">
                  <c:v>67.557908740000002</c:v>
                </c:pt>
                <c:pt idx="129">
                  <c:v>72.216125819999974</c:v>
                </c:pt>
                <c:pt idx="130">
                  <c:v>63.561924439999991</c:v>
                </c:pt>
                <c:pt idx="131">
                  <c:v>125.06031286000002</c:v>
                </c:pt>
                <c:pt idx="132">
                  <c:v>116.73971300000004</c:v>
                </c:pt>
                <c:pt idx="133">
                  <c:v>98.575464550000007</c:v>
                </c:pt>
                <c:pt idx="134">
                  <c:v>25.926420919999988</c:v>
                </c:pt>
                <c:pt idx="135">
                  <c:v>5.536321000000001E-2</c:v>
                </c:pt>
                <c:pt idx="136">
                  <c:v>-1.3693050000000002E-2</c:v>
                </c:pt>
                <c:pt idx="137">
                  <c:v>10.866503780000004</c:v>
                </c:pt>
                <c:pt idx="138">
                  <c:v>83.117417880000048</c:v>
                </c:pt>
                <c:pt idx="139">
                  <c:v>55.173499209999989</c:v>
                </c:pt>
                <c:pt idx="140">
                  <c:v>76.690065309999994</c:v>
                </c:pt>
                <c:pt idx="141">
                  <c:v>117.62165598999999</c:v>
                </c:pt>
                <c:pt idx="142">
                  <c:v>-3.5714992700000017</c:v>
                </c:pt>
                <c:pt idx="143">
                  <c:v>-0.56824975999999972</c:v>
                </c:pt>
                <c:pt idx="144">
                  <c:v>-1.7494819999999998E-2</c:v>
                </c:pt>
                <c:pt idx="145">
                  <c:v>5.1941399999999999E-3</c:v>
                </c:pt>
                <c:pt idx="146">
                  <c:v>-1.2830000000000296E-5</c:v>
                </c:pt>
                <c:pt idx="147">
                  <c:v>7.512760000000002E-3</c:v>
                </c:pt>
                <c:pt idx="148">
                  <c:v>-0.17007805000000015</c:v>
                </c:pt>
                <c:pt idx="149">
                  <c:v>28.335375810000002</c:v>
                </c:pt>
                <c:pt idx="150">
                  <c:v>34.461995170000009</c:v>
                </c:pt>
                <c:pt idx="151">
                  <c:v>33.57048348</c:v>
                </c:pt>
                <c:pt idx="152">
                  <c:v>67.868094200000002</c:v>
                </c:pt>
                <c:pt idx="153">
                  <c:v>41.791922730000003</c:v>
                </c:pt>
                <c:pt idx="154">
                  <c:v>100.07553807000001</c:v>
                </c:pt>
                <c:pt idx="155">
                  <c:v>79.760696940000003</c:v>
                </c:pt>
                <c:pt idx="156">
                  <c:v>82.187395069999994</c:v>
                </c:pt>
                <c:pt idx="157">
                  <c:v>82.600026520000029</c:v>
                </c:pt>
                <c:pt idx="158">
                  <c:v>78.715001069999985</c:v>
                </c:pt>
                <c:pt idx="159">
                  <c:v>83.445950769999982</c:v>
                </c:pt>
                <c:pt idx="160">
                  <c:v>66.425969109999983</c:v>
                </c:pt>
                <c:pt idx="161">
                  <c:v>48.149551919999993</c:v>
                </c:pt>
                <c:pt idx="162">
                  <c:v>45.588664659999999</c:v>
                </c:pt>
                <c:pt idx="163">
                  <c:v>62.289695759999994</c:v>
                </c:pt>
                <c:pt idx="164">
                  <c:v>101.38613679000001</c:v>
                </c:pt>
                <c:pt idx="165">
                  <c:v>88.628390639999992</c:v>
                </c:pt>
                <c:pt idx="166">
                  <c:v>74.057525060000003</c:v>
                </c:pt>
                <c:pt idx="167">
                  <c:v>47.632419559999995</c:v>
                </c:pt>
                <c:pt idx="168">
                  <c:v>113.89999999999998</c:v>
                </c:pt>
                <c:pt idx="169">
                  <c:v>82.1</c:v>
                </c:pt>
                <c:pt idx="170">
                  <c:v>96.9</c:v>
                </c:pt>
                <c:pt idx="171">
                  <c:v>112.2</c:v>
                </c:pt>
                <c:pt idx="172">
                  <c:v>86.5</c:v>
                </c:pt>
                <c:pt idx="173">
                  <c:v>53.2</c:v>
                </c:pt>
                <c:pt idx="174">
                  <c:v>51.3</c:v>
                </c:pt>
                <c:pt idx="175">
                  <c:v>57.7</c:v>
                </c:pt>
                <c:pt idx="176">
                  <c:v>62.8</c:v>
                </c:pt>
                <c:pt idx="177">
                  <c:v>15.7</c:v>
                </c:pt>
                <c:pt idx="178">
                  <c:v>101.8</c:v>
                </c:pt>
                <c:pt idx="179">
                  <c:v>95.5</c:v>
                </c:pt>
                <c:pt idx="180">
                  <c:v>43.3</c:v>
                </c:pt>
                <c:pt idx="181">
                  <c:v>97.4</c:v>
                </c:pt>
                <c:pt idx="182">
                  <c:v>89.7</c:v>
                </c:pt>
                <c:pt idx="183">
                  <c:v>91.136700340000004</c:v>
                </c:pt>
                <c:pt idx="184">
                  <c:v>84.888270300000016</c:v>
                </c:pt>
                <c:pt idx="185">
                  <c:v>78</c:v>
                </c:pt>
                <c:pt idx="186">
                  <c:v>41.2</c:v>
                </c:pt>
                <c:pt idx="187">
                  <c:v>78.596971959999991</c:v>
                </c:pt>
                <c:pt idx="188">
                  <c:v>59.5</c:v>
                </c:pt>
                <c:pt idx="189">
                  <c:v>90.8</c:v>
                </c:pt>
                <c:pt idx="190">
                  <c:v>100.7</c:v>
                </c:pt>
                <c:pt idx="191">
                  <c:v>99.1</c:v>
                </c:pt>
                <c:pt idx="192">
                  <c:v>98.93204209000001</c:v>
                </c:pt>
                <c:pt idx="193">
                  <c:v>123.6</c:v>
                </c:pt>
                <c:pt idx="194">
                  <c:v>84.9</c:v>
                </c:pt>
                <c:pt idx="195">
                  <c:v>112.6</c:v>
                </c:pt>
                <c:pt idx="196">
                  <c:v>93.2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35-7047-AD48-009310735DBD}"/>
            </c:ext>
          </c:extLst>
        </c:ser>
        <c:ser>
          <c:idx val="1"/>
          <c:order val="1"/>
          <c:tx>
            <c:strRef>
              <c:f>'New Summary Monthly'!$A$24</c:f>
              <c:strCache>
                <c:ptCount val="1"/>
                <c:pt idx="0">
                  <c:v> Remote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rgbClr val="4F81BD"/>
              </a:solidFill>
            </a:ln>
            <a:effectLst/>
          </c:spPr>
          <c:cat>
            <c:numRef>
              <c:f>'New Summary Monthly'!$B$12:$GP$12</c:f>
              <c:numCache>
                <c:formatCode>mmm\-yy</c:formatCode>
                <c:ptCount val="197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</c:numCache>
            </c:numRef>
          </c:cat>
          <c:val>
            <c:numRef>
              <c:f>'New Summary Monthly'!$B$24:$GP$24</c:f>
              <c:numCache>
                <c:formatCode>#,##0.0</c:formatCode>
                <c:ptCount val="197"/>
                <c:pt idx="0">
                  <c:v>14.250002063617274</c:v>
                </c:pt>
                <c:pt idx="1">
                  <c:v>15.461313780639996</c:v>
                </c:pt>
                <c:pt idx="2">
                  <c:v>16.396237509324749</c:v>
                </c:pt>
                <c:pt idx="3">
                  <c:v>16.682885671038818</c:v>
                </c:pt>
                <c:pt idx="4">
                  <c:v>16.94579410662935</c:v>
                </c:pt>
                <c:pt idx="5">
                  <c:v>8.6271117815693295</c:v>
                </c:pt>
                <c:pt idx="6">
                  <c:v>6.1115279820925181</c:v>
                </c:pt>
                <c:pt idx="7">
                  <c:v>11.146398069958087</c:v>
                </c:pt>
                <c:pt idx="8">
                  <c:v>17.401021644594397</c:v>
                </c:pt>
                <c:pt idx="9">
                  <c:v>17.172131834762812</c:v>
                </c:pt>
                <c:pt idx="10">
                  <c:v>16.601337842672233</c:v>
                </c:pt>
                <c:pt idx="11">
                  <c:v>13.941619422756244</c:v>
                </c:pt>
                <c:pt idx="12">
                  <c:v>19.535862999999999</c:v>
                </c:pt>
                <c:pt idx="13">
                  <c:v>18.978002</c:v>
                </c:pt>
                <c:pt idx="14">
                  <c:v>23.527740999999999</c:v>
                </c:pt>
                <c:pt idx="15">
                  <c:v>20.056609999999999</c:v>
                </c:pt>
                <c:pt idx="16">
                  <c:v>12.276560999999999</c:v>
                </c:pt>
                <c:pt idx="17">
                  <c:v>24.404392999999999</c:v>
                </c:pt>
                <c:pt idx="18">
                  <c:v>14.170487</c:v>
                </c:pt>
                <c:pt idx="19">
                  <c:v>16.316355999999999</c:v>
                </c:pt>
                <c:pt idx="20">
                  <c:v>24.205660999999999</c:v>
                </c:pt>
                <c:pt idx="21">
                  <c:v>5.7519410000000004</c:v>
                </c:pt>
                <c:pt idx="22">
                  <c:v>24.830553999999999</c:v>
                </c:pt>
                <c:pt idx="23">
                  <c:v>8.7850280000000005</c:v>
                </c:pt>
                <c:pt idx="24">
                  <c:v>18.963000000000001</c:v>
                </c:pt>
                <c:pt idx="25">
                  <c:v>33.475999999999999</c:v>
                </c:pt>
                <c:pt idx="26">
                  <c:v>21.638999999999999</c:v>
                </c:pt>
                <c:pt idx="27">
                  <c:v>25.367999999999999</c:v>
                </c:pt>
                <c:pt idx="28">
                  <c:v>7.7729999999999997</c:v>
                </c:pt>
                <c:pt idx="29">
                  <c:v>9.6329999999999991</c:v>
                </c:pt>
                <c:pt idx="30">
                  <c:v>6.8979999999999997</c:v>
                </c:pt>
                <c:pt idx="31">
                  <c:v>8.1940000000000008</c:v>
                </c:pt>
                <c:pt idx="32">
                  <c:v>15.555999999999999</c:v>
                </c:pt>
                <c:pt idx="33">
                  <c:v>24.273</c:v>
                </c:pt>
                <c:pt idx="34">
                  <c:v>22.479357</c:v>
                </c:pt>
                <c:pt idx="35">
                  <c:v>14.582350999999999</c:v>
                </c:pt>
                <c:pt idx="36">
                  <c:v>5.3599800000000002</c:v>
                </c:pt>
                <c:pt idx="37">
                  <c:v>25.587458000000002</c:v>
                </c:pt>
                <c:pt idx="38">
                  <c:v>22.846583996699998</c:v>
                </c:pt>
                <c:pt idx="39">
                  <c:v>17.986381994700004</c:v>
                </c:pt>
                <c:pt idx="40">
                  <c:v>7.8583149600000031</c:v>
                </c:pt>
                <c:pt idx="41">
                  <c:v>8.0337320000000005</c:v>
                </c:pt>
                <c:pt idx="42">
                  <c:v>9.3231020000000004</c:v>
                </c:pt>
                <c:pt idx="43">
                  <c:v>9.7129220000000007</c:v>
                </c:pt>
                <c:pt idx="44">
                  <c:v>-0.62418799999999997</c:v>
                </c:pt>
                <c:pt idx="45">
                  <c:v>21.698922</c:v>
                </c:pt>
                <c:pt idx="46">
                  <c:v>24.743487999999999</c:v>
                </c:pt>
                <c:pt idx="47">
                  <c:v>14.379591</c:v>
                </c:pt>
                <c:pt idx="48">
                  <c:v>8.19</c:v>
                </c:pt>
                <c:pt idx="49">
                  <c:v>24.76</c:v>
                </c:pt>
                <c:pt idx="50">
                  <c:v>22.95</c:v>
                </c:pt>
                <c:pt idx="51">
                  <c:v>20.420000000000002</c:v>
                </c:pt>
                <c:pt idx="52">
                  <c:v>9.2200000000000006</c:v>
                </c:pt>
                <c:pt idx="53">
                  <c:v>9.75</c:v>
                </c:pt>
                <c:pt idx="54">
                  <c:v>11.2</c:v>
                </c:pt>
                <c:pt idx="55">
                  <c:v>11.61</c:v>
                </c:pt>
                <c:pt idx="56">
                  <c:v>2.71</c:v>
                </c:pt>
                <c:pt idx="57">
                  <c:v>25.28</c:v>
                </c:pt>
                <c:pt idx="58">
                  <c:v>27</c:v>
                </c:pt>
                <c:pt idx="59">
                  <c:v>18.920000000000002</c:v>
                </c:pt>
                <c:pt idx="60">
                  <c:v>11.38</c:v>
                </c:pt>
                <c:pt idx="61">
                  <c:v>22.4</c:v>
                </c:pt>
                <c:pt idx="62">
                  <c:v>21.86</c:v>
                </c:pt>
                <c:pt idx="63">
                  <c:v>22.46</c:v>
                </c:pt>
                <c:pt idx="64">
                  <c:v>10.47</c:v>
                </c:pt>
                <c:pt idx="65">
                  <c:v>11.42</c:v>
                </c:pt>
                <c:pt idx="66">
                  <c:v>13</c:v>
                </c:pt>
                <c:pt idx="67">
                  <c:v>13.43</c:v>
                </c:pt>
                <c:pt idx="68">
                  <c:v>6.85</c:v>
                </c:pt>
                <c:pt idx="69">
                  <c:v>28.53</c:v>
                </c:pt>
                <c:pt idx="70">
                  <c:v>28.47</c:v>
                </c:pt>
                <c:pt idx="71">
                  <c:v>23.73</c:v>
                </c:pt>
                <c:pt idx="72">
                  <c:v>17</c:v>
                </c:pt>
                <c:pt idx="73">
                  <c:v>21.45</c:v>
                </c:pt>
                <c:pt idx="74">
                  <c:v>22.63</c:v>
                </c:pt>
                <c:pt idx="75">
                  <c:v>27.64</c:v>
                </c:pt>
                <c:pt idx="76">
                  <c:v>13.32</c:v>
                </c:pt>
                <c:pt idx="77">
                  <c:v>14.96</c:v>
                </c:pt>
                <c:pt idx="78">
                  <c:v>16.88</c:v>
                </c:pt>
                <c:pt idx="79">
                  <c:v>17.36</c:v>
                </c:pt>
                <c:pt idx="80">
                  <c:v>13.32</c:v>
                </c:pt>
                <c:pt idx="81">
                  <c:v>36.049999999999997</c:v>
                </c:pt>
                <c:pt idx="82">
                  <c:v>33.5</c:v>
                </c:pt>
                <c:pt idx="83">
                  <c:v>32.92</c:v>
                </c:pt>
                <c:pt idx="84">
                  <c:v>30.044</c:v>
                </c:pt>
                <c:pt idx="85">
                  <c:v>28.134</c:v>
                </c:pt>
                <c:pt idx="86">
                  <c:v>44.906999999999996</c:v>
                </c:pt>
                <c:pt idx="87">
                  <c:v>25.648</c:v>
                </c:pt>
                <c:pt idx="88">
                  <c:v>22.86</c:v>
                </c:pt>
                <c:pt idx="89">
                  <c:v>24.885999999999999</c:v>
                </c:pt>
                <c:pt idx="90">
                  <c:v>28.286000000000001</c:v>
                </c:pt>
                <c:pt idx="91">
                  <c:v>19.741</c:v>
                </c:pt>
                <c:pt idx="92">
                  <c:v>39.228999999999999</c:v>
                </c:pt>
                <c:pt idx="93">
                  <c:v>37.450000000000003</c:v>
                </c:pt>
                <c:pt idx="94">
                  <c:v>29.13</c:v>
                </c:pt>
                <c:pt idx="95">
                  <c:v>25.33</c:v>
                </c:pt>
                <c:pt idx="96">
                  <c:v>47.61</c:v>
                </c:pt>
                <c:pt idx="97">
                  <c:v>17.8</c:v>
                </c:pt>
                <c:pt idx="98">
                  <c:v>28.11</c:v>
                </c:pt>
                <c:pt idx="99">
                  <c:v>56.58</c:v>
                </c:pt>
                <c:pt idx="100">
                  <c:v>29.07</c:v>
                </c:pt>
                <c:pt idx="101">
                  <c:v>34.43</c:v>
                </c:pt>
                <c:pt idx="102">
                  <c:v>38.28</c:v>
                </c:pt>
                <c:pt idx="103">
                  <c:v>39.090000000000003</c:v>
                </c:pt>
                <c:pt idx="104">
                  <c:v>48.11</c:v>
                </c:pt>
                <c:pt idx="105">
                  <c:v>77.739999999999995</c:v>
                </c:pt>
                <c:pt idx="106">
                  <c:v>61.96</c:v>
                </c:pt>
                <c:pt idx="107">
                  <c:v>83.19</c:v>
                </c:pt>
                <c:pt idx="108">
                  <c:v>60.76</c:v>
                </c:pt>
                <c:pt idx="109">
                  <c:v>50.866530820000001</c:v>
                </c:pt>
                <c:pt idx="110">
                  <c:v>51.286889000000002</c:v>
                </c:pt>
                <c:pt idx="111">
                  <c:v>58.7</c:v>
                </c:pt>
                <c:pt idx="112">
                  <c:v>40.802765000000001</c:v>
                </c:pt>
                <c:pt idx="113">
                  <c:v>47.593061000000034</c:v>
                </c:pt>
                <c:pt idx="114">
                  <c:v>51.479214800000001</c:v>
                </c:pt>
                <c:pt idx="115">
                  <c:v>49.956369849999987</c:v>
                </c:pt>
                <c:pt idx="116">
                  <c:v>60.385169840000003</c:v>
                </c:pt>
                <c:pt idx="117">
                  <c:v>56.894812999999999</c:v>
                </c:pt>
                <c:pt idx="118">
                  <c:v>65.059459590000003</c:v>
                </c:pt>
                <c:pt idx="119">
                  <c:v>47.036439000000001</c:v>
                </c:pt>
                <c:pt idx="120">
                  <c:v>58.054727459999981</c:v>
                </c:pt>
                <c:pt idx="121">
                  <c:v>69.095324260000012</c:v>
                </c:pt>
                <c:pt idx="122">
                  <c:v>51.976993150000006</c:v>
                </c:pt>
                <c:pt idx="123">
                  <c:v>75.50613534</c:v>
                </c:pt>
                <c:pt idx="124">
                  <c:v>56.196695299999988</c:v>
                </c:pt>
                <c:pt idx="125">
                  <c:v>42.504221889999997</c:v>
                </c:pt>
                <c:pt idx="126">
                  <c:v>47.247418319999994</c:v>
                </c:pt>
                <c:pt idx="127">
                  <c:v>56.354305340000003</c:v>
                </c:pt>
                <c:pt idx="128">
                  <c:v>61.052811240000011</c:v>
                </c:pt>
                <c:pt idx="129">
                  <c:v>56.583900519999986</c:v>
                </c:pt>
                <c:pt idx="130">
                  <c:v>59.862524259999979</c:v>
                </c:pt>
                <c:pt idx="131">
                  <c:v>91.174803409999996</c:v>
                </c:pt>
                <c:pt idx="132">
                  <c:v>95.249746500000015</c:v>
                </c:pt>
                <c:pt idx="133">
                  <c:v>86.676731829999994</c:v>
                </c:pt>
                <c:pt idx="134">
                  <c:v>49.391668080000009</c:v>
                </c:pt>
                <c:pt idx="135">
                  <c:v>20.899308209999997</c:v>
                </c:pt>
                <c:pt idx="136">
                  <c:v>35.365157090000004</c:v>
                </c:pt>
                <c:pt idx="137">
                  <c:v>62.684143649999974</c:v>
                </c:pt>
                <c:pt idx="138">
                  <c:v>88.216347110000015</c:v>
                </c:pt>
                <c:pt idx="139">
                  <c:v>69.578502369999981</c:v>
                </c:pt>
                <c:pt idx="140">
                  <c:v>75.758434909999963</c:v>
                </c:pt>
                <c:pt idx="141">
                  <c:v>125.76851247999997</c:v>
                </c:pt>
                <c:pt idx="142">
                  <c:v>111.05516151000003</c:v>
                </c:pt>
                <c:pt idx="143">
                  <c:v>177.09596590000001</c:v>
                </c:pt>
                <c:pt idx="144">
                  <c:v>144.84260818000001</c:v>
                </c:pt>
                <c:pt idx="145">
                  <c:v>185.50649856000001</c:v>
                </c:pt>
                <c:pt idx="146">
                  <c:v>132.32191820000003</c:v>
                </c:pt>
                <c:pt idx="147">
                  <c:v>103.54220643000002</c:v>
                </c:pt>
                <c:pt idx="148">
                  <c:v>153.70405179999997</c:v>
                </c:pt>
                <c:pt idx="149">
                  <c:v>113.21929914</c:v>
                </c:pt>
                <c:pt idx="150">
                  <c:v>63.189526259999994</c:v>
                </c:pt>
                <c:pt idx="151">
                  <c:v>81.390533430000019</c:v>
                </c:pt>
                <c:pt idx="152">
                  <c:v>119.43826003</c:v>
                </c:pt>
                <c:pt idx="153">
                  <c:v>76.066223469999983</c:v>
                </c:pt>
                <c:pt idx="154">
                  <c:v>143.98827944000004</c:v>
                </c:pt>
                <c:pt idx="155">
                  <c:v>125.13792185000004</c:v>
                </c:pt>
                <c:pt idx="156">
                  <c:v>128.84919049999996</c:v>
                </c:pt>
                <c:pt idx="157">
                  <c:v>122.10167034000003</c:v>
                </c:pt>
                <c:pt idx="158">
                  <c:v>127.52114061</c:v>
                </c:pt>
                <c:pt idx="159">
                  <c:v>118.94508986000004</c:v>
                </c:pt>
                <c:pt idx="160">
                  <c:v>97.489711360000001</c:v>
                </c:pt>
                <c:pt idx="161">
                  <c:v>74.302094339999982</c:v>
                </c:pt>
                <c:pt idx="162">
                  <c:v>80.376295949999985</c:v>
                </c:pt>
                <c:pt idx="163">
                  <c:v>107.87800773000001</c:v>
                </c:pt>
                <c:pt idx="164">
                  <c:v>149.15188270000002</c:v>
                </c:pt>
                <c:pt idx="165">
                  <c:v>132.03496484000004</c:v>
                </c:pt>
                <c:pt idx="166">
                  <c:v>126.30987244000002</c:v>
                </c:pt>
                <c:pt idx="167">
                  <c:v>86.522249530000011</c:v>
                </c:pt>
                <c:pt idx="168">
                  <c:v>180.8</c:v>
                </c:pt>
                <c:pt idx="169">
                  <c:v>128.6</c:v>
                </c:pt>
                <c:pt idx="170">
                  <c:v>146.6</c:v>
                </c:pt>
                <c:pt idx="171">
                  <c:v>154.6</c:v>
                </c:pt>
                <c:pt idx="172">
                  <c:v>126.3</c:v>
                </c:pt>
                <c:pt idx="173">
                  <c:v>88.3</c:v>
                </c:pt>
                <c:pt idx="174">
                  <c:v>88.7</c:v>
                </c:pt>
                <c:pt idx="175">
                  <c:v>107.4</c:v>
                </c:pt>
                <c:pt idx="176">
                  <c:v>110.2</c:v>
                </c:pt>
                <c:pt idx="177">
                  <c:v>57.3</c:v>
                </c:pt>
                <c:pt idx="178">
                  <c:v>151.30000000000001</c:v>
                </c:pt>
                <c:pt idx="179">
                  <c:v>135.19999999999999</c:v>
                </c:pt>
                <c:pt idx="180">
                  <c:v>88.2</c:v>
                </c:pt>
                <c:pt idx="181">
                  <c:v>147</c:v>
                </c:pt>
                <c:pt idx="182">
                  <c:v>143.6</c:v>
                </c:pt>
                <c:pt idx="183">
                  <c:v>145.22699297</c:v>
                </c:pt>
                <c:pt idx="184">
                  <c:v>142.20603159999999</c:v>
                </c:pt>
                <c:pt idx="185">
                  <c:v>125.03</c:v>
                </c:pt>
                <c:pt idx="186">
                  <c:v>103.9218</c:v>
                </c:pt>
                <c:pt idx="187">
                  <c:v>142.31602841</c:v>
                </c:pt>
                <c:pt idx="188">
                  <c:v>112.1</c:v>
                </c:pt>
                <c:pt idx="189">
                  <c:v>160.4</c:v>
                </c:pt>
                <c:pt idx="190">
                  <c:v>156.9</c:v>
                </c:pt>
                <c:pt idx="191">
                  <c:v>155.93773905</c:v>
                </c:pt>
                <c:pt idx="192">
                  <c:v>158.96233398000001</c:v>
                </c:pt>
                <c:pt idx="193">
                  <c:v>191.2</c:v>
                </c:pt>
                <c:pt idx="194">
                  <c:v>132.9</c:v>
                </c:pt>
                <c:pt idx="195">
                  <c:v>167.7</c:v>
                </c:pt>
                <c:pt idx="196">
                  <c:v>142.1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35-7047-AD48-009310735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9662240"/>
        <c:axId val="969663936"/>
      </c:areaChart>
      <c:dateAx>
        <c:axId val="969662240"/>
        <c:scaling>
          <c:orientation val="minMax"/>
        </c:scaling>
        <c:delete val="0"/>
        <c:axPos val="b"/>
        <c:numFmt formatCode="mmm\-yy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Offset val="100"/>
        <c:baseTimeUnit val="months"/>
        <c:majorUnit val="6"/>
        <c:majorTimeUnit val="months"/>
      </c:dateAx>
      <c:valAx>
        <c:axId val="9696639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051322969964012E-2"/>
          <c:y val="2.977203620830075E-2"/>
          <c:w val="0.94998717725634141"/>
          <c:h val="0.83629433918698148"/>
        </c:manualLayout>
      </c:layout>
      <c:areaChart>
        <c:grouping val="stacked"/>
        <c:varyColors val="0"/>
        <c:ser>
          <c:idx val="0"/>
          <c:order val="0"/>
          <c:tx>
            <c:strRef>
              <c:f>'New Summary Monthly'!$A$296</c:f>
              <c:strCache>
                <c:ptCount val="1"/>
                <c:pt idx="0">
                  <c:v>Real Inflation Adjusted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cat>
            <c:numRef>
              <c:f>'New Summary Monthly'!$B$290:$GP$290</c:f>
              <c:numCache>
                <c:formatCode>mmm\-yy</c:formatCode>
                <c:ptCount val="197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</c:numCache>
            </c:numRef>
          </c:cat>
          <c:val>
            <c:numRef>
              <c:f>'New Summary Monthly'!$B$296:$GP$296</c:f>
              <c:numCache>
                <c:formatCode>#,##0.0</c:formatCode>
                <c:ptCount val="197"/>
                <c:pt idx="0">
                  <c:v>101.59402799999999</c:v>
                </c:pt>
                <c:pt idx="1">
                  <c:v>155.86669453734669</c:v>
                </c:pt>
                <c:pt idx="2">
                  <c:v>107.79845755237048</c:v>
                </c:pt>
                <c:pt idx="3">
                  <c:v>72.03563855421686</c:v>
                </c:pt>
                <c:pt idx="4">
                  <c:v>56.487704918032776</c:v>
                </c:pt>
                <c:pt idx="5">
                  <c:v>41.60803271537624</c:v>
                </c:pt>
                <c:pt idx="6">
                  <c:v>28.714484547461371</c:v>
                </c:pt>
                <c:pt idx="7">
                  <c:v>4.0901894273127732</c:v>
                </c:pt>
                <c:pt idx="8">
                  <c:v>108.62577789934352</c:v>
                </c:pt>
                <c:pt idx="9">
                  <c:v>116.84839215686276</c:v>
                </c:pt>
                <c:pt idx="10">
                  <c:v>126.93135418933625</c:v>
                </c:pt>
                <c:pt idx="11">
                  <c:v>42.038223934782756</c:v>
                </c:pt>
                <c:pt idx="12">
                  <c:v>70.603362734288865</c:v>
                </c:pt>
                <c:pt idx="13">
                  <c:v>68.75022516556291</c:v>
                </c:pt>
                <c:pt idx="14">
                  <c:v>88.011965217391293</c:v>
                </c:pt>
                <c:pt idx="15">
                  <c:v>79.724172228202349</c:v>
                </c:pt>
                <c:pt idx="16">
                  <c:v>46.973337997847139</c:v>
                </c:pt>
                <c:pt idx="17">
                  <c:v>60.116995695002203</c:v>
                </c:pt>
                <c:pt idx="18">
                  <c:v>62.629809110629054</c:v>
                </c:pt>
                <c:pt idx="19">
                  <c:v>66.05682412891494</c:v>
                </c:pt>
                <c:pt idx="20">
                  <c:v>94.649381054897702</c:v>
                </c:pt>
                <c:pt idx="21">
                  <c:v>14.524052350427334</c:v>
                </c:pt>
                <c:pt idx="22">
                  <c:v>96.151303418803423</c:v>
                </c:pt>
                <c:pt idx="23">
                  <c:v>36.272617778969646</c:v>
                </c:pt>
                <c:pt idx="24">
                  <c:v>70.638486811550251</c:v>
                </c:pt>
                <c:pt idx="25">
                  <c:v>125.81181161389308</c:v>
                </c:pt>
                <c:pt idx="26">
                  <c:v>28.975277581624749</c:v>
                </c:pt>
                <c:pt idx="27">
                  <c:v>100.29601286471079</c:v>
                </c:pt>
                <c:pt idx="28">
                  <c:v>27.62018404485136</c:v>
                </c:pt>
                <c:pt idx="29">
                  <c:v>13.446662114730801</c:v>
                </c:pt>
                <c:pt idx="30">
                  <c:v>32.892143364080781</c:v>
                </c:pt>
                <c:pt idx="31">
                  <c:v>34.210400721298214</c:v>
                </c:pt>
                <c:pt idx="32">
                  <c:v>65.057113187954315</c:v>
                </c:pt>
                <c:pt idx="33">
                  <c:v>100.13575037419157</c:v>
                </c:pt>
                <c:pt idx="34">
                  <c:v>89.249934730147288</c:v>
                </c:pt>
                <c:pt idx="35">
                  <c:v>84.904621581108813</c:v>
                </c:pt>
                <c:pt idx="36">
                  <c:v>98.393016773012562</c:v>
                </c:pt>
                <c:pt idx="37">
                  <c:v>94.538168940501038</c:v>
                </c:pt>
                <c:pt idx="38">
                  <c:v>86.792265183751482</c:v>
                </c:pt>
                <c:pt idx="39">
                  <c:v>74.55437265299696</c:v>
                </c:pt>
                <c:pt idx="40">
                  <c:v>31.609485368314832</c:v>
                </c:pt>
                <c:pt idx="41">
                  <c:v>31.72993742326284</c:v>
                </c:pt>
                <c:pt idx="42">
                  <c:v>39.47179487179487</c:v>
                </c:pt>
                <c:pt idx="43">
                  <c:v>37.597336065573771</c:v>
                </c:pt>
                <c:pt idx="44">
                  <c:v>-7.1887550200803219</c:v>
                </c:pt>
                <c:pt idx="45">
                  <c:v>78.917835671342687</c:v>
                </c:pt>
                <c:pt idx="46">
                  <c:v>72.866258632383222</c:v>
                </c:pt>
                <c:pt idx="47">
                  <c:v>64.897852312024355</c:v>
                </c:pt>
                <c:pt idx="48">
                  <c:v>89.62798774259447</c:v>
                </c:pt>
                <c:pt idx="49">
                  <c:v>78.910235414534284</c:v>
                </c:pt>
                <c:pt idx="50">
                  <c:v>73.891199999999998</c:v>
                </c:pt>
                <c:pt idx="51">
                  <c:v>75.258524426719845</c:v>
                </c:pt>
                <c:pt idx="52">
                  <c:v>31.42761714855434</c:v>
                </c:pt>
                <c:pt idx="53">
                  <c:v>33.858606965174125</c:v>
                </c:pt>
                <c:pt idx="54">
                  <c:v>40.343009118541026</c:v>
                </c:pt>
                <c:pt idx="55">
                  <c:v>37.804002026342452</c:v>
                </c:pt>
                <c:pt idx="56">
                  <c:v>6.2961691542288563</c:v>
                </c:pt>
                <c:pt idx="57">
                  <c:v>86.953034825870645</c:v>
                </c:pt>
                <c:pt idx="58">
                  <c:v>74.45828343313373</c:v>
                </c:pt>
                <c:pt idx="59">
                  <c:v>74.298358208955221</c:v>
                </c:pt>
                <c:pt idx="60">
                  <c:v>86.492436548223353</c:v>
                </c:pt>
                <c:pt idx="61">
                  <c:v>65.916156982670742</c:v>
                </c:pt>
                <c:pt idx="62">
                  <c:v>63.622632103688929</c:v>
                </c:pt>
                <c:pt idx="63">
                  <c:v>78.516716269841254</c:v>
                </c:pt>
                <c:pt idx="64">
                  <c:v>32.387090367427994</c:v>
                </c:pt>
                <c:pt idx="65">
                  <c:v>37.265029761904756</c:v>
                </c:pt>
                <c:pt idx="66">
                  <c:v>42.891084093211745</c:v>
                </c:pt>
                <c:pt idx="67">
                  <c:v>39.557910750507091</c:v>
                </c:pt>
                <c:pt idx="68">
                  <c:v>20.529731075697203</c:v>
                </c:pt>
                <c:pt idx="69">
                  <c:v>97.712313803376333</c:v>
                </c:pt>
                <c:pt idx="70">
                  <c:v>77.673532338308434</c:v>
                </c:pt>
                <c:pt idx="71">
                  <c:v>86.69477611940296</c:v>
                </c:pt>
                <c:pt idx="72">
                  <c:v>75.645765306122428</c:v>
                </c:pt>
                <c:pt idx="73">
                  <c:v>48.878665987780025</c:v>
                </c:pt>
                <c:pt idx="74">
                  <c:v>49.675623130608159</c:v>
                </c:pt>
                <c:pt idx="75">
                  <c:v>75.928351539225389</c:v>
                </c:pt>
                <c:pt idx="76">
                  <c:v>31.338305252725458</c:v>
                </c:pt>
                <c:pt idx="77">
                  <c:v>38.006485148514841</c:v>
                </c:pt>
                <c:pt idx="78">
                  <c:v>42.338647830474258</c:v>
                </c:pt>
                <c:pt idx="79">
                  <c:v>38.922093023255798</c:v>
                </c:pt>
                <c:pt idx="80">
                  <c:v>33.300049701789249</c:v>
                </c:pt>
                <c:pt idx="81">
                  <c:v>100.2045544554455</c:v>
                </c:pt>
                <c:pt idx="82">
                  <c:v>76.021620278329991</c:v>
                </c:pt>
                <c:pt idx="83">
                  <c:v>91.991053677932371</c:v>
                </c:pt>
                <c:pt idx="84">
                  <c:v>100.86122459349586</c:v>
                </c:pt>
                <c:pt idx="85">
                  <c:v>58.634372448979562</c:v>
                </c:pt>
                <c:pt idx="86">
                  <c:v>87.076973026972979</c:v>
                </c:pt>
                <c:pt idx="87">
                  <c:v>67.117861415752714</c:v>
                </c:pt>
                <c:pt idx="88">
                  <c:v>49.450084493041729</c:v>
                </c:pt>
                <c:pt idx="89">
                  <c:v>59.50329365079363</c:v>
                </c:pt>
                <c:pt idx="90">
                  <c:v>65.470743174924138</c:v>
                </c:pt>
                <c:pt idx="91">
                  <c:v>40.495126518218612</c:v>
                </c:pt>
                <c:pt idx="92">
                  <c:v>94.227413108242288</c:v>
                </c:pt>
                <c:pt idx="93">
                  <c:v>95.540584737363687</c:v>
                </c:pt>
                <c:pt idx="94">
                  <c:v>73.279791459781507</c:v>
                </c:pt>
                <c:pt idx="95">
                  <c:v>49.096636993076146</c:v>
                </c:pt>
                <c:pt idx="96">
                  <c:v>117.10633802816898</c:v>
                </c:pt>
                <c:pt idx="97">
                  <c:v>30.695983935742959</c:v>
                </c:pt>
                <c:pt idx="98">
                  <c:v>43.718325123152688</c:v>
                </c:pt>
                <c:pt idx="99">
                  <c:v>130.7592375366568</c:v>
                </c:pt>
                <c:pt idx="100">
                  <c:v>54.444373776907995</c:v>
                </c:pt>
                <c:pt idx="101">
                  <c:v>72.758235294117611</c:v>
                </c:pt>
                <c:pt idx="102">
                  <c:v>77.206043956043914</c:v>
                </c:pt>
                <c:pt idx="103">
                  <c:v>69.652794411177595</c:v>
                </c:pt>
                <c:pt idx="104">
                  <c:v>103.08294117647053</c:v>
                </c:pt>
                <c:pt idx="105">
                  <c:v>192.32848039215673</c:v>
                </c:pt>
                <c:pt idx="106">
                  <c:v>129.22111984282898</c:v>
                </c:pt>
                <c:pt idx="107">
                  <c:v>188.39706170421141</c:v>
                </c:pt>
                <c:pt idx="108">
                  <c:v>133.88523856858839</c:v>
                </c:pt>
                <c:pt idx="109">
                  <c:v>110.88319463626367</c:v>
                </c:pt>
                <c:pt idx="110">
                  <c:v>97.075085966796792</c:v>
                </c:pt>
                <c:pt idx="111">
                  <c:v>127.42225461613207</c:v>
                </c:pt>
                <c:pt idx="112">
                  <c:v>80.599088842054201</c:v>
                </c:pt>
                <c:pt idx="113">
                  <c:v>97.638441871373246</c:v>
                </c:pt>
                <c:pt idx="114">
                  <c:v>100.30642830392148</c:v>
                </c:pt>
                <c:pt idx="115">
                  <c:v>97.935984663801491</c:v>
                </c:pt>
                <c:pt idx="116">
                  <c:v>120.63885221869555</c:v>
                </c:pt>
                <c:pt idx="117">
                  <c:v>115.28410246865954</c:v>
                </c:pt>
                <c:pt idx="118">
                  <c:v>128.5575171661508</c:v>
                </c:pt>
                <c:pt idx="119">
                  <c:v>83.55316340271051</c:v>
                </c:pt>
                <c:pt idx="120">
                  <c:v>109.86072265541864</c:v>
                </c:pt>
                <c:pt idx="121">
                  <c:v>141.48541092238136</c:v>
                </c:pt>
                <c:pt idx="122">
                  <c:v>92.016220822173835</c:v>
                </c:pt>
                <c:pt idx="123">
                  <c:v>149.42861426552872</c:v>
                </c:pt>
                <c:pt idx="124">
                  <c:v>115.27203490067232</c:v>
                </c:pt>
                <c:pt idx="125">
                  <c:v>70.835472034932764</c:v>
                </c:pt>
                <c:pt idx="126">
                  <c:v>83.400009102785845</c:v>
                </c:pt>
                <c:pt idx="127">
                  <c:v>104.61335837575747</c:v>
                </c:pt>
                <c:pt idx="128">
                  <c:v>110.99960885448401</c:v>
                </c:pt>
                <c:pt idx="129">
                  <c:v>110.94901210230979</c:v>
                </c:pt>
                <c:pt idx="130">
                  <c:v>106.6263335777026</c:v>
                </c:pt>
                <c:pt idx="131">
                  <c:v>186.44550005939294</c:v>
                </c:pt>
                <c:pt idx="132">
                  <c:v>186.1929011310107</c:v>
                </c:pt>
                <c:pt idx="133">
                  <c:v>163.51155400404323</c:v>
                </c:pt>
                <c:pt idx="134">
                  <c:v>65.067268006756692</c:v>
                </c:pt>
                <c:pt idx="135">
                  <c:v>18.015783785686821</c:v>
                </c:pt>
                <c:pt idx="136">
                  <c:v>30.481271980539475</c:v>
                </c:pt>
                <c:pt idx="137">
                  <c:v>63.417947446868894</c:v>
                </c:pt>
                <c:pt idx="138">
                  <c:v>148.73299676629478</c:v>
                </c:pt>
                <c:pt idx="139">
                  <c:v>109.67882260717079</c:v>
                </c:pt>
                <c:pt idx="140">
                  <c:v>132.85434050331042</c:v>
                </c:pt>
                <c:pt idx="141">
                  <c:v>210.87531537332978</c:v>
                </c:pt>
                <c:pt idx="142">
                  <c:v>93.124760604840191</c:v>
                </c:pt>
                <c:pt idx="143">
                  <c:v>152.64957096164233</c:v>
                </c:pt>
                <c:pt idx="144">
                  <c:v>126.33379771656907</c:v>
                </c:pt>
                <c:pt idx="145">
                  <c:v>162.14156735009743</c:v>
                </c:pt>
                <c:pt idx="146">
                  <c:v>113.65461161818605</c:v>
                </c:pt>
                <c:pt idx="147">
                  <c:v>88.179827473881929</c:v>
                </c:pt>
                <c:pt idx="148">
                  <c:v>130.86943476785694</c:v>
                </c:pt>
                <c:pt idx="149">
                  <c:v>120.42911984814623</c:v>
                </c:pt>
                <c:pt idx="150">
                  <c:v>83.955919000816422</c:v>
                </c:pt>
                <c:pt idx="151">
                  <c:v>98.648235987008533</c:v>
                </c:pt>
                <c:pt idx="152">
                  <c:v>158.59904166116348</c:v>
                </c:pt>
                <c:pt idx="153">
                  <c:v>98.952195918386366</c:v>
                </c:pt>
                <c:pt idx="154">
                  <c:v>203.57606399948722</c:v>
                </c:pt>
                <c:pt idx="155">
                  <c:v>170.11527255756016</c:v>
                </c:pt>
                <c:pt idx="156">
                  <c:v>175.21126538511106</c:v>
                </c:pt>
                <c:pt idx="157">
                  <c:v>168.54463540910746</c:v>
                </c:pt>
                <c:pt idx="158">
                  <c:v>165.84128194393512</c:v>
                </c:pt>
                <c:pt idx="159">
                  <c:v>162.16650077336598</c:v>
                </c:pt>
                <c:pt idx="160">
                  <c:v>130.17261226322074</c:v>
                </c:pt>
                <c:pt idx="161">
                  <c:v>96.051028398509942</c:v>
                </c:pt>
                <c:pt idx="162">
                  <c:v>99.945602611657677</c:v>
                </c:pt>
                <c:pt idx="163">
                  <c:v>133.83136610153764</c:v>
                </c:pt>
                <c:pt idx="164">
                  <c:v>193.97190955324373</c:v>
                </c:pt>
                <c:pt idx="165">
                  <c:v>164.57808596216648</c:v>
                </c:pt>
                <c:pt idx="166">
                  <c:v>148.45101056498328</c:v>
                </c:pt>
                <c:pt idx="167">
                  <c:v>99.148165842733164</c:v>
                </c:pt>
                <c:pt idx="168">
                  <c:v>221.08675607711623</c:v>
                </c:pt>
                <c:pt idx="169">
                  <c:v>157.93676716917903</c:v>
                </c:pt>
                <c:pt idx="170">
                  <c:v>181.15752285951766</c:v>
                </c:pt>
                <c:pt idx="171">
                  <c:v>196.85572959604264</c:v>
                </c:pt>
                <c:pt idx="172">
                  <c:v>156.4963023829086</c:v>
                </c:pt>
                <c:pt idx="173">
                  <c:v>103.97577996715917</c:v>
                </c:pt>
                <c:pt idx="174">
                  <c:v>104.50375312760622</c:v>
                </c:pt>
                <c:pt idx="175">
                  <c:v>123.03455453788499</c:v>
                </c:pt>
                <c:pt idx="176">
                  <c:v>126.80999180999169</c:v>
                </c:pt>
                <c:pt idx="177">
                  <c:v>53.465630114566217</c:v>
                </c:pt>
                <c:pt idx="178">
                  <c:v>186.43991769547304</c:v>
                </c:pt>
                <c:pt idx="179">
                  <c:v>169.66023007395211</c:v>
                </c:pt>
                <c:pt idx="180">
                  <c:v>97.751245847175937</c:v>
                </c:pt>
                <c:pt idx="181">
                  <c:v>181.676079734219</c:v>
                </c:pt>
                <c:pt idx="182">
                  <c:v>171.43144499178956</c:v>
                </c:pt>
                <c:pt idx="183">
                  <c:v>172.83129535330855</c:v>
                </c:pt>
                <c:pt idx="184">
                  <c:v>165.6474329262426</c:v>
                </c:pt>
                <c:pt idx="185">
                  <c:v>147.85341741253026</c:v>
                </c:pt>
                <c:pt idx="186">
                  <c:v>106.63711904761887</c:v>
                </c:pt>
                <c:pt idx="187">
                  <c:v>162.59632839732703</c:v>
                </c:pt>
                <c:pt idx="188">
                  <c:v>124.8634146341461</c:v>
                </c:pt>
                <c:pt idx="189">
                  <c:v>182.19124797406766</c:v>
                </c:pt>
                <c:pt idx="190">
                  <c:v>186.98459042984553</c:v>
                </c:pt>
                <c:pt idx="191">
                  <c:v>184.97469728504819</c:v>
                </c:pt>
                <c:pt idx="192">
                  <c:v>188.57472760020386</c:v>
                </c:pt>
                <c:pt idx="193">
                  <c:v>229.99673469387699</c:v>
                </c:pt>
                <c:pt idx="194">
                  <c:v>156.69694533762021</c:v>
                </c:pt>
                <c:pt idx="195">
                  <c:v>200.85548438750953</c:v>
                </c:pt>
                <c:pt idx="196">
                  <c:v>168.47479999999962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B0-A745-9E51-3F4225E81941}"/>
            </c:ext>
          </c:extLst>
        </c:ser>
        <c:ser>
          <c:idx val="1"/>
          <c:order val="1"/>
          <c:tx>
            <c:strRef>
              <c:f>'New Summary Monthly'!$A$292</c:f>
              <c:strCache>
                <c:ptCount val="1"/>
                <c:pt idx="0">
                  <c:v>Inflation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'New Summary Monthly'!$B$290:$GP$290</c:f>
              <c:numCache>
                <c:formatCode>mmm\-yy</c:formatCode>
                <c:ptCount val="197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</c:numCache>
            </c:numRef>
          </c:cat>
          <c:val>
            <c:numRef>
              <c:f>'New Summary Monthly'!$B$297:$GP$297</c:f>
              <c:numCache>
                <c:formatCode>#,##0.0</c:formatCode>
                <c:ptCount val="197"/>
                <c:pt idx="0">
                  <c:v>0</c:v>
                </c:pt>
                <c:pt idx="1">
                  <c:v>0.34830546265328621</c:v>
                </c:pt>
                <c:pt idx="2">
                  <c:v>1.4453424476295424</c:v>
                </c:pt>
                <c:pt idx="3">
                  <c:v>1.4487614457831199</c:v>
                </c:pt>
                <c:pt idx="4">
                  <c:v>1.2622950819672027</c:v>
                </c:pt>
                <c:pt idx="5">
                  <c:v>1.0227672846237681</c:v>
                </c:pt>
                <c:pt idx="6">
                  <c:v>0.35291545253862822</c:v>
                </c:pt>
                <c:pt idx="7">
                  <c:v>5.9410572687224494E-2</c:v>
                </c:pt>
                <c:pt idx="8">
                  <c:v>2.3060221006564632</c:v>
                </c:pt>
                <c:pt idx="9">
                  <c:v>3.0028078431372478</c:v>
                </c:pt>
                <c:pt idx="10">
                  <c:v>3.4037458106637644</c:v>
                </c:pt>
                <c:pt idx="11">
                  <c:v>1.1742520652173951</c:v>
                </c:pt>
                <c:pt idx="12">
                  <c:v>0.94663726571114637</c:v>
                </c:pt>
                <c:pt idx="13">
                  <c:v>0.84497483443709598</c:v>
                </c:pt>
                <c:pt idx="14">
                  <c:v>2.4584347826087196</c:v>
                </c:pt>
                <c:pt idx="15">
                  <c:v>3.0286277717976304</c:v>
                </c:pt>
                <c:pt idx="16">
                  <c:v>1.784462002152857</c:v>
                </c:pt>
                <c:pt idx="17">
                  <c:v>2.3509439657263513</c:v>
                </c:pt>
                <c:pt idx="18">
                  <c:v>1.8893908893709437</c:v>
                </c:pt>
                <c:pt idx="19">
                  <c:v>2.0665822073850535</c:v>
                </c:pt>
                <c:pt idx="20">
                  <c:v>3.5956189451022738</c:v>
                </c:pt>
                <c:pt idx="21">
                  <c:v>0.66534764957265047</c:v>
                </c:pt>
                <c:pt idx="22">
                  <c:v>4.404696581196589</c:v>
                </c:pt>
                <c:pt idx="23">
                  <c:v>1.7832348405303549</c:v>
                </c:pt>
                <c:pt idx="24">
                  <c:v>2.3677705076497233</c:v>
                </c:pt>
                <c:pt idx="25">
                  <c:v>4.3577275531068977</c:v>
                </c:pt>
                <c:pt idx="26">
                  <c:v>1.6511052029752626</c:v>
                </c:pt>
                <c:pt idx="27">
                  <c:v>6.8358176365892263</c:v>
                </c:pt>
                <c:pt idx="28">
                  <c:v>1.9133535315986485</c:v>
                </c:pt>
                <c:pt idx="29">
                  <c:v>0.94652481924920551</c:v>
                </c:pt>
                <c:pt idx="30">
                  <c:v>1.6905459159192304</c:v>
                </c:pt>
                <c:pt idx="31">
                  <c:v>1.8729716596018022</c:v>
                </c:pt>
                <c:pt idx="32">
                  <c:v>4.9428868120456855</c:v>
                </c:pt>
                <c:pt idx="33">
                  <c:v>8.5031475178084293</c:v>
                </c:pt>
                <c:pt idx="34">
                  <c:v>7.5787654072527175</c:v>
                </c:pt>
                <c:pt idx="35">
                  <c:v>7.4943744188911836</c:v>
                </c:pt>
                <c:pt idx="36">
                  <c:v>6.706116226987433</c:v>
                </c:pt>
                <c:pt idx="37">
                  <c:v>6.6546420594989684</c:v>
                </c:pt>
                <c:pt idx="38">
                  <c:v>8.4367900234484807</c:v>
                </c:pt>
                <c:pt idx="39">
                  <c:v>7.9968936030030306</c:v>
                </c:pt>
                <c:pt idx="40">
                  <c:v>3.3905146316851678</c:v>
                </c:pt>
                <c:pt idx="41">
                  <c:v>3.4743395167371602</c:v>
                </c:pt>
                <c:pt idx="42">
                  <c:v>3.5282051282051299</c:v>
                </c:pt>
                <c:pt idx="43">
                  <c:v>3.4026639344262293</c:v>
                </c:pt>
                <c:pt idx="44">
                  <c:v>-0.81124497991967814</c:v>
                </c:pt>
                <c:pt idx="45">
                  <c:v>9.0821643286573135</c:v>
                </c:pt>
                <c:pt idx="46">
                  <c:v>8.2228962255538534</c:v>
                </c:pt>
                <c:pt idx="47">
                  <c:v>7.5412029502240614</c:v>
                </c:pt>
                <c:pt idx="48">
                  <c:v>8.4120122574055216</c:v>
                </c:pt>
                <c:pt idx="49">
                  <c:v>7.2297645854657162</c:v>
                </c:pt>
                <c:pt idx="50">
                  <c:v>8.6688000000000045</c:v>
                </c:pt>
                <c:pt idx="51">
                  <c:v>9.0814755732801586</c:v>
                </c:pt>
                <c:pt idx="52">
                  <c:v>3.7923828514456588</c:v>
                </c:pt>
                <c:pt idx="53">
                  <c:v>4.1613930348258705</c:v>
                </c:pt>
                <c:pt idx="54">
                  <c:v>4.1469908814589687</c:v>
                </c:pt>
                <c:pt idx="55">
                  <c:v>3.8859979736575454</c:v>
                </c:pt>
                <c:pt idx="56">
                  <c:v>0.77383084577114403</c:v>
                </c:pt>
                <c:pt idx="57">
                  <c:v>10.686965174129355</c:v>
                </c:pt>
                <c:pt idx="58">
                  <c:v>8.9017165668662699</c:v>
                </c:pt>
                <c:pt idx="59">
                  <c:v>9.1316417910447854</c:v>
                </c:pt>
                <c:pt idx="60">
                  <c:v>8.6975634517766451</c:v>
                </c:pt>
                <c:pt idx="61">
                  <c:v>6.3338430173292579</c:v>
                </c:pt>
                <c:pt idx="62">
                  <c:v>7.6773678963110683</c:v>
                </c:pt>
                <c:pt idx="63">
                  <c:v>9.9132837301587529</c:v>
                </c:pt>
                <c:pt idx="64">
                  <c:v>4.0529096325720033</c:v>
                </c:pt>
                <c:pt idx="65">
                  <c:v>4.7049702380952425</c:v>
                </c:pt>
                <c:pt idx="66">
                  <c:v>4.408915906788252</c:v>
                </c:pt>
                <c:pt idx="67">
                  <c:v>4.0220892494929075</c:v>
                </c:pt>
                <c:pt idx="68">
                  <c:v>2.500268924302798</c:v>
                </c:pt>
                <c:pt idx="69">
                  <c:v>12.227686196623665</c:v>
                </c:pt>
                <c:pt idx="70">
                  <c:v>9.5464676616915654</c:v>
                </c:pt>
                <c:pt idx="71">
                  <c:v>10.655223880597049</c:v>
                </c:pt>
                <c:pt idx="72">
                  <c:v>7.1842346938775705</c:v>
                </c:pt>
                <c:pt idx="73">
                  <c:v>4.7513340122199708</c:v>
                </c:pt>
                <c:pt idx="74">
                  <c:v>5.9943768693918429</c:v>
                </c:pt>
                <c:pt idx="75">
                  <c:v>9.5016484607746179</c:v>
                </c:pt>
                <c:pt idx="76">
                  <c:v>3.9916947472745399</c:v>
                </c:pt>
                <c:pt idx="77">
                  <c:v>4.8835148514851596</c:v>
                </c:pt>
                <c:pt idx="78">
                  <c:v>4.5413521695257373</c:v>
                </c:pt>
                <c:pt idx="79">
                  <c:v>4.0879069767442004</c:v>
                </c:pt>
                <c:pt idx="80">
                  <c:v>4.1299502982107512</c:v>
                </c:pt>
                <c:pt idx="81">
                  <c:v>12.875445544554495</c:v>
                </c:pt>
                <c:pt idx="82">
                  <c:v>9.4283797216700123</c:v>
                </c:pt>
                <c:pt idx="83">
                  <c:v>11.408946322067635</c:v>
                </c:pt>
                <c:pt idx="84">
                  <c:v>10.029775406504129</c:v>
                </c:pt>
                <c:pt idx="85">
                  <c:v>5.568627551020441</c:v>
                </c:pt>
                <c:pt idx="86">
                  <c:v>10.313026973027007</c:v>
                </c:pt>
                <c:pt idx="87">
                  <c:v>8.0991385842472852</c:v>
                </c:pt>
                <c:pt idx="88">
                  <c:v>6.1329155069582697</c:v>
                </c:pt>
                <c:pt idx="89">
                  <c:v>7.5127063492063755</c:v>
                </c:pt>
                <c:pt idx="90">
                  <c:v>6.8762568250758704</c:v>
                </c:pt>
                <c:pt idx="91">
                  <c:v>4.207873481781391</c:v>
                </c:pt>
                <c:pt idx="92">
                  <c:v>11.791586891757717</c:v>
                </c:pt>
                <c:pt idx="93">
                  <c:v>12.169415262636321</c:v>
                </c:pt>
                <c:pt idx="94">
                  <c:v>9.1702085402184963</c:v>
                </c:pt>
                <c:pt idx="95">
                  <c:v>6.3633630069238478</c:v>
                </c:pt>
                <c:pt idx="96">
                  <c:v>12.953661971831025</c:v>
                </c:pt>
                <c:pt idx="97">
                  <c:v>3.4640160642570379</c:v>
                </c:pt>
                <c:pt idx="98">
                  <c:v>5.8616748768473101</c:v>
                </c:pt>
                <c:pt idx="99">
                  <c:v>18.700762463343182</c:v>
                </c:pt>
                <c:pt idx="100">
                  <c:v>7.7256262230920072</c:v>
                </c:pt>
                <c:pt idx="101">
                  <c:v>10.161764705882391</c:v>
                </c:pt>
                <c:pt idx="102">
                  <c:v>9.1439560439560807</c:v>
                </c:pt>
                <c:pt idx="103">
                  <c:v>8.3272055888224088</c:v>
                </c:pt>
                <c:pt idx="104">
                  <c:v>14.397058823529477</c:v>
                </c:pt>
                <c:pt idx="105">
                  <c:v>26.861519607843263</c:v>
                </c:pt>
                <c:pt idx="106">
                  <c:v>17.758880157171006</c:v>
                </c:pt>
                <c:pt idx="107">
                  <c:v>26.522938295788578</c:v>
                </c:pt>
                <c:pt idx="108">
                  <c:v>16.604761431411617</c:v>
                </c:pt>
                <c:pt idx="109">
                  <c:v>13.132534783736347</c:v>
                </c:pt>
                <c:pt idx="110">
                  <c:v>13.991828033203205</c:v>
                </c:pt>
                <c:pt idx="111">
                  <c:v>19.077745383867935</c:v>
                </c:pt>
                <c:pt idx="112">
                  <c:v>12.33751415794579</c:v>
                </c:pt>
                <c:pt idx="113">
                  <c:v>15.163959128626757</c:v>
                </c:pt>
                <c:pt idx="114">
                  <c:v>14.009277696078499</c:v>
                </c:pt>
                <c:pt idx="115">
                  <c:v>13.459358786198493</c:v>
                </c:pt>
                <c:pt idx="116">
                  <c:v>18.870881911304423</c:v>
                </c:pt>
                <c:pt idx="117">
                  <c:v>18.290885531340479</c:v>
                </c:pt>
                <c:pt idx="118">
                  <c:v>19.965916073849229</c:v>
                </c:pt>
                <c:pt idx="119">
                  <c:v>12.883057597289493</c:v>
                </c:pt>
                <c:pt idx="120">
                  <c:v>14.729929294581339</c:v>
                </c:pt>
                <c:pt idx="121">
                  <c:v>18.495858187618666</c:v>
                </c:pt>
                <c:pt idx="122">
                  <c:v>14.393598787826136</c:v>
                </c:pt>
                <c:pt idx="123">
                  <c:v>24.209105104471263</c:v>
                </c:pt>
                <c:pt idx="124">
                  <c:v>18.804153179327628</c:v>
                </c:pt>
                <c:pt idx="125">
                  <c:v>11.63442948506723</c:v>
                </c:pt>
                <c:pt idx="126">
                  <c:v>11.927599067214132</c:v>
                </c:pt>
                <c:pt idx="127">
                  <c:v>14.961463544242505</c:v>
                </c:pt>
                <c:pt idx="128">
                  <c:v>17.61111112551599</c:v>
                </c:pt>
                <c:pt idx="129">
                  <c:v>17.851014237690165</c:v>
                </c:pt>
                <c:pt idx="130">
                  <c:v>16.798115122297375</c:v>
                </c:pt>
                <c:pt idx="131">
                  <c:v>29.789616210607079</c:v>
                </c:pt>
                <c:pt idx="132">
                  <c:v>25.796558368989366</c:v>
                </c:pt>
                <c:pt idx="133">
                  <c:v>21.740642375956753</c:v>
                </c:pt>
                <c:pt idx="134">
                  <c:v>10.250820993243309</c:v>
                </c:pt>
                <c:pt idx="135">
                  <c:v>2.9388876343131756</c:v>
                </c:pt>
                <c:pt idx="136">
                  <c:v>4.8701920594605284</c:v>
                </c:pt>
                <c:pt idx="137">
                  <c:v>10.13269998313109</c:v>
                </c:pt>
                <c:pt idx="138">
                  <c:v>22.600768223705302</c:v>
                </c:pt>
                <c:pt idx="139">
                  <c:v>15.073178972829183</c:v>
                </c:pt>
                <c:pt idx="140">
                  <c:v>19.594159716689546</c:v>
                </c:pt>
                <c:pt idx="141">
                  <c:v>32.51485309667018</c:v>
                </c:pt>
                <c:pt idx="142">
                  <c:v>14.358901635159839</c:v>
                </c:pt>
                <c:pt idx="143">
                  <c:v>23.878145178357698</c:v>
                </c:pt>
                <c:pt idx="144">
                  <c:v>18.491315643430951</c:v>
                </c:pt>
                <c:pt idx="145">
                  <c:v>23.370125349902565</c:v>
                </c:pt>
                <c:pt idx="146">
                  <c:v>18.667293751813972</c:v>
                </c:pt>
                <c:pt idx="147">
                  <c:v>15.36989171611809</c:v>
                </c:pt>
                <c:pt idx="148">
                  <c:v>22.664538982143029</c:v>
                </c:pt>
                <c:pt idx="149">
                  <c:v>21.125555101853763</c:v>
                </c:pt>
                <c:pt idx="150">
                  <c:v>13.69560242918358</c:v>
                </c:pt>
                <c:pt idx="151">
                  <c:v>16.312780922991479</c:v>
                </c:pt>
                <c:pt idx="152">
                  <c:v>28.707312568836528</c:v>
                </c:pt>
                <c:pt idx="153">
                  <c:v>18.905950281613627</c:v>
                </c:pt>
                <c:pt idx="154">
                  <c:v>40.487753510512817</c:v>
                </c:pt>
                <c:pt idx="155">
                  <c:v>34.783346232439897</c:v>
                </c:pt>
                <c:pt idx="156">
                  <c:v>35.825320184888881</c:v>
                </c:pt>
                <c:pt idx="157">
                  <c:v>36.157061450892598</c:v>
                </c:pt>
                <c:pt idx="158">
                  <c:v>40.394859736064888</c:v>
                </c:pt>
                <c:pt idx="159">
                  <c:v>40.224539856634038</c:v>
                </c:pt>
                <c:pt idx="160">
                  <c:v>33.743068206779242</c:v>
                </c:pt>
                <c:pt idx="161">
                  <c:v>26.400617861490034</c:v>
                </c:pt>
                <c:pt idx="162">
                  <c:v>26.019357998342315</c:v>
                </c:pt>
                <c:pt idx="163">
                  <c:v>36.336337388462368</c:v>
                </c:pt>
                <c:pt idx="164">
                  <c:v>56.566109936756277</c:v>
                </c:pt>
                <c:pt idx="165">
                  <c:v>56.085269517833552</c:v>
                </c:pt>
                <c:pt idx="166">
                  <c:v>51.91638693501676</c:v>
                </c:pt>
                <c:pt idx="167">
                  <c:v>35.006503247266835</c:v>
                </c:pt>
                <c:pt idx="168">
                  <c:v>73.613243922883754</c:v>
                </c:pt>
                <c:pt idx="169">
                  <c:v>52.763232830820954</c:v>
                </c:pt>
                <c:pt idx="170">
                  <c:v>62.342477140482345</c:v>
                </c:pt>
                <c:pt idx="171">
                  <c:v>69.944270403957375</c:v>
                </c:pt>
                <c:pt idx="172">
                  <c:v>56.303697617091416</c:v>
                </c:pt>
                <c:pt idx="173">
                  <c:v>37.52422003284083</c:v>
                </c:pt>
                <c:pt idx="174">
                  <c:v>35.496246872393783</c:v>
                </c:pt>
                <c:pt idx="175">
                  <c:v>42.065445462115036</c:v>
                </c:pt>
                <c:pt idx="176">
                  <c:v>46.190008190008314</c:v>
                </c:pt>
                <c:pt idx="177">
                  <c:v>19.534369885433783</c:v>
                </c:pt>
                <c:pt idx="178">
                  <c:v>66.660082304526981</c:v>
                </c:pt>
                <c:pt idx="179">
                  <c:v>61.039769926047882</c:v>
                </c:pt>
                <c:pt idx="180">
                  <c:v>33.748754152824063</c:v>
                </c:pt>
                <c:pt idx="181">
                  <c:v>62.723920265781004</c:v>
                </c:pt>
                <c:pt idx="182">
                  <c:v>61.86855500821045</c:v>
                </c:pt>
                <c:pt idx="183">
                  <c:v>63.532397956691455</c:v>
                </c:pt>
                <c:pt idx="184">
                  <c:v>61.446868973757404</c:v>
                </c:pt>
                <c:pt idx="185">
                  <c:v>55.176582587469738</c:v>
                </c:pt>
                <c:pt idx="186">
                  <c:v>38.48468095238114</c:v>
                </c:pt>
                <c:pt idx="187">
                  <c:v>58.316671972672964</c:v>
                </c:pt>
                <c:pt idx="188">
                  <c:v>46.736585365853898</c:v>
                </c:pt>
                <c:pt idx="189">
                  <c:v>69.008752025932324</c:v>
                </c:pt>
                <c:pt idx="190">
                  <c:v>70.615409570154497</c:v>
                </c:pt>
                <c:pt idx="191">
                  <c:v>70.063041764951805</c:v>
                </c:pt>
                <c:pt idx="192">
                  <c:v>69.319648469796164</c:v>
                </c:pt>
                <c:pt idx="193">
                  <c:v>84.803265306122967</c:v>
                </c:pt>
                <c:pt idx="194">
                  <c:v>61.103054662379805</c:v>
                </c:pt>
                <c:pt idx="195">
                  <c:v>79.44451561249042</c:v>
                </c:pt>
                <c:pt idx="196">
                  <c:v>66.825200000000393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B0-A745-9E51-3F4225E81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9662240"/>
        <c:axId val="969663936"/>
      </c:areaChart>
      <c:dateAx>
        <c:axId val="96966224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Offset val="100"/>
        <c:baseTimeUnit val="months"/>
      </c:dateAx>
      <c:valAx>
        <c:axId val="9696639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3014641344307E-2"/>
          <c:y val="2.977203620830075E-2"/>
          <c:w val="0.94733371070942451"/>
          <c:h val="0.82556930453876498"/>
        </c:manualLayout>
      </c:layout>
      <c:areaChart>
        <c:grouping val="stacked"/>
        <c:varyColors val="0"/>
        <c:ser>
          <c:idx val="0"/>
          <c:order val="0"/>
          <c:tx>
            <c:strRef>
              <c:f>'New Summary Monthly'!$A$301</c:f>
              <c:strCache>
                <c:ptCount val="1"/>
                <c:pt idx="0">
                  <c:v>Real Inflation Adjusted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cat>
            <c:numRef>
              <c:f>'New Summary Monthly'!$B$290:$GP$290</c:f>
              <c:numCache>
                <c:formatCode>mmm\-yy</c:formatCode>
                <c:ptCount val="197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</c:numCache>
            </c:numRef>
          </c:cat>
          <c:val>
            <c:numRef>
              <c:f>'New Summary Monthly'!$B$301:$GP$301</c:f>
              <c:numCache>
                <c:formatCode>#,##0.0</c:formatCode>
                <c:ptCount val="197"/>
                <c:pt idx="0">
                  <c:v>17.323044469027497</c:v>
                </c:pt>
                <c:pt idx="1">
                  <c:v>17.467286453571479</c:v>
                </c:pt>
                <c:pt idx="2">
                  <c:v>21.969160879147847</c:v>
                </c:pt>
                <c:pt idx="3">
                  <c:v>22.483586895724599</c:v>
                </c:pt>
                <c:pt idx="4">
                  <c:v>23.884509071063789</c:v>
                </c:pt>
                <c:pt idx="5">
                  <c:v>22.508231581445365</c:v>
                </c:pt>
                <c:pt idx="6">
                  <c:v>22.250273574456582</c:v>
                </c:pt>
                <c:pt idx="7">
                  <c:v>21.382492134983728</c:v>
                </c:pt>
                <c:pt idx="8">
                  <c:v>25.287683358617514</c:v>
                </c:pt>
                <c:pt idx="9">
                  <c:v>28.422598181460682</c:v>
                </c:pt>
                <c:pt idx="10">
                  <c:v>28.776156048290414</c:v>
                </c:pt>
                <c:pt idx="11">
                  <c:v>29.950653682382303</c:v>
                </c:pt>
                <c:pt idx="12">
                  <c:v>37.840709531422263</c:v>
                </c:pt>
                <c:pt idx="13">
                  <c:v>33.731213427152319</c:v>
                </c:pt>
                <c:pt idx="14">
                  <c:v>37.527172945652168</c:v>
                </c:pt>
                <c:pt idx="15">
                  <c:v>34.796565306781481</c:v>
                </c:pt>
                <c:pt idx="16">
                  <c:v>36.175030048439176</c:v>
                </c:pt>
                <c:pt idx="17">
                  <c:v>30.981851225806452</c:v>
                </c:pt>
                <c:pt idx="18">
                  <c:v>29.850922380694133</c:v>
                </c:pt>
                <c:pt idx="19">
                  <c:v>28.72730177139761</c:v>
                </c:pt>
                <c:pt idx="20">
                  <c:v>32.750348675995689</c:v>
                </c:pt>
                <c:pt idx="21">
                  <c:v>35.25038011752136</c:v>
                </c:pt>
                <c:pt idx="22">
                  <c:v>33.759872361111107</c:v>
                </c:pt>
                <c:pt idx="23">
                  <c:v>35.472394733759316</c:v>
                </c:pt>
                <c:pt idx="24">
                  <c:v>39.936813848648654</c:v>
                </c:pt>
                <c:pt idx="25">
                  <c:v>34.181557775377968</c:v>
                </c:pt>
                <c:pt idx="26">
                  <c:v>35.44440401162791</c:v>
                </c:pt>
                <c:pt idx="27">
                  <c:v>30.533643059623436</c:v>
                </c:pt>
                <c:pt idx="28">
                  <c:v>30.843850057471258</c:v>
                </c:pt>
                <c:pt idx="29">
                  <c:v>27.625101764091863</c:v>
                </c:pt>
                <c:pt idx="30">
                  <c:v>29.511800382571735</c:v>
                </c:pt>
                <c:pt idx="31">
                  <c:v>41.896862304025419</c:v>
                </c:pt>
                <c:pt idx="32">
                  <c:v>44.497889745586718</c:v>
                </c:pt>
                <c:pt idx="33">
                  <c:v>49.139906791967043</c:v>
                </c:pt>
                <c:pt idx="34">
                  <c:v>46.744920895983526</c:v>
                </c:pt>
                <c:pt idx="35">
                  <c:v>47.845498090349075</c:v>
                </c:pt>
                <c:pt idx="36">
                  <c:v>53.627526532426785</c:v>
                </c:pt>
                <c:pt idx="37">
                  <c:v>47.570895193110644</c:v>
                </c:pt>
                <c:pt idx="38">
                  <c:v>43.952457479633388</c:v>
                </c:pt>
                <c:pt idx="39">
                  <c:v>42.433084328960639</c:v>
                </c:pt>
                <c:pt idx="40">
                  <c:v>41.736189101917248</c:v>
                </c:pt>
                <c:pt idx="41">
                  <c:v>36.963502703927489</c:v>
                </c:pt>
                <c:pt idx="42">
                  <c:v>36.868551056410254</c:v>
                </c:pt>
                <c:pt idx="43">
                  <c:v>33.635529615778687</c:v>
                </c:pt>
                <c:pt idx="44">
                  <c:v>40.854206079317272</c:v>
                </c:pt>
                <c:pt idx="45">
                  <c:v>40.09151334168336</c:v>
                </c:pt>
                <c:pt idx="46">
                  <c:v>39.58604679216868</c:v>
                </c:pt>
                <c:pt idx="47">
                  <c:v>43.570088083083078</c:v>
                </c:pt>
                <c:pt idx="48">
                  <c:v>44.475740551583243</c:v>
                </c:pt>
                <c:pt idx="49">
                  <c:v>39.445957011258955</c:v>
                </c:pt>
                <c:pt idx="50">
                  <c:v>38.082250000000002</c:v>
                </c:pt>
                <c:pt idx="51">
                  <c:v>36.772632103688935</c:v>
                </c:pt>
                <c:pt idx="52">
                  <c:v>37.388334995014965</c:v>
                </c:pt>
                <c:pt idx="53">
                  <c:v>33.920945273631844</c:v>
                </c:pt>
                <c:pt idx="54">
                  <c:v>33.922948328267474</c:v>
                </c:pt>
                <c:pt idx="55">
                  <c:v>32.091236068895647</c:v>
                </c:pt>
                <c:pt idx="56">
                  <c:v>37.990746268656721</c:v>
                </c:pt>
                <c:pt idx="57">
                  <c:v>38.159950248756211</c:v>
                </c:pt>
                <c:pt idx="58">
                  <c:v>37.068363273453095</c:v>
                </c:pt>
                <c:pt idx="59">
                  <c:v>45.159651741293537</c:v>
                </c:pt>
                <c:pt idx="60">
                  <c:v>40.324974619289335</c:v>
                </c:pt>
                <c:pt idx="61">
                  <c:v>35.772629969418958</c:v>
                </c:pt>
                <c:pt idx="62">
                  <c:v>35.273529411764706</c:v>
                </c:pt>
                <c:pt idx="63">
                  <c:v>33.695684523809518</c:v>
                </c:pt>
                <c:pt idx="64">
                  <c:v>34.377954319761656</c:v>
                </c:pt>
                <c:pt idx="65">
                  <c:v>31.591369047619043</c:v>
                </c:pt>
                <c:pt idx="66">
                  <c:v>31.864539007092194</c:v>
                </c:pt>
                <c:pt idx="67">
                  <c:v>30.825760649087211</c:v>
                </c:pt>
                <c:pt idx="68">
                  <c:v>35.532569721115522</c:v>
                </c:pt>
                <c:pt idx="69">
                  <c:v>35.782224428997012</c:v>
                </c:pt>
                <c:pt idx="70">
                  <c:v>34.286069651741279</c:v>
                </c:pt>
                <c:pt idx="71">
                  <c:v>42.719552238805953</c:v>
                </c:pt>
                <c:pt idx="72">
                  <c:v>42.192857142857129</c:v>
                </c:pt>
                <c:pt idx="73">
                  <c:v>37.13976578411404</c:v>
                </c:pt>
                <c:pt idx="74">
                  <c:v>37.673878364905271</c:v>
                </c:pt>
                <c:pt idx="75">
                  <c:v>35.826663356504454</c:v>
                </c:pt>
                <c:pt idx="76">
                  <c:v>36.474132804757168</c:v>
                </c:pt>
                <c:pt idx="77">
                  <c:v>34.16064356435642</c:v>
                </c:pt>
                <c:pt idx="78">
                  <c:v>34.689152371342068</c:v>
                </c:pt>
                <c:pt idx="79">
                  <c:v>34.189180990899885</c:v>
                </c:pt>
                <c:pt idx="80">
                  <c:v>38.380019880715693</c:v>
                </c:pt>
                <c:pt idx="81">
                  <c:v>38.866039603960381</c:v>
                </c:pt>
                <c:pt idx="82">
                  <c:v>37.570427435387657</c:v>
                </c:pt>
                <c:pt idx="83">
                  <c:v>46.644980119284277</c:v>
                </c:pt>
                <c:pt idx="84">
                  <c:v>49.979928861788586</c:v>
                </c:pt>
                <c:pt idx="85">
                  <c:v>44.183775510204057</c:v>
                </c:pt>
                <c:pt idx="86">
                  <c:v>45.563636363636341</c:v>
                </c:pt>
                <c:pt idx="87">
                  <c:v>43.054586241276155</c:v>
                </c:pt>
                <c:pt idx="88">
                  <c:v>43.379920477137169</c:v>
                </c:pt>
                <c:pt idx="89">
                  <c:v>41.109623015872998</c:v>
                </c:pt>
                <c:pt idx="90">
                  <c:v>42.125631951466112</c:v>
                </c:pt>
                <c:pt idx="91">
                  <c:v>42.104858299595122</c:v>
                </c:pt>
                <c:pt idx="92">
                  <c:v>45.843197616683199</c:v>
                </c:pt>
                <c:pt idx="93">
                  <c:v>46.657086223984123</c:v>
                </c:pt>
                <c:pt idx="94">
                  <c:v>45.141062562065521</c:v>
                </c:pt>
                <c:pt idx="95">
                  <c:v>54.408209693372889</c:v>
                </c:pt>
                <c:pt idx="96">
                  <c:v>58.427112676056318</c:v>
                </c:pt>
                <c:pt idx="97">
                  <c:v>51.103062248995968</c:v>
                </c:pt>
                <c:pt idx="98">
                  <c:v>56.116059113300466</c:v>
                </c:pt>
                <c:pt idx="99">
                  <c:v>52.256451612903199</c:v>
                </c:pt>
                <c:pt idx="100">
                  <c:v>53.297162426614456</c:v>
                </c:pt>
                <c:pt idx="101">
                  <c:v>49.075833333333307</c:v>
                </c:pt>
                <c:pt idx="102">
                  <c:v>51.411088911088882</c:v>
                </c:pt>
                <c:pt idx="103">
                  <c:v>51.690269461077811</c:v>
                </c:pt>
                <c:pt idx="104">
                  <c:v>57.209803921568593</c:v>
                </c:pt>
                <c:pt idx="105">
                  <c:v>59.034901960784275</c:v>
                </c:pt>
                <c:pt idx="106">
                  <c:v>55.845186640471475</c:v>
                </c:pt>
                <c:pt idx="107">
                  <c:v>65.463858961802117</c:v>
                </c:pt>
                <c:pt idx="108">
                  <c:v>69.482604373757397</c:v>
                </c:pt>
                <c:pt idx="109">
                  <c:v>63.424622616233734</c:v>
                </c:pt>
                <c:pt idx="110">
                  <c:v>67.919100112304633</c:v>
                </c:pt>
                <c:pt idx="111">
                  <c:v>62.942669044460594</c:v>
                </c:pt>
                <c:pt idx="112">
                  <c:v>62.091806191860421</c:v>
                </c:pt>
                <c:pt idx="113">
                  <c:v>59.326524709574421</c:v>
                </c:pt>
                <c:pt idx="114">
                  <c:v>60.586235294117607</c:v>
                </c:pt>
                <c:pt idx="115">
                  <c:v>60.813002389489156</c:v>
                </c:pt>
                <c:pt idx="116">
                  <c:v>62.408260223284984</c:v>
                </c:pt>
                <c:pt idx="117">
                  <c:v>68.791519344262255</c:v>
                </c:pt>
                <c:pt idx="118">
                  <c:v>62.456437631576357</c:v>
                </c:pt>
                <c:pt idx="119">
                  <c:v>75.039489332042564</c:v>
                </c:pt>
                <c:pt idx="120">
                  <c:v>79.59328794336156</c:v>
                </c:pt>
                <c:pt idx="121">
                  <c:v>67.517559272986219</c:v>
                </c:pt>
                <c:pt idx="122">
                  <c:v>76.434084235921347</c:v>
                </c:pt>
                <c:pt idx="123">
                  <c:v>70.869168430013133</c:v>
                </c:pt>
                <c:pt idx="124">
                  <c:v>72.425427273627918</c:v>
                </c:pt>
                <c:pt idx="125">
                  <c:v>64.428126300786232</c:v>
                </c:pt>
                <c:pt idx="126">
                  <c:v>67.350132426948207</c:v>
                </c:pt>
                <c:pt idx="127">
                  <c:v>69.804047289960636</c:v>
                </c:pt>
                <c:pt idx="128">
                  <c:v>73.964465387449692</c:v>
                </c:pt>
                <c:pt idx="129">
                  <c:v>68.612338047062195</c:v>
                </c:pt>
                <c:pt idx="130">
                  <c:v>74.54066467400942</c:v>
                </c:pt>
                <c:pt idx="131">
                  <c:v>87.652839601073609</c:v>
                </c:pt>
                <c:pt idx="132">
                  <c:v>86.978763482075323</c:v>
                </c:pt>
                <c:pt idx="133">
                  <c:v>82.589485817625373</c:v>
                </c:pt>
                <c:pt idx="134">
                  <c:v>108.13343404218337</c:v>
                </c:pt>
                <c:pt idx="135">
                  <c:v>117.0158559946658</c:v>
                </c:pt>
                <c:pt idx="136">
                  <c:v>115.69853100924756</c:v>
                </c:pt>
                <c:pt idx="137">
                  <c:v>101.45549119634767</c:v>
                </c:pt>
                <c:pt idx="138">
                  <c:v>93.877419453651143</c:v>
                </c:pt>
                <c:pt idx="139">
                  <c:v>96.76283331677314</c:v>
                </c:pt>
                <c:pt idx="140">
                  <c:v>94.679002585879076</c:v>
                </c:pt>
                <c:pt idx="141">
                  <c:v>104.8939269397757</c:v>
                </c:pt>
                <c:pt idx="142">
                  <c:v>128.09512347383875</c:v>
                </c:pt>
                <c:pt idx="143">
                  <c:v>157.27044091706929</c:v>
                </c:pt>
                <c:pt idx="144">
                  <c:v>167.74870401268979</c:v>
                </c:pt>
                <c:pt idx="145">
                  <c:v>144.78874500429191</c:v>
                </c:pt>
                <c:pt idx="146">
                  <c:v>157.34158116421278</c:v>
                </c:pt>
                <c:pt idx="147">
                  <c:v>157.16950947237848</c:v>
                </c:pt>
                <c:pt idx="148">
                  <c:v>149.12017394141884</c:v>
                </c:pt>
                <c:pt idx="149">
                  <c:v>127.5607137774951</c:v>
                </c:pt>
                <c:pt idx="150">
                  <c:v>123.83164127583078</c:v>
                </c:pt>
                <c:pt idx="151">
                  <c:v>129.03202801227218</c:v>
                </c:pt>
                <c:pt idx="152">
                  <c:v>133.25516610730827</c:v>
                </c:pt>
                <c:pt idx="153">
                  <c:v>140.89185149330655</c:v>
                </c:pt>
                <c:pt idx="154">
                  <c:v>133.66994983187774</c:v>
                </c:pt>
                <c:pt idx="155">
                  <c:v>155.19840953193392</c:v>
                </c:pt>
                <c:pt idx="156">
                  <c:v>162.99024038689222</c:v>
                </c:pt>
                <c:pt idx="157">
                  <c:v>137.28299404491241</c:v>
                </c:pt>
                <c:pt idx="158">
                  <c:v>144.71782674389468</c:v>
                </c:pt>
                <c:pt idx="159">
                  <c:v>141.55145868575633</c:v>
                </c:pt>
                <c:pt idx="160">
                  <c:v>143.42220374733344</c:v>
                </c:pt>
                <c:pt idx="161">
                  <c:v>132.53954197428561</c:v>
                </c:pt>
                <c:pt idx="162">
                  <c:v>141.02583696169307</c:v>
                </c:pt>
                <c:pt idx="163">
                  <c:v>148.72644048686274</c:v>
                </c:pt>
                <c:pt idx="164">
                  <c:v>142.02123120012527</c:v>
                </c:pt>
                <c:pt idx="165">
                  <c:v>148.47966360758318</c:v>
                </c:pt>
                <c:pt idx="166">
                  <c:v>145.3302415403972</c:v>
                </c:pt>
                <c:pt idx="167">
                  <c:v>169.45006366651506</c:v>
                </c:pt>
                <c:pt idx="168">
                  <c:v>172.85273652229648</c:v>
                </c:pt>
                <c:pt idx="169">
                  <c:v>149.54981591619318</c:v>
                </c:pt>
                <c:pt idx="170">
                  <c:v>161.66541978387346</c:v>
                </c:pt>
                <c:pt idx="171">
                  <c:v>156.22437948759256</c:v>
                </c:pt>
                <c:pt idx="172">
                  <c:v>155.0282990995068</c:v>
                </c:pt>
                <c:pt idx="173">
                  <c:v>142.10314250094399</c:v>
                </c:pt>
                <c:pt idx="174">
                  <c:v>150.08389538878214</c:v>
                </c:pt>
                <c:pt idx="175">
                  <c:v>157.94258741790159</c:v>
                </c:pt>
                <c:pt idx="176">
                  <c:v>158.32064774393925</c:v>
                </c:pt>
                <c:pt idx="177">
                  <c:v>168.81955810147278</c:v>
                </c:pt>
                <c:pt idx="178">
                  <c:v>169.47827724115206</c:v>
                </c:pt>
                <c:pt idx="179">
                  <c:v>188.91876874605563</c:v>
                </c:pt>
                <c:pt idx="180">
                  <c:v>194.19236509318907</c:v>
                </c:pt>
                <c:pt idx="181">
                  <c:v>175.77665981926884</c:v>
                </c:pt>
                <c:pt idx="182">
                  <c:v>181.23476150574686</c:v>
                </c:pt>
                <c:pt idx="183">
                  <c:v>171.27470524771212</c:v>
                </c:pt>
                <c:pt idx="184">
                  <c:v>176.01769952000785</c:v>
                </c:pt>
                <c:pt idx="185">
                  <c:v>170.19368259361241</c:v>
                </c:pt>
                <c:pt idx="186">
                  <c:v>180.58802937676489</c:v>
                </c:pt>
                <c:pt idx="187">
                  <c:v>181.01824539510656</c:v>
                </c:pt>
                <c:pt idx="188">
                  <c:v>189.67993438890204</c:v>
                </c:pt>
                <c:pt idx="189">
                  <c:v>197.33939132175809</c:v>
                </c:pt>
                <c:pt idx="190">
                  <c:v>186.14075813150811</c:v>
                </c:pt>
                <c:pt idx="191">
                  <c:v>221.38345401884069</c:v>
                </c:pt>
                <c:pt idx="192">
                  <c:v>219.06575425008123</c:v>
                </c:pt>
                <c:pt idx="193">
                  <c:v>191.03399954816283</c:v>
                </c:pt>
                <c:pt idx="194">
                  <c:v>204.96137413388215</c:v>
                </c:pt>
                <c:pt idx="195">
                  <c:v>193.62323994451521</c:v>
                </c:pt>
                <c:pt idx="196">
                  <c:v>195.48111897443957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5-5245-AC46-7F6156AEC7D8}"/>
            </c:ext>
          </c:extLst>
        </c:ser>
        <c:ser>
          <c:idx val="1"/>
          <c:order val="1"/>
          <c:tx>
            <c:strRef>
              <c:f>'New Summary Monthly'!$A$292</c:f>
              <c:strCache>
                <c:ptCount val="1"/>
                <c:pt idx="0">
                  <c:v>Inflation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'New Summary Monthly'!$B$290:$GP$290</c:f>
              <c:numCache>
                <c:formatCode>mmm\-yy</c:formatCode>
                <c:ptCount val="197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</c:numCache>
            </c:numRef>
          </c:cat>
          <c:val>
            <c:numRef>
              <c:f>'New Summary Monthly'!$B$302:$GP$302</c:f>
              <c:numCache>
                <c:formatCode>#,##0.0</c:formatCode>
                <c:ptCount val="197"/>
                <c:pt idx="0">
                  <c:v>0</c:v>
                </c:pt>
                <c:pt idx="1">
                  <c:v>3.9033042354351011E-2</c:v>
                </c:pt>
                <c:pt idx="2">
                  <c:v>0.29455858161986015</c:v>
                </c:pt>
                <c:pt idx="3">
                  <c:v>0.45218387052853615</c:v>
                </c:pt>
                <c:pt idx="4">
                  <c:v>0.53373204628075399</c:v>
                </c:pt>
                <c:pt idx="5">
                  <c:v>0.55327496624781958</c:v>
                </c:pt>
                <c:pt idx="6">
                  <c:v>0.27346704951845879</c:v>
                </c:pt>
                <c:pt idx="7">
                  <c:v>0.31058368464221786</c:v>
                </c:pt>
                <c:pt idx="8">
                  <c:v>0.53683350146786069</c:v>
                </c:pt>
                <c:pt idx="9">
                  <c:v>0.7304131376241294</c:v>
                </c:pt>
                <c:pt idx="10">
                  <c:v>0.77165111190946689</c:v>
                </c:pt>
                <c:pt idx="11">
                  <c:v>0.83661043805537361</c:v>
                </c:pt>
                <c:pt idx="12">
                  <c:v>0.50736146857773434</c:v>
                </c:pt>
                <c:pt idx="13">
                  <c:v>0.41457357284767937</c:v>
                </c:pt>
                <c:pt idx="14">
                  <c:v>1.0482450543478308</c:v>
                </c:pt>
                <c:pt idx="15">
                  <c:v>1.3218806932185174</c:v>
                </c:pt>
                <c:pt idx="16">
                  <c:v>1.3742469515608207</c:v>
                </c:pt>
                <c:pt idx="17">
                  <c:v>1.2115807741935498</c:v>
                </c:pt>
                <c:pt idx="18">
                  <c:v>0.90053061930586509</c:v>
                </c:pt>
                <c:pt idx="19">
                  <c:v>0.89873122860239008</c:v>
                </c:pt>
                <c:pt idx="20">
                  <c:v>1.2441473240043095</c:v>
                </c:pt>
                <c:pt idx="21">
                  <c:v>1.6148218824786369</c:v>
                </c:pt>
                <c:pt idx="22">
                  <c:v>1.5465416388888897</c:v>
                </c:pt>
                <c:pt idx="23">
                  <c:v>1.7438942662406873</c:v>
                </c:pt>
                <c:pt idx="24">
                  <c:v>1.3386641513513453</c:v>
                </c:pt>
                <c:pt idx="25">
                  <c:v>1.1839422246220295</c:v>
                </c:pt>
                <c:pt idx="26">
                  <c:v>2.0197369883720881</c:v>
                </c:pt>
                <c:pt idx="27">
                  <c:v>2.0810639403765663</c:v>
                </c:pt>
                <c:pt idx="28">
                  <c:v>2.1366689425287433</c:v>
                </c:pt>
                <c:pt idx="29">
                  <c:v>1.9445602359081384</c:v>
                </c:pt>
                <c:pt idx="30">
                  <c:v>1.5168076174282632</c:v>
                </c:pt>
                <c:pt idx="31">
                  <c:v>2.2937946959745759</c:v>
                </c:pt>
                <c:pt idx="32">
                  <c:v>3.3808452544132876</c:v>
                </c:pt>
                <c:pt idx="33">
                  <c:v>4.1727742080329548</c:v>
                </c:pt>
                <c:pt idx="34">
                  <c:v>3.9694011040164767</c:v>
                </c:pt>
                <c:pt idx="35">
                  <c:v>4.2232339096509293</c:v>
                </c:pt>
                <c:pt idx="36">
                  <c:v>3.6550604675732217</c:v>
                </c:pt>
                <c:pt idx="37">
                  <c:v>3.3485658068893542</c:v>
                </c:pt>
                <c:pt idx="38">
                  <c:v>4.27247352036661</c:v>
                </c:pt>
                <c:pt idx="39">
                  <c:v>4.5514816710393617</c:v>
                </c:pt>
                <c:pt idx="40">
                  <c:v>4.4767308980827494</c:v>
                </c:pt>
                <c:pt idx="41">
                  <c:v>4.0474002960725102</c:v>
                </c:pt>
                <c:pt idx="42">
                  <c:v>3.2955129435897419</c:v>
                </c:pt>
                <c:pt idx="43">
                  <c:v>3.0441093842213149</c:v>
                </c:pt>
                <c:pt idx="44">
                  <c:v>4.610362920682725</c:v>
                </c:pt>
                <c:pt idx="45">
                  <c:v>4.613883658316638</c:v>
                </c:pt>
                <c:pt idx="46">
                  <c:v>4.4672522078313222</c:v>
                </c:pt>
                <c:pt idx="47">
                  <c:v>5.0628929169169226</c:v>
                </c:pt>
                <c:pt idx="48">
                  <c:v>4.1742594484167554</c:v>
                </c:pt>
                <c:pt idx="49">
                  <c:v>3.6140429887410477</c:v>
                </c:pt>
                <c:pt idx="50">
                  <c:v>4.4677499999999952</c:v>
                </c:pt>
                <c:pt idx="51">
                  <c:v>4.4373678963110663</c:v>
                </c:pt>
                <c:pt idx="52">
                  <c:v>4.5116650049850406</c:v>
                </c:pt>
                <c:pt idx="53">
                  <c:v>4.1690547263681594</c:v>
                </c:pt>
                <c:pt idx="54">
                  <c:v>3.4870516717325231</c:v>
                </c:pt>
                <c:pt idx="55">
                  <c:v>3.2987639311043537</c:v>
                </c:pt>
                <c:pt idx="56">
                  <c:v>4.6692537313432751</c:v>
                </c:pt>
                <c:pt idx="57">
                  <c:v>4.6900497512437838</c:v>
                </c:pt>
                <c:pt idx="58">
                  <c:v>4.4316367265469054</c:v>
                </c:pt>
                <c:pt idx="59">
                  <c:v>5.5503482587064639</c:v>
                </c:pt>
                <c:pt idx="60">
                  <c:v>4.05502538071066</c:v>
                </c:pt>
                <c:pt idx="61">
                  <c:v>3.4373700305810431</c:v>
                </c:pt>
                <c:pt idx="62">
                  <c:v>4.2564705882352953</c:v>
                </c:pt>
                <c:pt idx="63">
                  <c:v>4.2543154761904844</c:v>
                </c:pt>
                <c:pt idx="64">
                  <c:v>4.3020456802383436</c:v>
                </c:pt>
                <c:pt idx="65">
                  <c:v>3.9886309523809551</c:v>
                </c:pt>
                <c:pt idx="66">
                  <c:v>3.2754609929078065</c:v>
                </c:pt>
                <c:pt idx="67">
                  <c:v>3.1342393509127824</c:v>
                </c:pt>
                <c:pt idx="68">
                  <c:v>4.3274302788844778</c:v>
                </c:pt>
                <c:pt idx="69">
                  <c:v>4.4777755710029865</c:v>
                </c:pt>
                <c:pt idx="70">
                  <c:v>4.2139303482587209</c:v>
                </c:pt>
                <c:pt idx="71">
                  <c:v>5.2504477611940459</c:v>
                </c:pt>
                <c:pt idx="72">
                  <c:v>4.007142857142874</c:v>
                </c:pt>
                <c:pt idx="73">
                  <c:v>3.6102342158859599</c:v>
                </c:pt>
                <c:pt idx="74">
                  <c:v>4.5461216350947282</c:v>
                </c:pt>
                <c:pt idx="75">
                  <c:v>4.4833366434955479</c:v>
                </c:pt>
                <c:pt idx="76">
                  <c:v>4.645867195242829</c:v>
                </c:pt>
                <c:pt idx="77">
                  <c:v>4.3893564356435775</c:v>
                </c:pt>
                <c:pt idx="78">
                  <c:v>3.7208476286579284</c:v>
                </c:pt>
                <c:pt idx="79">
                  <c:v>3.590819009100116</c:v>
                </c:pt>
                <c:pt idx="80">
                  <c:v>4.7599801192843074</c:v>
                </c:pt>
                <c:pt idx="81">
                  <c:v>4.9939603960396184</c:v>
                </c:pt>
                <c:pt idx="82">
                  <c:v>4.6595725646123469</c:v>
                </c:pt>
                <c:pt idx="83">
                  <c:v>5.7850198807157227</c:v>
                </c:pt>
                <c:pt idx="84">
                  <c:v>4.9700711382114164</c:v>
                </c:pt>
                <c:pt idx="85">
                  <c:v>4.196224489795938</c:v>
                </c:pt>
                <c:pt idx="86">
                  <c:v>5.3963636363636596</c:v>
                </c:pt>
                <c:pt idx="87">
                  <c:v>5.1954137587238449</c:v>
                </c:pt>
                <c:pt idx="88">
                  <c:v>5.380079522862836</c:v>
                </c:pt>
                <c:pt idx="89">
                  <c:v>5.1903769841269991</c:v>
                </c:pt>
                <c:pt idx="90">
                  <c:v>4.4243680485338857</c:v>
                </c:pt>
                <c:pt idx="91">
                  <c:v>4.3751417004048747</c:v>
                </c:pt>
                <c:pt idx="92">
                  <c:v>5.7368023833167996</c:v>
                </c:pt>
                <c:pt idx="93">
                  <c:v>5.9429137760158781</c:v>
                </c:pt>
                <c:pt idx="94">
                  <c:v>5.648937437934471</c:v>
                </c:pt>
                <c:pt idx="95">
                  <c:v>7.0517903066271117</c:v>
                </c:pt>
                <c:pt idx="96">
                  <c:v>6.4628873239436828</c:v>
                </c:pt>
                <c:pt idx="97">
                  <c:v>5.7669377510040363</c:v>
                </c:pt>
                <c:pt idx="98">
                  <c:v>7.5239408866995348</c:v>
                </c:pt>
                <c:pt idx="99">
                  <c:v>7.4735483870967983</c:v>
                </c:pt>
                <c:pt idx="100">
                  <c:v>7.5628375733855435</c:v>
                </c:pt>
                <c:pt idx="101">
                  <c:v>6.8541666666666927</c:v>
                </c:pt>
                <c:pt idx="102">
                  <c:v>6.088911088911118</c:v>
                </c:pt>
                <c:pt idx="103">
                  <c:v>6.1797305389221862</c:v>
                </c:pt>
                <c:pt idx="104">
                  <c:v>7.9901960784314099</c:v>
                </c:pt>
                <c:pt idx="105">
                  <c:v>8.2450980392157263</c:v>
                </c:pt>
                <c:pt idx="106">
                  <c:v>7.6748133595285282</c:v>
                </c:pt>
                <c:pt idx="107">
                  <c:v>9.2161410381978897</c:v>
                </c:pt>
                <c:pt idx="108">
                  <c:v>8.6173956262425975</c:v>
                </c:pt>
                <c:pt idx="109">
                  <c:v>7.511743013766278</c:v>
                </c:pt>
                <c:pt idx="110">
                  <c:v>9.7894568876953656</c:v>
                </c:pt>
                <c:pt idx="111">
                  <c:v>9.4238186055394024</c:v>
                </c:pt>
                <c:pt idx="112">
                  <c:v>9.5045558081395782</c:v>
                </c:pt>
                <c:pt idx="113">
                  <c:v>9.2138401504255754</c:v>
                </c:pt>
                <c:pt idx="114">
                  <c:v>8.4617647058823948</c:v>
                </c:pt>
                <c:pt idx="115">
                  <c:v>8.3575411105108515</c:v>
                </c:pt>
                <c:pt idx="116">
                  <c:v>9.7621859567150153</c:v>
                </c:pt>
                <c:pt idx="117">
                  <c:v>10.914408655737745</c:v>
                </c:pt>
                <c:pt idx="118">
                  <c:v>9.699938358423644</c:v>
                </c:pt>
                <c:pt idx="119">
                  <c:v>11.570334667957439</c:v>
                </c:pt>
                <c:pt idx="120">
                  <c:v>10.671725757769195</c:v>
                </c:pt>
                <c:pt idx="121">
                  <c:v>8.8263178044015973</c:v>
                </c:pt>
                <c:pt idx="122">
                  <c:v>11.956169601149753</c:v>
                </c:pt>
                <c:pt idx="123">
                  <c:v>11.481597119946315</c:v>
                </c:pt>
                <c:pt idx="124">
                  <c:v>11.814650706089068</c:v>
                </c:pt>
                <c:pt idx="125">
                  <c:v>10.582049794654324</c:v>
                </c:pt>
                <c:pt idx="126">
                  <c:v>9.6321977102228118</c:v>
                </c:pt>
                <c:pt idx="127">
                  <c:v>9.9831486626983406</c:v>
                </c:pt>
                <c:pt idx="128">
                  <c:v>11.735144229070301</c:v>
                </c:pt>
                <c:pt idx="129">
                  <c:v>11.039303551706169</c:v>
                </c:pt>
                <c:pt idx="130">
                  <c:v>11.743277898363559</c:v>
                </c:pt>
                <c:pt idx="131">
                  <c:v>14.004867109445371</c:v>
                </c:pt>
                <c:pt idx="132">
                  <c:v>12.050689018745715</c:v>
                </c:pt>
                <c:pt idx="133">
                  <c:v>10.981171857315644</c:v>
                </c:pt>
                <c:pt idx="134">
                  <c:v>17.035546592120625</c:v>
                </c:pt>
                <c:pt idx="135">
                  <c:v>19.08862008404617</c:v>
                </c:pt>
                <c:pt idx="136">
                  <c:v>18.485910541142474</c:v>
                </c:pt>
                <c:pt idx="137">
                  <c:v>16.210206973271312</c:v>
                </c:pt>
                <c:pt idx="138">
                  <c:v>14.265172118096814</c:v>
                </c:pt>
                <c:pt idx="139">
                  <c:v>13.298132399958888</c:v>
                </c:pt>
                <c:pt idx="140">
                  <c:v>13.963830548978947</c:v>
                </c:pt>
                <c:pt idx="141">
                  <c:v>16.173588734848266</c:v>
                </c:pt>
                <c:pt idx="142">
                  <c:v>19.750979932279222</c:v>
                </c:pt>
                <c:pt idx="143">
                  <c:v>24.600962825016637</c:v>
                </c:pt>
                <c:pt idx="144">
                  <c:v>24.553162263310156</c:v>
                </c:pt>
                <c:pt idx="145">
                  <c:v>20.8689922967082</c:v>
                </c:pt>
                <c:pt idx="146">
                  <c:v>25.842695453787144</c:v>
                </c:pt>
                <c:pt idx="147">
                  <c:v>27.394908913621492</c:v>
                </c:pt>
                <c:pt idx="148">
                  <c:v>25.825281520581143</c:v>
                </c:pt>
                <c:pt idx="149">
                  <c:v>22.376572137504922</c:v>
                </c:pt>
                <c:pt idx="150">
                  <c:v>20.200468856169209</c:v>
                </c:pt>
                <c:pt idx="151">
                  <c:v>21.337139827727867</c:v>
                </c:pt>
                <c:pt idx="152">
                  <c:v>24.119929507691751</c:v>
                </c:pt>
                <c:pt idx="153">
                  <c:v>26.919001793693411</c:v>
                </c:pt>
                <c:pt idx="154">
                  <c:v>26.584638067122256</c:v>
                </c:pt>
                <c:pt idx="155">
                  <c:v>31.733306083066026</c:v>
                </c:pt>
                <c:pt idx="156">
                  <c:v>33.326496079107812</c:v>
                </c:pt>
                <c:pt idx="157">
                  <c:v>29.450653471087577</c:v>
                </c:pt>
                <c:pt idx="158">
                  <c:v>35.249705285105279</c:v>
                </c:pt>
                <c:pt idx="159">
                  <c:v>35.111088076243703</c:v>
                </c:pt>
                <c:pt idx="160">
                  <c:v>37.17759918366653</c:v>
                </c:pt>
                <c:pt idx="161">
                  <c:v>36.429862933714446</c:v>
                </c:pt>
                <c:pt idx="162">
                  <c:v>36.713988840306911</c:v>
                </c:pt>
                <c:pt idx="163">
                  <c:v>40.380474903137241</c:v>
                </c:pt>
                <c:pt idx="164">
                  <c:v>41.416247310874724</c:v>
                </c:pt>
                <c:pt idx="165">
                  <c:v>50.599214972416888</c:v>
                </c:pt>
                <c:pt idx="166">
                  <c:v>50.82498949960285</c:v>
                </c:pt>
                <c:pt idx="167">
                  <c:v>59.82817890348494</c:v>
                </c:pt>
                <c:pt idx="168">
                  <c:v>57.553201657703511</c:v>
                </c:pt>
                <c:pt idx="169">
                  <c:v>49.961335149655866</c:v>
                </c:pt>
                <c:pt idx="170">
                  <c:v>55.634580216126551</c:v>
                </c:pt>
                <c:pt idx="171">
                  <c:v>55.507656622407438</c:v>
                </c:pt>
                <c:pt idx="172">
                  <c:v>55.77554448049321</c:v>
                </c:pt>
                <c:pt idx="173">
                  <c:v>51.284150869055992</c:v>
                </c:pt>
                <c:pt idx="174">
                  <c:v>50.978216981217855</c:v>
                </c:pt>
                <c:pt idx="175">
                  <c:v>54.000482402098413</c:v>
                </c:pt>
                <c:pt idx="176">
                  <c:v>57.667632586060762</c:v>
                </c:pt>
                <c:pt idx="177">
                  <c:v>61.680441898527221</c:v>
                </c:pt>
                <c:pt idx="178">
                  <c:v>60.595585158847939</c:v>
                </c:pt>
                <c:pt idx="179">
                  <c:v>67.968540263944391</c:v>
                </c:pt>
                <c:pt idx="180">
                  <c:v>67.045185266810932</c:v>
                </c:pt>
                <c:pt idx="181">
                  <c:v>60.687137300731166</c:v>
                </c:pt>
                <c:pt idx="182">
                  <c:v>65.40651169425314</c:v>
                </c:pt>
                <c:pt idx="183">
                  <c:v>62.960198912287865</c:v>
                </c:pt>
                <c:pt idx="184">
                  <c:v>65.293716469992148</c:v>
                </c:pt>
                <c:pt idx="185">
                  <c:v>63.513620096387598</c:v>
                </c:pt>
                <c:pt idx="186">
                  <c:v>65.173110043235113</c:v>
                </c:pt>
                <c:pt idx="187">
                  <c:v>64.923862314893427</c:v>
                </c:pt>
                <c:pt idx="188">
                  <c:v>70.997517341097932</c:v>
                </c:pt>
                <c:pt idx="189">
                  <c:v>74.746428668241919</c:v>
                </c:pt>
                <c:pt idx="190">
                  <c:v>70.296733238491868</c:v>
                </c:pt>
                <c:pt idx="191">
                  <c:v>83.853621131159315</c:v>
                </c:pt>
                <c:pt idx="192">
                  <c:v>80.528081729918767</c:v>
                </c:pt>
                <c:pt idx="193">
                  <c:v>70.437117151837157</c:v>
                </c:pt>
                <c:pt idx="194">
                  <c:v>79.923485556117839</c:v>
                </c:pt>
                <c:pt idx="195">
                  <c:v>76.5839407154848</c:v>
                </c:pt>
                <c:pt idx="196">
                  <c:v>77.537203615560458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A5-5245-AC46-7F6156AEC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9662240"/>
        <c:axId val="969663936"/>
      </c:areaChart>
      <c:dateAx>
        <c:axId val="96966224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Offset val="100"/>
        <c:baseTimeUnit val="months"/>
      </c:dateAx>
      <c:valAx>
        <c:axId val="969663936"/>
        <c:scaling>
          <c:orientation val="minMax"/>
          <c:max val="3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185905155520718E-2"/>
          <c:y val="2.2891917205449492E-2"/>
          <c:w val="0.94599522570990857"/>
          <c:h val="0.85075566539600878"/>
        </c:manualLayout>
      </c:layout>
      <c:areaChart>
        <c:grouping val="stacked"/>
        <c:varyColors val="0"/>
        <c:ser>
          <c:idx val="0"/>
          <c:order val="0"/>
          <c:tx>
            <c:strRef>
              <c:f>'New Summary Monthly'!$U$56</c:f>
              <c:strCache>
                <c:ptCount val="1"/>
                <c:pt idx="0">
                  <c:v>Betting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cat>
            <c:numRef>
              <c:f>'New Summary Monthly'!$B$12:$GP$12</c:f>
              <c:numCache>
                <c:formatCode>mmm\-yy</c:formatCode>
                <c:ptCount val="197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</c:numCache>
            </c:numRef>
          </c:cat>
          <c:val>
            <c:numRef>
              <c:f>'New Summary Monthly'!$B$25:$GP$25</c:f>
              <c:numCache>
                <c:formatCode>#,##0.0</c:formatCode>
                <c:ptCount val="197"/>
                <c:pt idx="0">
                  <c:v>101.59402799999999</c:v>
                </c:pt>
                <c:pt idx="1">
                  <c:v>156.21499999999997</c:v>
                </c:pt>
                <c:pt idx="2">
                  <c:v>109.24380000000002</c:v>
                </c:pt>
                <c:pt idx="3">
                  <c:v>73.48439999999998</c:v>
                </c:pt>
                <c:pt idx="4">
                  <c:v>57.749999999999979</c:v>
                </c:pt>
                <c:pt idx="5">
                  <c:v>42.630800000000008</c:v>
                </c:pt>
                <c:pt idx="6">
                  <c:v>29.067399999999999</c:v>
                </c:pt>
                <c:pt idx="7">
                  <c:v>4.1495999999999977</c:v>
                </c:pt>
                <c:pt idx="8">
                  <c:v>110.93179999999998</c:v>
                </c:pt>
                <c:pt idx="9">
                  <c:v>119.85120000000001</c:v>
                </c:pt>
                <c:pt idx="10">
                  <c:v>130.33510000000001</c:v>
                </c:pt>
                <c:pt idx="11">
                  <c:v>43.212476000000152</c:v>
                </c:pt>
                <c:pt idx="12">
                  <c:v>71.550000000000011</c:v>
                </c:pt>
                <c:pt idx="13">
                  <c:v>69.595200000000006</c:v>
                </c:pt>
                <c:pt idx="14">
                  <c:v>90.470400000000012</c:v>
                </c:pt>
                <c:pt idx="15">
                  <c:v>82.752799999999979</c:v>
                </c:pt>
                <c:pt idx="16">
                  <c:v>48.757799999999996</c:v>
                </c:pt>
                <c:pt idx="17">
                  <c:v>62.467939660728554</c:v>
                </c:pt>
                <c:pt idx="18">
                  <c:v>64.519199999999998</c:v>
                </c:pt>
                <c:pt idx="19">
                  <c:v>68.123406336299993</c:v>
                </c:pt>
                <c:pt idx="20">
                  <c:v>98.244999999999976</c:v>
                </c:pt>
                <c:pt idx="21">
                  <c:v>15.189399999999985</c:v>
                </c:pt>
                <c:pt idx="22">
                  <c:v>100.55600000000001</c:v>
                </c:pt>
                <c:pt idx="23">
                  <c:v>38.055852619500001</c:v>
                </c:pt>
                <c:pt idx="24">
                  <c:v>73.006257319199975</c:v>
                </c:pt>
                <c:pt idx="25">
                  <c:v>130.16953916699998</c:v>
                </c:pt>
                <c:pt idx="26">
                  <c:v>30.626382784600011</c:v>
                </c:pt>
                <c:pt idx="27">
                  <c:v>107.13183050130002</c:v>
                </c:pt>
                <c:pt idx="28">
                  <c:v>29.533537576450009</c:v>
                </c:pt>
                <c:pt idx="29">
                  <c:v>14.393186933980006</c:v>
                </c:pt>
                <c:pt idx="30">
                  <c:v>34.582689280000011</c:v>
                </c:pt>
                <c:pt idx="31">
                  <c:v>36.083372380900016</c:v>
                </c:pt>
                <c:pt idx="32">
                  <c:v>70</c:v>
                </c:pt>
                <c:pt idx="33">
                  <c:v>108.638897892</c:v>
                </c:pt>
                <c:pt idx="34">
                  <c:v>96.828700137400006</c:v>
                </c:pt>
                <c:pt idx="35">
                  <c:v>92.398995999999997</c:v>
                </c:pt>
                <c:pt idx="36">
                  <c:v>105.09913299999999</c:v>
                </c:pt>
                <c:pt idx="37">
                  <c:v>101.19281100000001</c:v>
                </c:pt>
                <c:pt idx="38">
                  <c:v>95.229055207199963</c:v>
                </c:pt>
                <c:pt idx="39">
                  <c:v>82.551266255999991</c:v>
                </c:pt>
                <c:pt idx="40">
                  <c:v>35</c:v>
                </c:pt>
                <c:pt idx="41">
                  <c:v>35.20427694</c:v>
                </c:pt>
                <c:pt idx="42">
                  <c:v>43</c:v>
                </c:pt>
                <c:pt idx="43">
                  <c:v>41</c:v>
                </c:pt>
                <c:pt idx="44">
                  <c:v>-8</c:v>
                </c:pt>
                <c:pt idx="45">
                  <c:v>88</c:v>
                </c:pt>
                <c:pt idx="46">
                  <c:v>81.089154857937075</c:v>
                </c:pt>
                <c:pt idx="47">
                  <c:v>72.439055262248417</c:v>
                </c:pt>
                <c:pt idx="48">
                  <c:v>98.039999999999992</c:v>
                </c:pt>
                <c:pt idx="49">
                  <c:v>86.14</c:v>
                </c:pt>
                <c:pt idx="50">
                  <c:v>82.56</c:v>
                </c:pt>
                <c:pt idx="51">
                  <c:v>84.34</c:v>
                </c:pt>
                <c:pt idx="52">
                  <c:v>35.22</c:v>
                </c:pt>
                <c:pt idx="53">
                  <c:v>38.019999999999996</c:v>
                </c:pt>
                <c:pt idx="54">
                  <c:v>44.489999999999995</c:v>
                </c:pt>
                <c:pt idx="55">
                  <c:v>41.69</c:v>
                </c:pt>
                <c:pt idx="56">
                  <c:v>7.07</c:v>
                </c:pt>
                <c:pt idx="57">
                  <c:v>97.64</c:v>
                </c:pt>
                <c:pt idx="58">
                  <c:v>83.36</c:v>
                </c:pt>
                <c:pt idx="59">
                  <c:v>83.43</c:v>
                </c:pt>
                <c:pt idx="60">
                  <c:v>95.19</c:v>
                </c:pt>
                <c:pt idx="61">
                  <c:v>72.25</c:v>
                </c:pt>
                <c:pt idx="62">
                  <c:v>71.3</c:v>
                </c:pt>
                <c:pt idx="63">
                  <c:v>88.43</c:v>
                </c:pt>
                <c:pt idx="64">
                  <c:v>36.44</c:v>
                </c:pt>
                <c:pt idx="65">
                  <c:v>41.97</c:v>
                </c:pt>
                <c:pt idx="66">
                  <c:v>47.3</c:v>
                </c:pt>
                <c:pt idx="67">
                  <c:v>43.58</c:v>
                </c:pt>
                <c:pt idx="68">
                  <c:v>23.03</c:v>
                </c:pt>
                <c:pt idx="69">
                  <c:v>109.94</c:v>
                </c:pt>
                <c:pt idx="70">
                  <c:v>87.22</c:v>
                </c:pt>
                <c:pt idx="71">
                  <c:v>97.350000000000009</c:v>
                </c:pt>
                <c:pt idx="72">
                  <c:v>82.83</c:v>
                </c:pt>
                <c:pt idx="73">
                  <c:v>53.629999999999995</c:v>
                </c:pt>
                <c:pt idx="74">
                  <c:v>55.67</c:v>
                </c:pt>
                <c:pt idx="75">
                  <c:v>85.43</c:v>
                </c:pt>
                <c:pt idx="76">
                  <c:v>35.33</c:v>
                </c:pt>
                <c:pt idx="77">
                  <c:v>42.89</c:v>
                </c:pt>
                <c:pt idx="78">
                  <c:v>46.879999999999995</c:v>
                </c:pt>
                <c:pt idx="79">
                  <c:v>43.01</c:v>
                </c:pt>
                <c:pt idx="80">
                  <c:v>37.43</c:v>
                </c:pt>
                <c:pt idx="81">
                  <c:v>113.08</c:v>
                </c:pt>
                <c:pt idx="82">
                  <c:v>85.45</c:v>
                </c:pt>
                <c:pt idx="83">
                  <c:v>103.4</c:v>
                </c:pt>
                <c:pt idx="84">
                  <c:v>110.89099999999999</c:v>
                </c:pt>
                <c:pt idx="85">
                  <c:v>64.203000000000003</c:v>
                </c:pt>
                <c:pt idx="86">
                  <c:v>97.389999999999986</c:v>
                </c:pt>
                <c:pt idx="87">
                  <c:v>75.216999999999999</c:v>
                </c:pt>
                <c:pt idx="88">
                  <c:v>55.582999999999998</c:v>
                </c:pt>
                <c:pt idx="89">
                  <c:v>67.016000000000005</c:v>
                </c:pt>
                <c:pt idx="90">
                  <c:v>72.347000000000008</c:v>
                </c:pt>
                <c:pt idx="91">
                  <c:v>44.703000000000003</c:v>
                </c:pt>
                <c:pt idx="92">
                  <c:v>106.01900000000001</c:v>
                </c:pt>
                <c:pt idx="93">
                  <c:v>107.71000000000001</c:v>
                </c:pt>
                <c:pt idx="94">
                  <c:v>82.45</c:v>
                </c:pt>
                <c:pt idx="95">
                  <c:v>55.459999999999994</c:v>
                </c:pt>
                <c:pt idx="96">
                  <c:v>130.06</c:v>
                </c:pt>
                <c:pt idx="97">
                  <c:v>34.159999999999997</c:v>
                </c:pt>
                <c:pt idx="98">
                  <c:v>49.58</c:v>
                </c:pt>
                <c:pt idx="99">
                  <c:v>149.45999999999998</c:v>
                </c:pt>
                <c:pt idx="100">
                  <c:v>62.17</c:v>
                </c:pt>
                <c:pt idx="101">
                  <c:v>82.92</c:v>
                </c:pt>
                <c:pt idx="102">
                  <c:v>86.35</c:v>
                </c:pt>
                <c:pt idx="103">
                  <c:v>77.98</c:v>
                </c:pt>
                <c:pt idx="104">
                  <c:v>117.48</c:v>
                </c:pt>
                <c:pt idx="105">
                  <c:v>219.19</c:v>
                </c:pt>
                <c:pt idx="106">
                  <c:v>146.97999999999999</c:v>
                </c:pt>
                <c:pt idx="107">
                  <c:v>214.92</c:v>
                </c:pt>
                <c:pt idx="108">
                  <c:v>150.49</c:v>
                </c:pt>
                <c:pt idx="109">
                  <c:v>124.01572942000001</c:v>
                </c:pt>
                <c:pt idx="110">
                  <c:v>111.066914</c:v>
                </c:pt>
                <c:pt idx="111">
                  <c:v>146.5</c:v>
                </c:pt>
                <c:pt idx="112">
                  <c:v>92.936602999999991</c:v>
                </c:pt>
                <c:pt idx="113">
                  <c:v>112.802401</c:v>
                </c:pt>
                <c:pt idx="114">
                  <c:v>114.31570599999998</c:v>
                </c:pt>
                <c:pt idx="115">
                  <c:v>111.39534344999998</c:v>
                </c:pt>
                <c:pt idx="116">
                  <c:v>139.50973412999997</c:v>
                </c:pt>
                <c:pt idx="117">
                  <c:v>133.57498800000002</c:v>
                </c:pt>
                <c:pt idx="118">
                  <c:v>148.52343324000003</c:v>
                </c:pt>
                <c:pt idx="119">
                  <c:v>96.436221000000003</c:v>
                </c:pt>
                <c:pt idx="120">
                  <c:v>124.59065194999998</c:v>
                </c:pt>
                <c:pt idx="121">
                  <c:v>159.98126911000003</c:v>
                </c:pt>
                <c:pt idx="122">
                  <c:v>106.40981960999997</c:v>
                </c:pt>
                <c:pt idx="123">
                  <c:v>173.63771936999999</c:v>
                </c:pt>
                <c:pt idx="124">
                  <c:v>134.07618807999995</c:v>
                </c:pt>
                <c:pt idx="125">
                  <c:v>82.469901519999993</c:v>
                </c:pt>
                <c:pt idx="126">
                  <c:v>95.327608169999976</c:v>
                </c:pt>
                <c:pt idx="127">
                  <c:v>119.57482191999998</c:v>
                </c:pt>
                <c:pt idx="128">
                  <c:v>128.61071998</c:v>
                </c:pt>
                <c:pt idx="129">
                  <c:v>128.80002633999996</c:v>
                </c:pt>
                <c:pt idx="130">
                  <c:v>123.42444869999997</c:v>
                </c:pt>
                <c:pt idx="131">
                  <c:v>216.23511627000002</c:v>
                </c:pt>
                <c:pt idx="132">
                  <c:v>211.98945950000007</c:v>
                </c:pt>
                <c:pt idx="133">
                  <c:v>185.25219637999999</c:v>
                </c:pt>
                <c:pt idx="134">
                  <c:v>75.318089000000001</c:v>
                </c:pt>
                <c:pt idx="135">
                  <c:v>20.954671419999997</c:v>
                </c:pt>
                <c:pt idx="136">
                  <c:v>35.351464040000003</c:v>
                </c:pt>
                <c:pt idx="137">
                  <c:v>73.550647429999984</c:v>
                </c:pt>
                <c:pt idx="138">
                  <c:v>171.33376499000008</c:v>
                </c:pt>
                <c:pt idx="139">
                  <c:v>124.75200157999997</c:v>
                </c:pt>
                <c:pt idx="140">
                  <c:v>152.44850021999997</c:v>
                </c:pt>
                <c:pt idx="141">
                  <c:v>243.39016846999996</c:v>
                </c:pt>
                <c:pt idx="142">
                  <c:v>107.48366224000003</c:v>
                </c:pt>
                <c:pt idx="143">
                  <c:v>176.52771614000002</c:v>
                </c:pt>
                <c:pt idx="144">
                  <c:v>144.82511336000002</c:v>
                </c:pt>
                <c:pt idx="145">
                  <c:v>185.5116927</c:v>
                </c:pt>
                <c:pt idx="146">
                  <c:v>132.32190537000002</c:v>
                </c:pt>
                <c:pt idx="147">
                  <c:v>103.54971919000002</c:v>
                </c:pt>
                <c:pt idx="148">
                  <c:v>153.53397374999997</c:v>
                </c:pt>
                <c:pt idx="149">
                  <c:v>141.55467494999999</c:v>
                </c:pt>
                <c:pt idx="150">
                  <c:v>97.651521430000003</c:v>
                </c:pt>
                <c:pt idx="151">
                  <c:v>114.96101691000001</c:v>
                </c:pt>
                <c:pt idx="152">
                  <c:v>187.30635423000001</c:v>
                </c:pt>
                <c:pt idx="153">
                  <c:v>117.85814619999999</c:v>
                </c:pt>
                <c:pt idx="154">
                  <c:v>244.06381751000004</c:v>
                </c:pt>
                <c:pt idx="155">
                  <c:v>204.89861879000006</c:v>
                </c:pt>
                <c:pt idx="156">
                  <c:v>211.03658556999994</c:v>
                </c:pt>
                <c:pt idx="157">
                  <c:v>204.70169686000006</c:v>
                </c:pt>
                <c:pt idx="158">
                  <c:v>206.23614168</c:v>
                </c:pt>
                <c:pt idx="159">
                  <c:v>202.39104063000002</c:v>
                </c:pt>
                <c:pt idx="160">
                  <c:v>163.91568046999998</c:v>
                </c:pt>
                <c:pt idx="161">
                  <c:v>122.45164625999998</c:v>
                </c:pt>
                <c:pt idx="162">
                  <c:v>125.96496060999999</c:v>
                </c:pt>
                <c:pt idx="163">
                  <c:v>170.16770349000001</c:v>
                </c:pt>
                <c:pt idx="164">
                  <c:v>250.53801949000001</c:v>
                </c:pt>
                <c:pt idx="165">
                  <c:v>220.66335548000004</c:v>
                </c:pt>
                <c:pt idx="166">
                  <c:v>200.36739750000004</c:v>
                </c:pt>
                <c:pt idx="167">
                  <c:v>134.15466909</c:v>
                </c:pt>
                <c:pt idx="168">
                  <c:v>294.7</c:v>
                </c:pt>
                <c:pt idx="169">
                  <c:v>210.7</c:v>
                </c:pt>
                <c:pt idx="170">
                  <c:v>243.5</c:v>
                </c:pt>
                <c:pt idx="171">
                  <c:v>266.8</c:v>
                </c:pt>
                <c:pt idx="172">
                  <c:v>212.8</c:v>
                </c:pt>
                <c:pt idx="173">
                  <c:v>141.5</c:v>
                </c:pt>
                <c:pt idx="174">
                  <c:v>140</c:v>
                </c:pt>
                <c:pt idx="175">
                  <c:v>165.10000000000002</c:v>
                </c:pt>
                <c:pt idx="176">
                  <c:v>173</c:v>
                </c:pt>
                <c:pt idx="177">
                  <c:v>73</c:v>
                </c:pt>
                <c:pt idx="178">
                  <c:v>253.10000000000002</c:v>
                </c:pt>
                <c:pt idx="179">
                  <c:v>230.7</c:v>
                </c:pt>
                <c:pt idx="180">
                  <c:v>131.5</c:v>
                </c:pt>
                <c:pt idx="181">
                  <c:v>244.4</c:v>
                </c:pt>
                <c:pt idx="182">
                  <c:v>233.3</c:v>
                </c:pt>
                <c:pt idx="183">
                  <c:v>236.36369331</c:v>
                </c:pt>
                <c:pt idx="184">
                  <c:v>227.0943019</c:v>
                </c:pt>
                <c:pt idx="185">
                  <c:v>203.03</c:v>
                </c:pt>
                <c:pt idx="186">
                  <c:v>145.12180000000001</c:v>
                </c:pt>
                <c:pt idx="187">
                  <c:v>220.91300036999999</c:v>
                </c:pt>
                <c:pt idx="188">
                  <c:v>171.6</c:v>
                </c:pt>
                <c:pt idx="189">
                  <c:v>251.2</c:v>
                </c:pt>
                <c:pt idx="190">
                  <c:v>257.60000000000002</c:v>
                </c:pt>
                <c:pt idx="191">
                  <c:v>255.03773905</c:v>
                </c:pt>
                <c:pt idx="192">
                  <c:v>257.89437607000002</c:v>
                </c:pt>
                <c:pt idx="193">
                  <c:v>314.79999999999995</c:v>
                </c:pt>
                <c:pt idx="194">
                  <c:v>217.8</c:v>
                </c:pt>
                <c:pt idx="195">
                  <c:v>280.29999999999995</c:v>
                </c:pt>
                <c:pt idx="196">
                  <c:v>235.3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79-EF44-B2E6-7FABE793C566}"/>
            </c:ext>
          </c:extLst>
        </c:ser>
        <c:ser>
          <c:idx val="1"/>
          <c:order val="1"/>
          <c:tx>
            <c:strRef>
              <c:f>'New Summary Monthly'!$U$57</c:f>
              <c:strCache>
                <c:ptCount val="1"/>
                <c:pt idx="0">
                  <c:v>iGaming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rgbClr val="4F81BD"/>
              </a:solidFill>
            </a:ln>
            <a:effectLst/>
          </c:spPr>
          <c:cat>
            <c:numRef>
              <c:f>'New Summary Monthly'!$B$12:$GP$12</c:f>
              <c:numCache>
                <c:formatCode>mmm\-yy</c:formatCode>
                <c:ptCount val="197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</c:numCache>
            </c:numRef>
          </c:cat>
          <c:val>
            <c:numRef>
              <c:f>'New Summary Monthly'!$B$33:$GP$33</c:f>
              <c:numCache>
                <c:formatCode>#,##0.0</c:formatCode>
                <c:ptCount val="197"/>
                <c:pt idx="0">
                  <c:v>17.323044469027497</c:v>
                </c:pt>
                <c:pt idx="1">
                  <c:v>17.50631949592583</c:v>
                </c:pt>
                <c:pt idx="2">
                  <c:v>22.263719460767707</c:v>
                </c:pt>
                <c:pt idx="3">
                  <c:v>22.935770766253135</c:v>
                </c:pt>
                <c:pt idx="4">
                  <c:v>24.418241117344543</c:v>
                </c:pt>
                <c:pt idx="5">
                  <c:v>23.061506547693185</c:v>
                </c:pt>
                <c:pt idx="6">
                  <c:v>22.523740623975041</c:v>
                </c:pt>
                <c:pt idx="7">
                  <c:v>21.693075819625946</c:v>
                </c:pt>
                <c:pt idx="8">
                  <c:v>25.824516860085375</c:v>
                </c:pt>
                <c:pt idx="9">
                  <c:v>29.153011319084811</c:v>
                </c:pt>
                <c:pt idx="10">
                  <c:v>29.547807160199881</c:v>
                </c:pt>
                <c:pt idx="11">
                  <c:v>30.787264120437676</c:v>
                </c:pt>
                <c:pt idx="12">
                  <c:v>38.348070999999997</c:v>
                </c:pt>
                <c:pt idx="13">
                  <c:v>34.145786999999999</c:v>
                </c:pt>
                <c:pt idx="14">
                  <c:v>38.575417999999999</c:v>
                </c:pt>
                <c:pt idx="15">
                  <c:v>36.118445999999999</c:v>
                </c:pt>
                <c:pt idx="16">
                  <c:v>37.549276999999996</c:v>
                </c:pt>
                <c:pt idx="17">
                  <c:v>32.193432000000001</c:v>
                </c:pt>
                <c:pt idx="18">
                  <c:v>30.751452999999998</c:v>
                </c:pt>
                <c:pt idx="19">
                  <c:v>29.626033</c:v>
                </c:pt>
                <c:pt idx="20">
                  <c:v>33.994495999999998</c:v>
                </c:pt>
                <c:pt idx="21">
                  <c:v>36.865201999999996</c:v>
                </c:pt>
                <c:pt idx="22">
                  <c:v>35.306413999999997</c:v>
                </c:pt>
                <c:pt idx="23">
                  <c:v>37.216289000000003</c:v>
                </c:pt>
                <c:pt idx="24">
                  <c:v>41.275478</c:v>
                </c:pt>
                <c:pt idx="25">
                  <c:v>35.365499999999997</c:v>
                </c:pt>
                <c:pt idx="26">
                  <c:v>37.464140999999998</c:v>
                </c:pt>
                <c:pt idx="27">
                  <c:v>32.614707000000003</c:v>
                </c:pt>
                <c:pt idx="28">
                  <c:v>32.980519000000001</c:v>
                </c:pt>
                <c:pt idx="29">
                  <c:v>29.569662000000001</c:v>
                </c:pt>
                <c:pt idx="30">
                  <c:v>31.028607999999998</c:v>
                </c:pt>
                <c:pt idx="31">
                  <c:v>44.190656999999995</c:v>
                </c:pt>
                <c:pt idx="32">
                  <c:v>47.878735000000006</c:v>
                </c:pt>
                <c:pt idx="33">
                  <c:v>53.312680999999998</c:v>
                </c:pt>
                <c:pt idx="34">
                  <c:v>50.714322000000003</c:v>
                </c:pt>
                <c:pt idx="35">
                  <c:v>52.068732000000004</c:v>
                </c:pt>
                <c:pt idx="36">
                  <c:v>57.282587000000007</c:v>
                </c:pt>
                <c:pt idx="37">
                  <c:v>50.919460999999998</c:v>
                </c:pt>
                <c:pt idx="38">
                  <c:v>48.224930999999998</c:v>
                </c:pt>
                <c:pt idx="39">
                  <c:v>46.984566000000001</c:v>
                </c:pt>
                <c:pt idx="40">
                  <c:v>46.212919999999997</c:v>
                </c:pt>
                <c:pt idx="41">
                  <c:v>41.010902999999999</c:v>
                </c:pt>
                <c:pt idx="42">
                  <c:v>40.164063999999996</c:v>
                </c:pt>
                <c:pt idx="43">
                  <c:v>36.679639000000002</c:v>
                </c:pt>
                <c:pt idx="44">
                  <c:v>45.464568999999997</c:v>
                </c:pt>
                <c:pt idx="45">
                  <c:v>44.705396999999998</c:v>
                </c:pt>
                <c:pt idx="46">
                  <c:v>44.053299000000003</c:v>
                </c:pt>
                <c:pt idx="47">
                  <c:v>48.632981000000001</c:v>
                </c:pt>
                <c:pt idx="48">
                  <c:v>48.65</c:v>
                </c:pt>
                <c:pt idx="49">
                  <c:v>43.06</c:v>
                </c:pt>
                <c:pt idx="50">
                  <c:v>42.55</c:v>
                </c:pt>
                <c:pt idx="51">
                  <c:v>41.21</c:v>
                </c:pt>
                <c:pt idx="52">
                  <c:v>41.900000000000006</c:v>
                </c:pt>
                <c:pt idx="53">
                  <c:v>38.090000000000003</c:v>
                </c:pt>
                <c:pt idx="54">
                  <c:v>37.409999999999997</c:v>
                </c:pt>
                <c:pt idx="55">
                  <c:v>35.39</c:v>
                </c:pt>
                <c:pt idx="56">
                  <c:v>42.66</c:v>
                </c:pt>
                <c:pt idx="57">
                  <c:v>42.849999999999994</c:v>
                </c:pt>
                <c:pt idx="58">
                  <c:v>41.5</c:v>
                </c:pt>
                <c:pt idx="59">
                  <c:v>50.71</c:v>
                </c:pt>
                <c:pt idx="60">
                  <c:v>44.379999999999995</c:v>
                </c:pt>
                <c:pt idx="61">
                  <c:v>39.21</c:v>
                </c:pt>
                <c:pt idx="62">
                  <c:v>39.53</c:v>
                </c:pt>
                <c:pt idx="63">
                  <c:v>37.950000000000003</c:v>
                </c:pt>
                <c:pt idx="64">
                  <c:v>38.68</c:v>
                </c:pt>
                <c:pt idx="65">
                  <c:v>35.58</c:v>
                </c:pt>
                <c:pt idx="66">
                  <c:v>35.14</c:v>
                </c:pt>
                <c:pt idx="67">
                  <c:v>33.959999999999994</c:v>
                </c:pt>
                <c:pt idx="68">
                  <c:v>39.86</c:v>
                </c:pt>
                <c:pt idx="69">
                  <c:v>40.26</c:v>
                </c:pt>
                <c:pt idx="70">
                  <c:v>38.5</c:v>
                </c:pt>
                <c:pt idx="71">
                  <c:v>47.97</c:v>
                </c:pt>
                <c:pt idx="72">
                  <c:v>46.2</c:v>
                </c:pt>
                <c:pt idx="73">
                  <c:v>40.75</c:v>
                </c:pt>
                <c:pt idx="74">
                  <c:v>42.22</c:v>
                </c:pt>
                <c:pt idx="75">
                  <c:v>40.31</c:v>
                </c:pt>
                <c:pt idx="76">
                  <c:v>41.12</c:v>
                </c:pt>
                <c:pt idx="77">
                  <c:v>38.549999999999997</c:v>
                </c:pt>
                <c:pt idx="78">
                  <c:v>38.409999999999997</c:v>
                </c:pt>
                <c:pt idx="79">
                  <c:v>37.78</c:v>
                </c:pt>
                <c:pt idx="80">
                  <c:v>43.14</c:v>
                </c:pt>
                <c:pt idx="81">
                  <c:v>43.86</c:v>
                </c:pt>
                <c:pt idx="82">
                  <c:v>42.230000000000004</c:v>
                </c:pt>
                <c:pt idx="83">
                  <c:v>52.43</c:v>
                </c:pt>
                <c:pt idx="84">
                  <c:v>54.95</c:v>
                </c:pt>
                <c:pt idx="85">
                  <c:v>48.379999999999995</c:v>
                </c:pt>
                <c:pt idx="86">
                  <c:v>50.96</c:v>
                </c:pt>
                <c:pt idx="87">
                  <c:v>48.25</c:v>
                </c:pt>
                <c:pt idx="88">
                  <c:v>48.760000000000005</c:v>
                </c:pt>
                <c:pt idx="89">
                  <c:v>46.3</c:v>
                </c:pt>
                <c:pt idx="90">
                  <c:v>46.55</c:v>
                </c:pt>
                <c:pt idx="91">
                  <c:v>46.48</c:v>
                </c:pt>
                <c:pt idx="92">
                  <c:v>51.58</c:v>
                </c:pt>
                <c:pt idx="93">
                  <c:v>52.6</c:v>
                </c:pt>
                <c:pt idx="94">
                  <c:v>50.789999999999992</c:v>
                </c:pt>
                <c:pt idx="95">
                  <c:v>61.46</c:v>
                </c:pt>
                <c:pt idx="96">
                  <c:v>64.89</c:v>
                </c:pt>
                <c:pt idx="97">
                  <c:v>56.870000000000005</c:v>
                </c:pt>
                <c:pt idx="98">
                  <c:v>63.64</c:v>
                </c:pt>
                <c:pt idx="99">
                  <c:v>59.73</c:v>
                </c:pt>
                <c:pt idx="100">
                  <c:v>60.86</c:v>
                </c:pt>
                <c:pt idx="101">
                  <c:v>55.93</c:v>
                </c:pt>
                <c:pt idx="102">
                  <c:v>57.5</c:v>
                </c:pt>
                <c:pt idx="103">
                  <c:v>57.87</c:v>
                </c:pt>
                <c:pt idx="104">
                  <c:v>65.2</c:v>
                </c:pt>
                <c:pt idx="105">
                  <c:v>67.28</c:v>
                </c:pt>
                <c:pt idx="106">
                  <c:v>63.52</c:v>
                </c:pt>
                <c:pt idx="107">
                  <c:v>74.680000000000007</c:v>
                </c:pt>
                <c:pt idx="108">
                  <c:v>78.099999999999994</c:v>
                </c:pt>
                <c:pt idx="109">
                  <c:v>70.936365630000012</c:v>
                </c:pt>
                <c:pt idx="110">
                  <c:v>77.708556999999999</c:v>
                </c:pt>
                <c:pt idx="111">
                  <c:v>72.366487649999996</c:v>
                </c:pt>
                <c:pt idx="112">
                  <c:v>71.596361999999999</c:v>
                </c:pt>
                <c:pt idx="113">
                  <c:v>68.540364859999997</c:v>
                </c:pt>
                <c:pt idx="114">
                  <c:v>69.048000000000002</c:v>
                </c:pt>
                <c:pt idx="115">
                  <c:v>69.170543500000008</c:v>
                </c:pt>
                <c:pt idx="116">
                  <c:v>72.170446179999999</c:v>
                </c:pt>
                <c:pt idx="117">
                  <c:v>79.705928</c:v>
                </c:pt>
                <c:pt idx="118">
                  <c:v>72.156375990000001</c:v>
                </c:pt>
                <c:pt idx="119">
                  <c:v>86.609824000000003</c:v>
                </c:pt>
                <c:pt idx="120">
                  <c:v>90.265013701130755</c:v>
                </c:pt>
                <c:pt idx="121">
                  <c:v>76.343877077387816</c:v>
                </c:pt>
                <c:pt idx="122">
                  <c:v>88.3902538370711</c:v>
                </c:pt>
                <c:pt idx="123">
                  <c:v>82.350765549959448</c:v>
                </c:pt>
                <c:pt idx="124">
                  <c:v>84.240077979716986</c:v>
                </c:pt>
                <c:pt idx="125">
                  <c:v>75.010176095440556</c:v>
                </c:pt>
                <c:pt idx="126">
                  <c:v>76.982330137171019</c:v>
                </c:pt>
                <c:pt idx="127">
                  <c:v>79.787195952658976</c:v>
                </c:pt>
                <c:pt idx="128">
                  <c:v>85.699609616519993</c:v>
                </c:pt>
                <c:pt idx="129">
                  <c:v>79.651641598768364</c:v>
                </c:pt>
                <c:pt idx="130">
                  <c:v>86.283942572372979</c:v>
                </c:pt>
                <c:pt idx="131">
                  <c:v>101.65770671051898</c:v>
                </c:pt>
                <c:pt idx="132">
                  <c:v>99.029452500821037</c:v>
                </c:pt>
                <c:pt idx="133">
                  <c:v>93.570657674941017</c:v>
                </c:pt>
                <c:pt idx="134">
                  <c:v>125.16898063430399</c:v>
                </c:pt>
                <c:pt idx="135">
                  <c:v>136.10447607871197</c:v>
                </c:pt>
                <c:pt idx="136">
                  <c:v>134.18444155039003</c:v>
                </c:pt>
                <c:pt idx="137">
                  <c:v>117.66569816961898</c:v>
                </c:pt>
                <c:pt idx="138">
                  <c:v>108.14259157174796</c:v>
                </c:pt>
                <c:pt idx="139">
                  <c:v>110.06096571673203</c:v>
                </c:pt>
                <c:pt idx="140">
                  <c:v>108.64283313485802</c:v>
                </c:pt>
                <c:pt idx="141">
                  <c:v>121.06751567462396</c:v>
                </c:pt>
                <c:pt idx="142">
                  <c:v>147.84610340611798</c:v>
                </c:pt>
                <c:pt idx="143">
                  <c:v>181.87140374208593</c:v>
                </c:pt>
                <c:pt idx="144">
                  <c:v>192.30186627599994</c:v>
                </c:pt>
                <c:pt idx="145">
                  <c:v>165.65773730100011</c:v>
                </c:pt>
                <c:pt idx="146">
                  <c:v>183.18427661799993</c:v>
                </c:pt>
                <c:pt idx="147">
                  <c:v>184.56441838599997</c:v>
                </c:pt>
                <c:pt idx="148">
                  <c:v>174.94545546199998</c:v>
                </c:pt>
                <c:pt idx="149">
                  <c:v>149.93728591500002</c:v>
                </c:pt>
                <c:pt idx="150">
                  <c:v>144.03211013199999</c:v>
                </c:pt>
                <c:pt idx="151">
                  <c:v>150.36916784000005</c:v>
                </c:pt>
                <c:pt idx="152">
                  <c:v>157.37509561500002</c:v>
                </c:pt>
                <c:pt idx="153">
                  <c:v>167.81085328699996</c:v>
                </c:pt>
                <c:pt idx="154">
                  <c:v>160.254587899</c:v>
                </c:pt>
                <c:pt idx="155">
                  <c:v>186.93171561499994</c:v>
                </c:pt>
                <c:pt idx="156">
                  <c:v>196.31673646600004</c:v>
                </c:pt>
                <c:pt idx="157">
                  <c:v>166.73364751599999</c:v>
                </c:pt>
                <c:pt idx="158">
                  <c:v>179.96753202899995</c:v>
                </c:pt>
                <c:pt idx="159">
                  <c:v>176.66254676200003</c:v>
                </c:pt>
                <c:pt idx="160">
                  <c:v>180.59980293099997</c:v>
                </c:pt>
                <c:pt idx="161">
                  <c:v>168.96940490800006</c:v>
                </c:pt>
                <c:pt idx="162">
                  <c:v>177.73982580199998</c:v>
                </c:pt>
                <c:pt idx="163">
                  <c:v>189.10691538999998</c:v>
                </c:pt>
                <c:pt idx="164">
                  <c:v>183.43747851099999</c:v>
                </c:pt>
                <c:pt idx="165">
                  <c:v>199.07887858000007</c:v>
                </c:pt>
                <c:pt idx="166">
                  <c:v>196.15523104000005</c:v>
                </c:pt>
                <c:pt idx="167">
                  <c:v>229.27824257</c:v>
                </c:pt>
                <c:pt idx="168">
                  <c:v>230.40593817999999</c:v>
                </c:pt>
                <c:pt idx="169">
                  <c:v>199.51115106584905</c:v>
                </c:pt>
                <c:pt idx="170">
                  <c:v>217.3</c:v>
                </c:pt>
                <c:pt idx="171">
                  <c:v>211.73203611</c:v>
                </c:pt>
                <c:pt idx="172">
                  <c:v>210.80384358000001</c:v>
                </c:pt>
                <c:pt idx="173">
                  <c:v>193.38729336999998</c:v>
                </c:pt>
                <c:pt idx="174">
                  <c:v>201.06211236999999</c:v>
                </c:pt>
                <c:pt idx="175">
                  <c:v>211.94306982000001</c:v>
                </c:pt>
                <c:pt idx="176">
                  <c:v>215.98828033000001</c:v>
                </c:pt>
                <c:pt idx="177">
                  <c:v>230.5</c:v>
                </c:pt>
                <c:pt idx="178">
                  <c:v>230.0738624</c:v>
                </c:pt>
                <c:pt idx="179">
                  <c:v>256.88730901000002</c:v>
                </c:pt>
                <c:pt idx="180">
                  <c:v>261.23755036</c:v>
                </c:pt>
                <c:pt idx="181">
                  <c:v>236.46379712000001</c:v>
                </c:pt>
                <c:pt idx="182">
                  <c:v>246.6412732</c:v>
                </c:pt>
                <c:pt idx="183">
                  <c:v>234.23490415999999</c:v>
                </c:pt>
                <c:pt idx="184">
                  <c:v>241.31141599</c:v>
                </c:pt>
                <c:pt idx="185">
                  <c:v>233.70730269000001</c:v>
                </c:pt>
                <c:pt idx="186">
                  <c:v>245.76113942000001</c:v>
                </c:pt>
                <c:pt idx="187">
                  <c:v>245.94210770999999</c:v>
                </c:pt>
                <c:pt idx="188">
                  <c:v>260.67745172999997</c:v>
                </c:pt>
                <c:pt idx="189">
                  <c:v>272.08581999</c:v>
                </c:pt>
                <c:pt idx="190">
                  <c:v>256.43749136999998</c:v>
                </c:pt>
                <c:pt idx="191">
                  <c:v>305.23707515000001</c:v>
                </c:pt>
                <c:pt idx="192">
                  <c:v>299.59383597999999</c:v>
                </c:pt>
                <c:pt idx="193">
                  <c:v>261.47111669999998</c:v>
                </c:pt>
                <c:pt idx="194">
                  <c:v>284.88485968999998</c:v>
                </c:pt>
                <c:pt idx="195">
                  <c:v>270.20718066000001</c:v>
                </c:pt>
                <c:pt idx="196">
                  <c:v>273.01832259000003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79-EF44-B2E6-7FABE793C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9662240"/>
        <c:axId val="969663936"/>
      </c:areaChart>
      <c:dateAx>
        <c:axId val="969662240"/>
        <c:scaling>
          <c:orientation val="minMax"/>
        </c:scaling>
        <c:delete val="0"/>
        <c:axPos val="b"/>
        <c:numFmt formatCode="mmm\-yy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Offset val="100"/>
        <c:baseTimeUnit val="months"/>
        <c:majorUnit val="6"/>
        <c:majorTimeUnit val="months"/>
      </c:dateAx>
      <c:valAx>
        <c:axId val="969663936"/>
        <c:scaling>
          <c:orientation val="minMax"/>
          <c:max val="6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'New Summary Monthly'!$A$375</c:f>
              <c:strCache>
                <c:ptCount val="1"/>
                <c:pt idx="0">
                  <c:v> Casino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'New Summary Monthly'!$B$374:$CL$374</c:f>
              <c:numCache>
                <c:formatCode>mmm\-yy</c:formatCode>
                <c:ptCount val="8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</c:numCache>
            </c:numRef>
          </c:cat>
          <c:val>
            <c:numRef>
              <c:f>'New Summary Monthly'!$B$375:$CL$375</c:f>
              <c:numCache>
                <c:formatCode>#,##0.0</c:formatCode>
                <c:ptCount val="89"/>
                <c:pt idx="0">
                  <c:v>59.7</c:v>
                </c:pt>
                <c:pt idx="1">
                  <c:v>54.891883640000003</c:v>
                </c:pt>
                <c:pt idx="2">
                  <c:v>60.641289999999998</c:v>
                </c:pt>
                <c:pt idx="3">
                  <c:v>58.1</c:v>
                </c:pt>
                <c:pt idx="4">
                  <c:v>57.302202999999999</c:v>
                </c:pt>
                <c:pt idx="5">
                  <c:v>55.494256999999998</c:v>
                </c:pt>
                <c:pt idx="6">
                  <c:v>56.258000000000003</c:v>
                </c:pt>
                <c:pt idx="7">
                  <c:v>56.464994500000003</c:v>
                </c:pt>
                <c:pt idx="8">
                  <c:v>58.65</c:v>
                </c:pt>
                <c:pt idx="9">
                  <c:v>64.913787999999997</c:v>
                </c:pt>
                <c:pt idx="10">
                  <c:v>57.200574770000003</c:v>
                </c:pt>
                <c:pt idx="11">
                  <c:v>70.420872000000003</c:v>
                </c:pt>
                <c:pt idx="12">
                  <c:v>71.942071190361759</c:v>
                </c:pt>
                <c:pt idx="13">
                  <c:v>61.40534213136182</c:v>
                </c:pt>
                <c:pt idx="14">
                  <c:v>72.571528158493095</c:v>
                </c:pt>
                <c:pt idx="15">
                  <c:v>67.422118842051447</c:v>
                </c:pt>
                <c:pt idx="16">
                  <c:v>69.915004660313983</c:v>
                </c:pt>
                <c:pt idx="17">
                  <c:v>62.550703943263557</c:v>
                </c:pt>
                <c:pt idx="18">
                  <c:v>64.478732467207024</c:v>
                </c:pt>
                <c:pt idx="19">
                  <c:v>67.044378711617981</c:v>
                </c:pt>
                <c:pt idx="20">
                  <c:v>71.743824963628995</c:v>
                </c:pt>
                <c:pt idx="21">
                  <c:v>65.681182734199965</c:v>
                </c:pt>
                <c:pt idx="22">
                  <c:v>71.348908267882976</c:v>
                </c:pt>
                <c:pt idx="23">
                  <c:v>85.06591521084998</c:v>
                </c:pt>
                <c:pt idx="24">
                  <c:v>81.824983610000032</c:v>
                </c:pt>
                <c:pt idx="25">
                  <c:v>78.129455380000024</c:v>
                </c:pt>
                <c:pt idx="26">
                  <c:v>93.995830549999994</c:v>
                </c:pt>
                <c:pt idx="27">
                  <c:v>98.281219379999996</c:v>
                </c:pt>
                <c:pt idx="28">
                  <c:v>105.50681990000004</c:v>
                </c:pt>
                <c:pt idx="29">
                  <c:v>98.658382449999976</c:v>
                </c:pt>
                <c:pt idx="30">
                  <c:v>92.973815129999963</c:v>
                </c:pt>
                <c:pt idx="31">
                  <c:v>94.804208550000027</c:v>
                </c:pt>
                <c:pt idx="32">
                  <c:v>92.707567770000026</c:v>
                </c:pt>
                <c:pt idx="33">
                  <c:v>103.55499985999997</c:v>
                </c:pt>
                <c:pt idx="34">
                  <c:v>123.59264278999997</c:v>
                </c:pt>
                <c:pt idx="35">
                  <c:v>153.84213118999995</c:v>
                </c:pt>
                <c:pt idx="36">
                  <c:v>162.84849324999993</c:v>
                </c:pt>
                <c:pt idx="37">
                  <c:v>142.9743348100001</c:v>
                </c:pt>
                <c:pt idx="38">
                  <c:v>158.72486277999994</c:v>
                </c:pt>
                <c:pt idx="39">
                  <c:v>161.20574770999997</c:v>
                </c:pt>
                <c:pt idx="40">
                  <c:v>155.10037652999998</c:v>
                </c:pt>
                <c:pt idx="41">
                  <c:v>133.95609898000001</c:v>
                </c:pt>
                <c:pt idx="42">
                  <c:v>128.8395903</c:v>
                </c:pt>
                <c:pt idx="43">
                  <c:v>134.22394301000006</c:v>
                </c:pt>
                <c:pt idx="44">
                  <c:v>139.68392421000001</c:v>
                </c:pt>
                <c:pt idx="45">
                  <c:v>148.80530187999994</c:v>
                </c:pt>
                <c:pt idx="46">
                  <c:v>141.77767768999999</c:v>
                </c:pt>
                <c:pt idx="47">
                  <c:v>165.46579620999995</c:v>
                </c:pt>
                <c:pt idx="48">
                  <c:v>171.27230837000005</c:v>
                </c:pt>
                <c:pt idx="49">
                  <c:v>147.92658824</c:v>
                </c:pt>
                <c:pt idx="50">
                  <c:v>160.60141478999995</c:v>
                </c:pt>
                <c:pt idx="51">
                  <c:v>158.52532664000003</c:v>
                </c:pt>
                <c:pt idx="52">
                  <c:v>163.53260316999996</c:v>
                </c:pt>
                <c:pt idx="53">
                  <c:v>152.92269152000006</c:v>
                </c:pt>
                <c:pt idx="54">
                  <c:v>160.35304239999999</c:v>
                </c:pt>
                <c:pt idx="55">
                  <c:v>170.74622260999999</c:v>
                </c:pt>
                <c:pt idx="56">
                  <c:v>165.07424562</c:v>
                </c:pt>
                <c:pt idx="57">
                  <c:v>179.99062419000006</c:v>
                </c:pt>
                <c:pt idx="58">
                  <c:v>176.12401583000005</c:v>
                </c:pt>
                <c:pt idx="59">
                  <c:v>206.09441701</c:v>
                </c:pt>
                <c:pt idx="60">
                  <c:v>204.7</c:v>
                </c:pt>
                <c:pt idx="61">
                  <c:v>178.9</c:v>
                </c:pt>
                <c:pt idx="62">
                  <c:v>196.8</c:v>
                </c:pt>
                <c:pt idx="63">
                  <c:v>191.5</c:v>
                </c:pt>
                <c:pt idx="64">
                  <c:v>191.5</c:v>
                </c:pt>
                <c:pt idx="65">
                  <c:v>175.7</c:v>
                </c:pt>
                <c:pt idx="66">
                  <c:v>183.5</c:v>
                </c:pt>
                <c:pt idx="67">
                  <c:v>193.5</c:v>
                </c:pt>
                <c:pt idx="68">
                  <c:v>197</c:v>
                </c:pt>
                <c:pt idx="69">
                  <c:v>210.5</c:v>
                </c:pt>
                <c:pt idx="70">
                  <c:v>210.2</c:v>
                </c:pt>
                <c:pt idx="71">
                  <c:v>234.5</c:v>
                </c:pt>
                <c:pt idx="72">
                  <c:v>236</c:v>
                </c:pt>
                <c:pt idx="73">
                  <c:v>215.8</c:v>
                </c:pt>
                <c:pt idx="74">
                  <c:v>225.7</c:v>
                </c:pt>
                <c:pt idx="75">
                  <c:v>214.53544214999999</c:v>
                </c:pt>
                <c:pt idx="76">
                  <c:v>221.7196673</c:v>
                </c:pt>
                <c:pt idx="77">
                  <c:v>215.85576171</c:v>
                </c:pt>
                <c:pt idx="78">
                  <c:v>228.06066853999999</c:v>
                </c:pt>
                <c:pt idx="79">
                  <c:v>228.0328581</c:v>
                </c:pt>
                <c:pt idx="80">
                  <c:v>241.1</c:v>
                </c:pt>
                <c:pt idx="81">
                  <c:v>251.8</c:v>
                </c:pt>
                <c:pt idx="82">
                  <c:v>237.1</c:v>
                </c:pt>
                <c:pt idx="83">
                  <c:v>281.90270817999999</c:v>
                </c:pt>
                <c:pt idx="84">
                  <c:v>273.61724055000002</c:v>
                </c:pt>
                <c:pt idx="85">
                  <c:v>240.6</c:v>
                </c:pt>
                <c:pt idx="86">
                  <c:v>262.5</c:v>
                </c:pt>
                <c:pt idx="87">
                  <c:v>251.4</c:v>
                </c:pt>
                <c:pt idx="88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CE-EC4A-926E-8B751C8FFFE9}"/>
            </c:ext>
          </c:extLst>
        </c:ser>
        <c:ser>
          <c:idx val="1"/>
          <c:order val="1"/>
          <c:tx>
            <c:strRef>
              <c:f>'New Summary Monthly'!$A$376</c:f>
              <c:strCache>
                <c:ptCount val="1"/>
                <c:pt idx="0">
                  <c:v> Poker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'New Summary Monthly'!$B$374:$CL$374</c:f>
              <c:numCache>
                <c:formatCode>mmm\-yy</c:formatCode>
                <c:ptCount val="8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</c:numCache>
            </c:numRef>
          </c:cat>
          <c:val>
            <c:numRef>
              <c:f>'New Summary Monthly'!$B$376:$CL$376</c:f>
              <c:numCache>
                <c:formatCode>#,##0.0</c:formatCode>
                <c:ptCount val="89"/>
                <c:pt idx="0">
                  <c:v>15.43</c:v>
                </c:pt>
                <c:pt idx="1">
                  <c:v>13.53672847</c:v>
                </c:pt>
                <c:pt idx="2">
                  <c:v>14.245888000000001</c:v>
                </c:pt>
                <c:pt idx="3">
                  <c:v>11.899999999999999</c:v>
                </c:pt>
                <c:pt idx="4">
                  <c:v>11.952695</c:v>
                </c:pt>
                <c:pt idx="5">
                  <c:v>10.900967859999998</c:v>
                </c:pt>
                <c:pt idx="6">
                  <c:v>10.600000000000001</c:v>
                </c:pt>
                <c:pt idx="7">
                  <c:v>10.321612</c:v>
                </c:pt>
                <c:pt idx="8">
                  <c:v>10.98273032</c:v>
                </c:pt>
                <c:pt idx="9">
                  <c:v>11.998609</c:v>
                </c:pt>
                <c:pt idx="10">
                  <c:v>12.17211912</c:v>
                </c:pt>
                <c:pt idx="11">
                  <c:v>12.954819000000001</c:v>
                </c:pt>
                <c:pt idx="12">
                  <c:v>15.004291730768999</c:v>
                </c:pt>
                <c:pt idx="13">
                  <c:v>12.239722671783996</c:v>
                </c:pt>
                <c:pt idx="14">
                  <c:v>12.565209981884005</c:v>
                </c:pt>
                <c:pt idx="15">
                  <c:v>11.860159598094</c:v>
                </c:pt>
                <c:pt idx="16">
                  <c:v>11.314900876752002</c:v>
                </c:pt>
                <c:pt idx="17">
                  <c:v>9.8186948223210013</c:v>
                </c:pt>
                <c:pt idx="18">
                  <c:v>9.6692089199639959</c:v>
                </c:pt>
                <c:pt idx="19">
                  <c:v>9.8377948127330015</c:v>
                </c:pt>
                <c:pt idx="20">
                  <c:v>10.672279652044001</c:v>
                </c:pt>
                <c:pt idx="21">
                  <c:v>10.687020146625997</c:v>
                </c:pt>
                <c:pt idx="22">
                  <c:v>11.562590753856</c:v>
                </c:pt>
                <c:pt idx="23">
                  <c:v>12.528515589668997</c:v>
                </c:pt>
                <c:pt idx="24">
                  <c:v>13.305677568477003</c:v>
                </c:pt>
                <c:pt idx="25">
                  <c:v>11.882306700092998</c:v>
                </c:pt>
                <c:pt idx="26">
                  <c:v>26.044236146631995</c:v>
                </c:pt>
                <c:pt idx="27">
                  <c:v>32.26708882733999</c:v>
                </c:pt>
                <c:pt idx="28">
                  <c:v>23.172783546193997</c:v>
                </c:pt>
                <c:pt idx="29">
                  <c:v>14.339759250691998</c:v>
                </c:pt>
                <c:pt idx="30">
                  <c:v>11.068498341411999</c:v>
                </c:pt>
                <c:pt idx="31">
                  <c:v>11.196534069648001</c:v>
                </c:pt>
                <c:pt idx="32">
                  <c:v>11.608191474328001</c:v>
                </c:pt>
                <c:pt idx="33">
                  <c:v>13.100768754030998</c:v>
                </c:pt>
                <c:pt idx="34">
                  <c:v>18.429582666555998</c:v>
                </c:pt>
                <c:pt idx="35">
                  <c:v>20.519725973092001</c:v>
                </c:pt>
                <c:pt idx="36">
                  <c:v>21.800047560000003</c:v>
                </c:pt>
                <c:pt idx="37">
                  <c:v>16.557180390000006</c:v>
                </c:pt>
                <c:pt idx="38">
                  <c:v>17.786239149999989</c:v>
                </c:pt>
                <c:pt idx="39">
                  <c:v>17.02134495</c:v>
                </c:pt>
                <c:pt idx="40">
                  <c:v>13.927399259999996</c:v>
                </c:pt>
                <c:pt idx="41">
                  <c:v>10.976943459999998</c:v>
                </c:pt>
                <c:pt idx="42">
                  <c:v>10.623406109999996</c:v>
                </c:pt>
                <c:pt idx="43">
                  <c:v>11.666281319999998</c:v>
                </c:pt>
                <c:pt idx="44">
                  <c:v>13.239431830000001</c:v>
                </c:pt>
                <c:pt idx="45">
                  <c:v>14.060798060000003</c:v>
                </c:pt>
                <c:pt idx="46">
                  <c:v>13.859436639999998</c:v>
                </c:pt>
                <c:pt idx="47">
                  <c:v>15.665026489999997</c:v>
                </c:pt>
                <c:pt idx="48">
                  <c:v>18.90273208</c:v>
                </c:pt>
                <c:pt idx="49">
                  <c:v>13.856007309999999</c:v>
                </c:pt>
                <c:pt idx="50">
                  <c:v>14.334491669999998</c:v>
                </c:pt>
                <c:pt idx="51">
                  <c:v>13.340851590000002</c:v>
                </c:pt>
                <c:pt idx="52">
                  <c:v>12.46198249</c:v>
                </c:pt>
                <c:pt idx="53">
                  <c:v>11.688183840000001</c:v>
                </c:pt>
                <c:pt idx="54">
                  <c:v>12.454043729999999</c:v>
                </c:pt>
                <c:pt idx="55">
                  <c:v>13.321294389999998</c:v>
                </c:pt>
                <c:pt idx="56">
                  <c:v>13.548738499999999</c:v>
                </c:pt>
                <c:pt idx="57">
                  <c:v>14.14643517</c:v>
                </c:pt>
                <c:pt idx="58">
                  <c:v>14.860085290000001</c:v>
                </c:pt>
                <c:pt idx="59">
                  <c:v>16.867432880000003</c:v>
                </c:pt>
                <c:pt idx="60">
                  <c:v>19.460000000000008</c:v>
                </c:pt>
                <c:pt idx="61">
                  <c:v>15.566037735849056</c:v>
                </c:pt>
                <c:pt idx="62">
                  <c:v>15</c:v>
                </c:pt>
                <c:pt idx="63">
                  <c:v>15.1</c:v>
                </c:pt>
                <c:pt idx="64">
                  <c:v>14.068400570000001</c:v>
                </c:pt>
                <c:pt idx="65">
                  <c:v>12.80439123</c:v>
                </c:pt>
                <c:pt idx="66">
                  <c:v>12.8</c:v>
                </c:pt>
                <c:pt idx="67">
                  <c:v>13.5</c:v>
                </c:pt>
                <c:pt idx="68">
                  <c:v>14</c:v>
                </c:pt>
                <c:pt idx="69">
                  <c:v>14.700000000000001</c:v>
                </c:pt>
                <c:pt idx="70">
                  <c:v>14.7</c:v>
                </c:pt>
                <c:pt idx="71">
                  <c:v>15.8</c:v>
                </c:pt>
                <c:pt idx="72">
                  <c:v>18.35787178</c:v>
                </c:pt>
                <c:pt idx="73">
                  <c:v>15.089686590000001</c:v>
                </c:pt>
                <c:pt idx="74">
                  <c:v>15.2</c:v>
                </c:pt>
                <c:pt idx="75">
                  <c:v>14.265052669999999</c:v>
                </c:pt>
                <c:pt idx="76">
                  <c:v>14.232368310000002</c:v>
                </c:pt>
                <c:pt idx="77">
                  <c:v>12.879468500000002</c:v>
                </c:pt>
                <c:pt idx="78">
                  <c:v>12.656000000000001</c:v>
                </c:pt>
                <c:pt idx="79">
                  <c:v>12.796857509999999</c:v>
                </c:pt>
                <c:pt idx="80">
                  <c:v>14.3</c:v>
                </c:pt>
                <c:pt idx="81">
                  <c:v>14.69358235</c:v>
                </c:pt>
                <c:pt idx="82">
                  <c:v>14.04</c:v>
                </c:pt>
                <c:pt idx="83">
                  <c:v>16.405365369999998</c:v>
                </c:pt>
                <c:pt idx="84">
                  <c:v>18.80661546</c:v>
                </c:pt>
                <c:pt idx="85">
                  <c:v>15.18128989</c:v>
                </c:pt>
                <c:pt idx="86">
                  <c:v>16.251585470000002</c:v>
                </c:pt>
                <c:pt idx="87">
                  <c:v>14.582348619999999</c:v>
                </c:pt>
                <c:pt idx="88">
                  <c:v>16.01832259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CE-EC4A-926E-8B751C8FFFE9}"/>
            </c:ext>
          </c:extLst>
        </c:ser>
        <c:ser>
          <c:idx val="2"/>
          <c:order val="2"/>
          <c:tx>
            <c:strRef>
              <c:f>'New Summary Monthly'!#REF!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'New Summary Monthly'!$B$374:$CL$374</c:f>
              <c:numCache>
                <c:formatCode>mmm\-yy</c:formatCode>
                <c:ptCount val="8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</c:numCache>
            </c:numRef>
          </c:cat>
          <c:val>
            <c:numRef>
              <c:f>'New Summary Monthly'!#REF!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CE-EC4A-926E-8B751C8FFFE9}"/>
            </c:ext>
          </c:extLst>
        </c:ser>
        <c:ser>
          <c:idx val="3"/>
          <c:order val="3"/>
          <c:tx>
            <c:strRef>
              <c:f>'New Summary Monthly'!$A$377</c:f>
              <c:strCache>
                <c:ptCount val="1"/>
                <c:pt idx="0">
                  <c:v> Bingo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Monthly'!$B$374:$CL$374</c:f>
              <c:numCache>
                <c:formatCode>mmm\-yy</c:formatCode>
                <c:ptCount val="8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</c:numCache>
            </c:numRef>
          </c:cat>
          <c:val>
            <c:numRef>
              <c:f>'New Summary Monthly'!$B$377:$CL$377</c:f>
              <c:numCache>
                <c:formatCode>#,##0.0</c:formatCode>
                <c:ptCount val="89"/>
                <c:pt idx="0">
                  <c:v>2.97</c:v>
                </c:pt>
                <c:pt idx="1">
                  <c:v>2.5077535200000001</c:v>
                </c:pt>
                <c:pt idx="2">
                  <c:v>2.8213789999999999</c:v>
                </c:pt>
                <c:pt idx="3">
                  <c:v>2.3664876499999998</c:v>
                </c:pt>
                <c:pt idx="4">
                  <c:v>2.3414640000000002</c:v>
                </c:pt>
                <c:pt idx="5">
                  <c:v>2.14514</c:v>
                </c:pt>
                <c:pt idx="6">
                  <c:v>2.19</c:v>
                </c:pt>
                <c:pt idx="7">
                  <c:v>2.383937</c:v>
                </c:pt>
                <c:pt idx="8">
                  <c:v>2.53771586</c:v>
                </c:pt>
                <c:pt idx="9">
                  <c:v>2.7935310000000002</c:v>
                </c:pt>
                <c:pt idx="10">
                  <c:v>2.7836821</c:v>
                </c:pt>
                <c:pt idx="11">
                  <c:v>3.2341329999999999</c:v>
                </c:pt>
                <c:pt idx="12">
                  <c:v>3.3186507799999996</c:v>
                </c:pt>
                <c:pt idx="13">
                  <c:v>2.698812274242</c:v>
                </c:pt>
                <c:pt idx="14">
                  <c:v>3.2535156966939986</c:v>
                </c:pt>
                <c:pt idx="15">
                  <c:v>3.0684871098140007</c:v>
                </c:pt>
                <c:pt idx="16">
                  <c:v>3.0101724426510006</c:v>
                </c:pt>
                <c:pt idx="17">
                  <c:v>2.6407773298560002</c:v>
                </c:pt>
                <c:pt idx="18">
                  <c:v>2.8343887499999996</c:v>
                </c:pt>
                <c:pt idx="19">
                  <c:v>2.9050224283079999</c:v>
                </c:pt>
                <c:pt idx="20">
                  <c:v>2.973054332891</c:v>
                </c:pt>
                <c:pt idx="21">
                  <c:v>3.2834387179424001</c:v>
                </c:pt>
                <c:pt idx="22">
                  <c:v>3.3724435506339989</c:v>
                </c:pt>
                <c:pt idx="23">
                  <c:v>4.0632759099999998</c:v>
                </c:pt>
                <c:pt idx="24">
                  <c:v>3.8987913223440005</c:v>
                </c:pt>
                <c:pt idx="25">
                  <c:v>3.5588955948479999</c:v>
                </c:pt>
                <c:pt idx="26">
                  <c:v>5.1289139376719994</c:v>
                </c:pt>
                <c:pt idx="27">
                  <c:v>5.5561678713719997</c:v>
                </c:pt>
                <c:pt idx="28">
                  <c:v>5.5048381041959988</c:v>
                </c:pt>
                <c:pt idx="29">
                  <c:v>4.6675564689270006</c:v>
                </c:pt>
                <c:pt idx="30">
                  <c:v>4.1002781003360003</c:v>
                </c:pt>
                <c:pt idx="31">
                  <c:v>4.0602230970840001</c:v>
                </c:pt>
                <c:pt idx="32">
                  <c:v>3.9525350448580014</c:v>
                </c:pt>
                <c:pt idx="33">
                  <c:v>4.411747060593</c:v>
                </c:pt>
                <c:pt idx="34">
                  <c:v>5.823877949562001</c:v>
                </c:pt>
                <c:pt idx="35">
                  <c:v>7.5095465789939979</c:v>
                </c:pt>
                <c:pt idx="36">
                  <c:v>7.6533254659999992</c:v>
                </c:pt>
                <c:pt idx="37">
                  <c:v>6.1262221009999998</c:v>
                </c:pt>
                <c:pt idx="38">
                  <c:v>6.6731746879999996</c:v>
                </c:pt>
                <c:pt idx="39">
                  <c:v>6.3373257260000004</c:v>
                </c:pt>
                <c:pt idx="40">
                  <c:v>5.9176796720000029</c:v>
                </c:pt>
                <c:pt idx="41">
                  <c:v>5.0042434749999991</c:v>
                </c:pt>
                <c:pt idx="42">
                  <c:v>4.5691137220000009</c:v>
                </c:pt>
                <c:pt idx="43">
                  <c:v>4.4789435099999997</c:v>
                </c:pt>
                <c:pt idx="44">
                  <c:v>4.4517395749999995</c:v>
                </c:pt>
                <c:pt idx="45">
                  <c:v>4.9447533470000007</c:v>
                </c:pt>
                <c:pt idx="46">
                  <c:v>4.6174735689999977</c:v>
                </c:pt>
                <c:pt idx="47">
                  <c:v>5.8008929149999986</c:v>
                </c:pt>
                <c:pt idx="48">
                  <c:v>6.141696016</c:v>
                </c:pt>
                <c:pt idx="49">
                  <c:v>4.9510519660000005</c:v>
                </c:pt>
                <c:pt idx="50">
                  <c:v>5.0316255690000027</c:v>
                </c:pt>
                <c:pt idx="51">
                  <c:v>4.796368531999998</c:v>
                </c:pt>
                <c:pt idx="52">
                  <c:v>4.6052172710000008</c:v>
                </c:pt>
                <c:pt idx="53">
                  <c:v>4.3585295480000017</c:v>
                </c:pt>
                <c:pt idx="54">
                  <c:v>4.9327396720000012</c:v>
                </c:pt>
                <c:pt idx="55">
                  <c:v>5.0393983899999997</c:v>
                </c:pt>
                <c:pt idx="56">
                  <c:v>4.8144943909999975</c:v>
                </c:pt>
                <c:pt idx="57">
                  <c:v>4.9418192200000011</c:v>
                </c:pt>
                <c:pt idx="58">
                  <c:v>5.1711299199999994</c:v>
                </c:pt>
                <c:pt idx="59">
                  <c:v>6.3163926800000008</c:v>
                </c:pt>
                <c:pt idx="60">
                  <c:v>6.2459381799999996</c:v>
                </c:pt>
                <c:pt idx="61">
                  <c:v>5.0451133300000004</c:v>
                </c:pt>
                <c:pt idx="62">
                  <c:v>5.5</c:v>
                </c:pt>
                <c:pt idx="63">
                  <c:v>5.1320361099999996</c:v>
                </c:pt>
                <c:pt idx="64">
                  <c:v>5.23544301</c:v>
                </c:pt>
                <c:pt idx="65">
                  <c:v>4.8829021399999997</c:v>
                </c:pt>
                <c:pt idx="66">
                  <c:v>4.7621123699999997</c:v>
                </c:pt>
                <c:pt idx="67">
                  <c:v>4.9430698199999998</c:v>
                </c:pt>
                <c:pt idx="68">
                  <c:v>4.9882803300000003</c:v>
                </c:pt>
                <c:pt idx="69">
                  <c:v>5.3</c:v>
                </c:pt>
                <c:pt idx="70">
                  <c:v>5.1738624</c:v>
                </c:pt>
                <c:pt idx="71">
                  <c:v>6.5873090100000002</c:v>
                </c:pt>
                <c:pt idx="72">
                  <c:v>6.8796785800000002</c:v>
                </c:pt>
                <c:pt idx="73">
                  <c:v>5.5741105299999996</c:v>
                </c:pt>
                <c:pt idx="74">
                  <c:v>5.7412732000000002</c:v>
                </c:pt>
                <c:pt idx="75">
                  <c:v>5.4344093400000002</c:v>
                </c:pt>
                <c:pt idx="76">
                  <c:v>5.3593803800000002</c:v>
                </c:pt>
                <c:pt idx="77">
                  <c:v>4.9720724799999996</c:v>
                </c:pt>
                <c:pt idx="78">
                  <c:v>5.0444708800000004</c:v>
                </c:pt>
                <c:pt idx="79">
                  <c:v>5.1123921000000001</c:v>
                </c:pt>
                <c:pt idx="80">
                  <c:v>5.2774517300000001</c:v>
                </c:pt>
                <c:pt idx="81">
                  <c:v>5.5922376399999996</c:v>
                </c:pt>
                <c:pt idx="82">
                  <c:v>5.2974913700000004</c:v>
                </c:pt>
                <c:pt idx="83">
                  <c:v>6.9290016000000003</c:v>
                </c:pt>
                <c:pt idx="84">
                  <c:v>7.16997997</c:v>
                </c:pt>
                <c:pt idx="85">
                  <c:v>5.6898268099999996</c:v>
                </c:pt>
                <c:pt idx="86">
                  <c:v>6.1332742199999997</c:v>
                </c:pt>
                <c:pt idx="87">
                  <c:v>4.2248320399999999</c:v>
                </c:pt>
                <c:pt idx="8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CE-EC4A-926E-8B751C8FF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11637551"/>
        <c:axId val="1511267823"/>
      </c:barChart>
      <c:dateAx>
        <c:axId val="1511637551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11267823"/>
        <c:crosses val="autoZero"/>
        <c:auto val="1"/>
        <c:lblOffset val="100"/>
        <c:baseTimeUnit val="months"/>
      </c:dateAx>
      <c:valAx>
        <c:axId val="1511267823"/>
        <c:scaling>
          <c:orientation val="minMax"/>
          <c:max val="3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11637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r>
              <a:rPr lang="en-GB" sz="1680">
                <a:latin typeface="Apercu" panose="02000506040000020004" pitchFamily="2" charset="77"/>
              </a:rPr>
              <a:t>Online Gambling Market by Product Split as % of Total Market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'Overview (LC)'!$E$39</c:f>
              <c:strCache>
                <c:ptCount val="1"/>
                <c:pt idx="0">
                  <c:v>Online Betting</c:v>
                </c:pt>
              </c:strCache>
            </c:strRef>
          </c:tx>
          <c:spPr>
            <a:ln w="28575" cap="rnd">
              <a:solidFill>
                <a:schemeClr val="accent1">
                  <a:shade val="58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'Overview (LC)'!$G$17:$AH$17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(LC)'!$G$39:$AH$39</c:f>
              <c:numCache>
                <c:formatCode>0%</c:formatCode>
                <c:ptCount val="28"/>
                <c:pt idx="0">
                  <c:v>4.1750719791245013E-2</c:v>
                </c:pt>
                <c:pt idx="1">
                  <c:v>4.8494441417135777E-2</c:v>
                </c:pt>
                <c:pt idx="2">
                  <c:v>6.4274971428694816E-2</c:v>
                </c:pt>
                <c:pt idx="3">
                  <c:v>6.3335762444172189E-2</c:v>
                </c:pt>
                <c:pt idx="4">
                  <c:v>0.10348430836858885</c:v>
                </c:pt>
                <c:pt idx="5">
                  <c:v>0.12392772523427528</c:v>
                </c:pt>
                <c:pt idx="6">
                  <c:v>0.1525409927151854</c:v>
                </c:pt>
                <c:pt idx="7">
                  <c:v>0.18080989040639547</c:v>
                </c:pt>
                <c:pt idx="8">
                  <c:v>0.19617800927436929</c:v>
                </c:pt>
                <c:pt idx="9">
                  <c:v>0.21364829297195909</c:v>
                </c:pt>
                <c:pt idx="10">
                  <c:v>0.23584803775844021</c:v>
                </c:pt>
                <c:pt idx="11">
                  <c:v>0.23190862481591676</c:v>
                </c:pt>
                <c:pt idx="12">
                  <c:v>0.28693926462130098</c:v>
                </c:pt>
                <c:pt idx="13">
                  <c:v>0.31925438848296395</c:v>
                </c:pt>
                <c:pt idx="14">
                  <c:v>0.3573004590243552</c:v>
                </c:pt>
                <c:pt idx="15">
                  <c:v>0.37849357873490186</c:v>
                </c:pt>
                <c:pt idx="16">
                  <c:v>0.40027582995997896</c:v>
                </c:pt>
                <c:pt idx="17">
                  <c:v>0.58722915369866158</c:v>
                </c:pt>
                <c:pt idx="18">
                  <c:v>0.73478180827082451</c:v>
                </c:pt>
                <c:pt idx="19">
                  <c:v>0.54491640407918751</c:v>
                </c:pt>
                <c:pt idx="20">
                  <c:v>0.54730631948605257</c:v>
                </c:pt>
                <c:pt idx="21">
                  <c:v>0.56026149526873681</c:v>
                </c:pt>
                <c:pt idx="22">
                  <c:v>0.56375566774647301</c:v>
                </c:pt>
                <c:pt idx="23">
                  <c:v>0.59258510787177399</c:v>
                </c:pt>
                <c:pt idx="24">
                  <c:v>0.60814930524971533</c:v>
                </c:pt>
                <c:pt idx="25">
                  <c:v>0.62388498254227875</c:v>
                </c:pt>
                <c:pt idx="26">
                  <c:v>0.6398139221209731</c:v>
                </c:pt>
                <c:pt idx="27">
                  <c:v>0.63697191983372714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58-994D-AF64-DAC52F212490}"/>
            </c:ext>
          </c:extLst>
        </c:ser>
        <c:ser>
          <c:idx val="1"/>
          <c:order val="1"/>
          <c:tx>
            <c:strRef>
              <c:f>'Overview (LC)'!$E$40</c:f>
              <c:strCache>
                <c:ptCount val="1"/>
                <c:pt idx="0">
                  <c:v>Online Gaming</c:v>
                </c:pt>
              </c:strCache>
            </c:strRef>
          </c:tx>
          <c:spPr>
            <a:ln w="28575" cap="rnd">
              <a:solidFill>
                <a:schemeClr val="tx2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'Overview (LC)'!$G$17:$AH$17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(LC)'!$G$40:$AH$40</c:f>
              <c:numCache>
                <c:formatCode>0%</c:formatCode>
                <c:ptCount val="28"/>
                <c:pt idx="0">
                  <c:v>1.6666954098672099E-2</c:v>
                </c:pt>
                <c:pt idx="1">
                  <c:v>2.929708314584225E-2</c:v>
                </c:pt>
                <c:pt idx="2">
                  <c:v>3.3549048395906465E-2</c:v>
                </c:pt>
                <c:pt idx="3">
                  <c:v>3.2941649781304275E-2</c:v>
                </c:pt>
                <c:pt idx="4">
                  <c:v>4.1511861535892251E-2</c:v>
                </c:pt>
                <c:pt idx="5">
                  <c:v>5.0006182033460425E-2</c:v>
                </c:pt>
                <c:pt idx="6">
                  <c:v>8.0305685990914727E-2</c:v>
                </c:pt>
                <c:pt idx="7">
                  <c:v>8.0694921544387635E-2</c:v>
                </c:pt>
                <c:pt idx="8">
                  <c:v>7.5928592455129021E-2</c:v>
                </c:pt>
                <c:pt idx="9">
                  <c:v>6.9543651252687452E-2</c:v>
                </c:pt>
                <c:pt idx="10">
                  <c:v>6.9966053616233273E-2</c:v>
                </c:pt>
                <c:pt idx="11">
                  <c:v>6.532056206198468E-2</c:v>
                </c:pt>
                <c:pt idx="12">
                  <c:v>6.3550768528074689E-2</c:v>
                </c:pt>
                <c:pt idx="13">
                  <c:v>6.4477796303827217E-2</c:v>
                </c:pt>
                <c:pt idx="14">
                  <c:v>7.3975143648419797E-2</c:v>
                </c:pt>
                <c:pt idx="15">
                  <c:v>8.5458891395849473E-2</c:v>
                </c:pt>
                <c:pt idx="16">
                  <c:v>9.3386245788975836E-2</c:v>
                </c:pt>
                <c:pt idx="17">
                  <c:v>0.23878363278237802</c:v>
                </c:pt>
                <c:pt idx="18">
                  <c:v>0.29891614971577407</c:v>
                </c:pt>
                <c:pt idx="19">
                  <c:v>0.20466723847067828</c:v>
                </c:pt>
                <c:pt idx="20">
                  <c:v>0.22982253451199766</c:v>
                </c:pt>
                <c:pt idx="21">
                  <c:v>0.26407067518624616</c:v>
                </c:pt>
                <c:pt idx="22">
                  <c:v>0.29580448437037621</c:v>
                </c:pt>
                <c:pt idx="23">
                  <c:v>0.32453797421554037</c:v>
                </c:pt>
                <c:pt idx="24">
                  <c:v>0.35063770247185527</c:v>
                </c:pt>
                <c:pt idx="25">
                  <c:v>0.37430640740530607</c:v>
                </c:pt>
                <c:pt idx="26">
                  <c:v>0.39557926653049158</c:v>
                </c:pt>
                <c:pt idx="27">
                  <c:v>0.41469072078913294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758-994D-AF64-DAC52F212490}"/>
            </c:ext>
          </c:extLst>
        </c:ser>
        <c:ser>
          <c:idx val="2"/>
          <c:order val="2"/>
          <c:tx>
            <c:strRef>
              <c:f>'Overview (LC)'!$E$41</c:f>
              <c:strCache>
                <c:ptCount val="1"/>
                <c:pt idx="0">
                  <c:v>Online Lottery</c:v>
                </c:pt>
              </c:strCache>
            </c:strRef>
          </c:tx>
          <c:spPr>
            <a:ln w="28575" cap="rnd">
              <a:solidFill>
                <a:schemeClr val="accent1">
                  <a:tint val="86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'Overview (LC)'!$G$17:$AH$17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(LC)'!$G$41:$AH$41</c:f>
              <c:numCache>
                <c:formatCode>0%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5.0482170195782544E-4</c:v>
                </c:pt>
                <c:pt idx="7">
                  <c:v>1.534208883727682E-3</c:v>
                </c:pt>
                <c:pt idx="8">
                  <c:v>1.0862483538505582E-3</c:v>
                </c:pt>
                <c:pt idx="9">
                  <c:v>2.1900269541778976E-3</c:v>
                </c:pt>
                <c:pt idx="10">
                  <c:v>2.2980378292381119E-3</c:v>
                </c:pt>
                <c:pt idx="11">
                  <c:v>3.1272994849153792E-3</c:v>
                </c:pt>
                <c:pt idx="12">
                  <c:v>3.3216460601587007E-3</c:v>
                </c:pt>
                <c:pt idx="13">
                  <c:v>4.8161823727725156E-3</c:v>
                </c:pt>
                <c:pt idx="14">
                  <c:v>6.9160583941605801E-3</c:v>
                </c:pt>
                <c:pt idx="15">
                  <c:v>9.046476528111011E-3</c:v>
                </c:pt>
                <c:pt idx="16">
                  <c:v>1.0462239794320037E-2</c:v>
                </c:pt>
                <c:pt idx="17">
                  <c:v>1.6922944953139677E-2</c:v>
                </c:pt>
                <c:pt idx="18">
                  <c:v>1.5275321521135768E-2</c:v>
                </c:pt>
                <c:pt idx="19">
                  <c:v>1.9488063198249656E-2</c:v>
                </c:pt>
                <c:pt idx="20">
                  <c:v>1.8586651412404061E-2</c:v>
                </c:pt>
                <c:pt idx="21">
                  <c:v>2.14614523480725E-2</c:v>
                </c:pt>
                <c:pt idx="22">
                  <c:v>2.3143842778802416E-2</c:v>
                </c:pt>
                <c:pt idx="23">
                  <c:v>2.5045395252447023E-2</c:v>
                </c:pt>
                <c:pt idx="24">
                  <c:v>2.7239157906680144E-2</c:v>
                </c:pt>
                <c:pt idx="25">
                  <c:v>2.9730132274613692E-2</c:v>
                </c:pt>
                <c:pt idx="26">
                  <c:v>3.2579207377999707E-2</c:v>
                </c:pt>
                <c:pt idx="27">
                  <c:v>3.5843190817974407E-2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758-994D-AF64-DAC52F212490}"/>
            </c:ext>
          </c:extLst>
        </c:ser>
        <c:ser>
          <c:idx val="3"/>
          <c:order val="3"/>
          <c:tx>
            <c:strRef>
              <c:f>'Overview (LC)'!$E$42</c:f>
              <c:strCache>
                <c:ptCount val="1"/>
                <c:pt idx="0">
                  <c:v>Online Total</c:v>
                </c:pt>
              </c:strCache>
            </c:strRef>
          </c:tx>
          <c:spPr>
            <a:ln w="28575" cap="rnd">
              <a:solidFill>
                <a:schemeClr val="tx2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'Overview (LC)'!$G$17:$AH$17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(LC)'!$G$42:$AH$42</c:f>
              <c:numCache>
                <c:formatCode>0%</c:formatCode>
                <c:ptCount val="28"/>
                <c:pt idx="0">
                  <c:v>1.0425464590765647E-2</c:v>
                </c:pt>
                <c:pt idx="1">
                  <c:v>1.2858707153571156E-2</c:v>
                </c:pt>
                <c:pt idx="2">
                  <c:v>2.149248257941664E-2</c:v>
                </c:pt>
                <c:pt idx="3">
                  <c:v>2.2424257594410853E-2</c:v>
                </c:pt>
                <c:pt idx="4">
                  <c:v>3.0331998840086014E-2</c:v>
                </c:pt>
                <c:pt idx="5">
                  <c:v>3.6228231148717205E-2</c:v>
                </c:pt>
                <c:pt idx="6">
                  <c:v>5.1418620132640827E-2</c:v>
                </c:pt>
                <c:pt idx="7">
                  <c:v>5.8952711054115953E-2</c:v>
                </c:pt>
                <c:pt idx="8">
                  <c:v>5.7268403949856668E-2</c:v>
                </c:pt>
                <c:pt idx="9">
                  <c:v>5.6332594290553033E-2</c:v>
                </c:pt>
                <c:pt idx="10">
                  <c:v>5.8453276201475453E-2</c:v>
                </c:pt>
                <c:pt idx="11">
                  <c:v>5.7877179931641716E-2</c:v>
                </c:pt>
                <c:pt idx="12">
                  <c:v>6.0233459481404052E-2</c:v>
                </c:pt>
                <c:pt idx="13">
                  <c:v>6.316158664238683E-2</c:v>
                </c:pt>
                <c:pt idx="14">
                  <c:v>8.1089937176385171E-2</c:v>
                </c:pt>
                <c:pt idx="15">
                  <c:v>9.3785708715161162E-2</c:v>
                </c:pt>
                <c:pt idx="16">
                  <c:v>0.10256121957166126</c:v>
                </c:pt>
                <c:pt idx="17">
                  <c:v>0.2140566714246587</c:v>
                </c:pt>
                <c:pt idx="18">
                  <c:v>0.24708800118094404</c:v>
                </c:pt>
                <c:pt idx="19">
                  <c:v>0.19609169669338294</c:v>
                </c:pt>
                <c:pt idx="20">
                  <c:v>0.21742717001122822</c:v>
                </c:pt>
                <c:pt idx="21">
                  <c:v>0.23793685644366908</c:v>
                </c:pt>
                <c:pt idx="22">
                  <c:v>0.25970550650489999</c:v>
                </c:pt>
                <c:pt idx="23">
                  <c:v>0.28233964215331625</c:v>
                </c:pt>
                <c:pt idx="24">
                  <c:v>0.30098188310347923</c:v>
                </c:pt>
                <c:pt idx="25">
                  <c:v>0.31858419655801634</c:v>
                </c:pt>
                <c:pt idx="26">
                  <c:v>0.33504364800520597</c:v>
                </c:pt>
                <c:pt idx="27">
                  <c:v>0.34662228627961594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758-994D-AF64-DAC52F212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804624"/>
        <c:axId val="73545040"/>
      </c:lineChart>
      <c:catAx>
        <c:axId val="7380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545040"/>
        <c:crosses val="autoZero"/>
        <c:auto val="1"/>
        <c:lblAlgn val="ctr"/>
        <c:lblOffset val="100"/>
        <c:noMultiLvlLbl val="0"/>
      </c:catAx>
      <c:valAx>
        <c:axId val="735450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80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sz="1200"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700285368141561E-2"/>
          <c:y val="2.5430584334852881E-2"/>
          <c:w val="0.95629100887337715"/>
          <c:h val="0.80465458822280744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'New Summary Monthly'!$A$18</c:f>
              <c:strCache>
                <c:ptCount val="1"/>
                <c:pt idx="0">
                  <c:v> Landbased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Monthly'!$DR$12:$GO$12</c:f>
              <c:numCache>
                <c:formatCode>mmm\-yy</c:formatCode>
                <c:ptCount val="76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</c:numCache>
            </c:numRef>
          </c:cat>
          <c:val>
            <c:numRef>
              <c:f>'New Summary Monthly'!$DR$18:$GP$18</c:f>
              <c:numCache>
                <c:formatCode>0.0</c:formatCode>
                <c:ptCount val="77"/>
                <c:pt idx="0">
                  <c:v>23.484069430000002</c:v>
                </c:pt>
                <c:pt idx="1">
                  <c:v>20.82319953</c:v>
                </c:pt>
                <c:pt idx="2">
                  <c:v>24.921911499999997</c:v>
                </c:pt>
                <c:pt idx="3">
                  <c:v>22.233957540000002</c:v>
                </c:pt>
                <c:pt idx="4">
                  <c:v>23.151891669999994</c:v>
                </c:pt>
                <c:pt idx="5">
                  <c:v>21.01090026</c:v>
                </c:pt>
                <c:pt idx="6">
                  <c:v>21.543781659999997</c:v>
                </c:pt>
                <c:pt idx="7">
                  <c:v>20.672595130000005</c:v>
                </c:pt>
                <c:pt idx="8">
                  <c:v>23.525278970000006</c:v>
                </c:pt>
                <c:pt idx="9">
                  <c:v>25.31066542000001</c:v>
                </c:pt>
                <c:pt idx="10">
                  <c:v>24.206421899999999</c:v>
                </c:pt>
                <c:pt idx="11">
                  <c:v>26.420313839999984</c:v>
                </c:pt>
                <c:pt idx="12">
                  <c:v>27.543122450000016</c:v>
                </c:pt>
                <c:pt idx="13">
                  <c:v>25.805918919999996</c:v>
                </c:pt>
                <c:pt idx="14">
                  <c:v>6.8484671799999974</c:v>
                </c:pt>
                <c:pt idx="15">
                  <c:v>0</c:v>
                </c:pt>
                <c:pt idx="16">
                  <c:v>3.7000000000000002E-6</c:v>
                </c:pt>
                <c:pt idx="17">
                  <c:v>8.6329136000000037</c:v>
                </c:pt>
                <c:pt idx="18">
                  <c:v>25.071223229999994</c:v>
                </c:pt>
                <c:pt idx="19" formatCode="#,##0.0">
                  <c:v>25.80920334</c:v>
                </c:pt>
                <c:pt idx="20">
                  <c:v>26.208460500000005</c:v>
                </c:pt>
                <c:pt idx="21">
                  <c:v>22.524044789999998</c:v>
                </c:pt>
                <c:pt idx="22">
                  <c:v>0.61385335000000008</c:v>
                </c:pt>
                <c:pt idx="23" formatCode="#,##0.0">
                  <c:v>3.0000000000000001E-6</c:v>
                </c:pt>
                <c:pt idx="24">
                  <c:v>9.9999999999999995E-7</c:v>
                </c:pt>
                <c:pt idx="25">
                  <c:v>0</c:v>
                </c:pt>
                <c:pt idx="26">
                  <c:v>9.9999999999999995E-7</c:v>
                </c:pt>
                <c:pt idx="27">
                  <c:v>1.9999999999999999E-6</c:v>
                </c:pt>
                <c:pt idx="28">
                  <c:v>3.7326299999999998E-3</c:v>
                </c:pt>
                <c:pt idx="29">
                  <c:v>8.7395703000000022</c:v>
                </c:pt>
                <c:pt idx="30">
                  <c:v>24.429195070000002</c:v>
                </c:pt>
                <c:pt idx="31" formatCode="#,##0.0">
                  <c:v>21.825620310000005</c:v>
                </c:pt>
                <c:pt idx="32">
                  <c:v>25.67301647</c:v>
                </c:pt>
                <c:pt idx="33">
                  <c:v>31.093111759999989</c:v>
                </c:pt>
                <c:pt idx="34">
                  <c:v>26.657296959999989</c:v>
                </c:pt>
                <c:pt idx="35" formatCode="#,##0.0">
                  <c:v>28.577094500000026</c:v>
                </c:pt>
                <c:pt idx="36">
                  <c:v>28.513868270000014</c:v>
                </c:pt>
                <c:pt idx="37">
                  <c:v>26.650590959999999</c:v>
                </c:pt>
                <c:pt idx="38">
                  <c:v>29.79026343000001</c:v>
                </c:pt>
                <c:pt idx="39">
                  <c:v>28.199619569999996</c:v>
                </c:pt>
                <c:pt idx="40">
                  <c:v>28.456049990000007</c:v>
                </c:pt>
                <c:pt idx="41">
                  <c:v>27.387243519999988</c:v>
                </c:pt>
                <c:pt idx="42">
                  <c:v>25.363890780000009</c:v>
                </c:pt>
                <c:pt idx="43" formatCode="#,##0.0">
                  <c:v>29.011110639999988</c:v>
                </c:pt>
                <c:pt idx="44">
                  <c:v>29.113937620000012</c:v>
                </c:pt>
                <c:pt idx="45">
                  <c:v>33.57546112</c:v>
                </c:pt>
                <c:pt idx="46">
                  <c:v>33.248055290000003</c:v>
                </c:pt>
                <c:pt idx="47" formatCode="#,##0.0">
                  <c:v>36.981702289999994</c:v>
                </c:pt>
                <c:pt idx="48">
                  <c:v>35.18</c:v>
                </c:pt>
                <c:pt idx="49">
                  <c:v>31.28535737</c:v>
                </c:pt>
                <c:pt idx="50">
                  <c:v>35.229934839999999</c:v>
                </c:pt>
                <c:pt idx="51">
                  <c:v>35.026004130000004</c:v>
                </c:pt>
                <c:pt idx="52">
                  <c:v>34.24918727</c:v>
                </c:pt>
                <c:pt idx="53">
                  <c:v>31.314389069999997</c:v>
                </c:pt>
                <c:pt idx="54">
                  <c:v>29.940272489999998</c:v>
                </c:pt>
                <c:pt idx="55">
                  <c:v>32.065712859999998</c:v>
                </c:pt>
                <c:pt idx="56">
                  <c:v>35.299999999999997</c:v>
                </c:pt>
                <c:pt idx="57">
                  <c:v>38.299999999999997</c:v>
                </c:pt>
                <c:pt idx="58">
                  <c:v>36.825795190000001</c:v>
                </c:pt>
                <c:pt idx="59" formatCode="#,##0.0">
                  <c:v>41.003156969999999</c:v>
                </c:pt>
                <c:pt idx="60">
                  <c:v>40.799999999999997</c:v>
                </c:pt>
                <c:pt idx="61">
                  <c:v>36.785040930000001</c:v>
                </c:pt>
                <c:pt idx="62">
                  <c:v>39.5</c:v>
                </c:pt>
                <c:pt idx="63">
                  <c:v>38.662491859999996</c:v>
                </c:pt>
                <c:pt idx="64">
                  <c:v>39.737135779999996</c:v>
                </c:pt>
                <c:pt idx="65">
                  <c:v>37.790640640000007</c:v>
                </c:pt>
                <c:pt idx="66">
                  <c:v>35.799999999999997</c:v>
                </c:pt>
                <c:pt idx="67">
                  <c:v>36.041220889999998</c:v>
                </c:pt>
                <c:pt idx="68">
                  <c:v>40.611969899999998</c:v>
                </c:pt>
                <c:pt idx="69">
                  <c:v>42.850134879999999</c:v>
                </c:pt>
                <c:pt idx="70">
                  <c:v>42.104906790000001</c:v>
                </c:pt>
                <c:pt idx="71" formatCode="#,##0.0">
                  <c:v>44.700663400000053</c:v>
                </c:pt>
                <c:pt idx="72">
                  <c:v>46.157726619999998</c:v>
                </c:pt>
                <c:pt idx="73" formatCode="#,##0.0">
                  <c:v>38.942273379999996</c:v>
                </c:pt>
                <c:pt idx="74" formatCode="#,##0.0">
                  <c:v>43.800000000000018</c:v>
                </c:pt>
                <c:pt idx="75" formatCode="#,##0.0">
                  <c:v>43.144632129999998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49-DB44-8D73-6766777044C7}"/>
            </c:ext>
          </c:extLst>
        </c:ser>
        <c:ser>
          <c:idx val="6"/>
          <c:order val="1"/>
          <c:tx>
            <c:strRef>
              <c:f>'New Summary Monthly'!$A$19</c:f>
              <c:strCache>
                <c:ptCount val="1"/>
                <c:pt idx="0">
                  <c:v> Remote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Monthly'!$DR$12:$GO$12</c:f>
              <c:numCache>
                <c:formatCode>mmm\-yy</c:formatCode>
                <c:ptCount val="76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</c:numCache>
            </c:numRef>
          </c:cat>
          <c:val>
            <c:numRef>
              <c:f>'New Summary Monthly'!$DR$19:$GO$19</c:f>
              <c:numCache>
                <c:formatCode>0.0</c:formatCode>
                <c:ptCount val="76"/>
                <c:pt idx="0">
                  <c:v>2.3058018000000002</c:v>
                </c:pt>
                <c:pt idx="1">
                  <c:v>2.0412524900000002</c:v>
                </c:pt>
                <c:pt idx="2">
                  <c:v>2.41968425</c:v>
                </c:pt>
                <c:pt idx="3">
                  <c:v>2.1984639499999998</c:v>
                </c:pt>
                <c:pt idx="4">
                  <c:v>2.2432316200000004</c:v>
                </c:pt>
                <c:pt idx="5">
                  <c:v>2.0540989299999999</c:v>
                </c:pt>
                <c:pt idx="6">
                  <c:v>1.9696287899999998</c:v>
                </c:pt>
                <c:pt idx="7">
                  <c:v>2.2631091100000003</c:v>
                </c:pt>
                <c:pt idx="8">
                  <c:v>2.8233167100000007</c:v>
                </c:pt>
                <c:pt idx="9">
                  <c:v>2.9297492000000007</c:v>
                </c:pt>
                <c:pt idx="10">
                  <c:v>3.1819481499999998</c:v>
                </c:pt>
                <c:pt idx="11">
                  <c:v>3.3197027999999991</c:v>
                </c:pt>
                <c:pt idx="12">
                  <c:v>3.1890778600000003</c:v>
                </c:pt>
                <c:pt idx="13">
                  <c:v>3.0131967200000003</c:v>
                </c:pt>
                <c:pt idx="14">
                  <c:v>5.6620973999999995</c:v>
                </c:pt>
                <c:pt idx="15">
                  <c:v>7.3288383799999997</c:v>
                </c:pt>
                <c:pt idx="16">
                  <c:v>7.5220987000000017</c:v>
                </c:pt>
                <c:pt idx="17">
                  <c:v>6.7976918700000004</c:v>
                </c:pt>
                <c:pt idx="18">
                  <c:v>5.3718871999999989</c:v>
                </c:pt>
                <c:pt idx="19">
                  <c:v>5.0657966000000005</c:v>
                </c:pt>
                <c:pt idx="20">
                  <c:v>5.2409115899999987</c:v>
                </c:pt>
                <c:pt idx="21">
                  <c:v>5.6803864699999993</c:v>
                </c:pt>
                <c:pt idx="22">
                  <c:v>10.028749969999996</c:v>
                </c:pt>
                <c:pt idx="23">
                  <c:v>11.049597890000003</c:v>
                </c:pt>
                <c:pt idx="24">
                  <c:v>10.332287369999998</c:v>
                </c:pt>
                <c:pt idx="25">
                  <c:v>8.6851707299999994</c:v>
                </c:pt>
                <c:pt idx="26">
                  <c:v>9.6168320099999995</c:v>
                </c:pt>
                <c:pt idx="27">
                  <c:v>10.05644977</c:v>
                </c:pt>
                <c:pt idx="28">
                  <c:v>8.9418658499999975</c:v>
                </c:pt>
                <c:pt idx="29">
                  <c:v>7.1744895600000014</c:v>
                </c:pt>
                <c:pt idx="30">
                  <c:v>6.9974948100000018</c:v>
                </c:pt>
                <c:pt idx="31">
                  <c:v>7.9753527099999992</c:v>
                </c:pt>
                <c:pt idx="32">
                  <c:v>8.1365643800000047</c:v>
                </c:pt>
                <c:pt idx="33">
                  <c:v>9.3274662599999925</c:v>
                </c:pt>
                <c:pt idx="34">
                  <c:v>8.5669041400000019</c:v>
                </c:pt>
                <c:pt idx="35">
                  <c:v>9.8928040399999979</c:v>
                </c:pt>
                <c:pt idx="36">
                  <c:v>9.3132926900000061</c:v>
                </c:pt>
                <c:pt idx="37">
                  <c:v>8.0429260899999999</c:v>
                </c:pt>
                <c:pt idx="38">
                  <c:v>8.3971856500000008</c:v>
                </c:pt>
                <c:pt idx="39">
                  <c:v>8.3273824599999973</c:v>
                </c:pt>
                <c:pt idx="40">
                  <c:v>8.5148791199999998</c:v>
                </c:pt>
                <c:pt idx="41">
                  <c:v>7.3342758100000021</c:v>
                </c:pt>
                <c:pt idx="42">
                  <c:v>7.7720363999999993</c:v>
                </c:pt>
                <c:pt idx="43">
                  <c:v>8.9395257700000013</c:v>
                </c:pt>
                <c:pt idx="44">
                  <c:v>9.2940190200000021</c:v>
                </c:pt>
                <c:pt idx="45">
                  <c:v>10.116009730000002</c:v>
                </c:pt>
                <c:pt idx="46">
                  <c:v>11.119148380000002</c:v>
                </c:pt>
                <c:pt idx="47">
                  <c:v>12.312556330000005</c:v>
                </c:pt>
                <c:pt idx="48" formatCode="#,##0.0">
                  <c:v>11.388146480000003</c:v>
                </c:pt>
                <c:pt idx="49" formatCode="#,##0.0">
                  <c:v>10.54715464</c:v>
                </c:pt>
                <c:pt idx="50" formatCode="#,##0.0">
                  <c:v>10.914526370000001</c:v>
                </c:pt>
                <c:pt idx="51" formatCode="#,##0.0">
                  <c:v>10.4450234</c:v>
                </c:pt>
                <c:pt idx="52" formatCode="#,##0.0">
                  <c:v>10.858612219999999</c:v>
                </c:pt>
                <c:pt idx="53" formatCode="#,##0.0">
                  <c:v>10.17539182</c:v>
                </c:pt>
                <c:pt idx="54" formatCode="#,##0.0">
                  <c:v>9.4660038600000007</c:v>
                </c:pt>
                <c:pt idx="55" formatCode="#,##0.0">
                  <c:v>10.81282807</c:v>
                </c:pt>
                <c:pt idx="56" formatCode="#,##0.0">
                  <c:v>12.089811409999999</c:v>
                </c:pt>
                <c:pt idx="57" formatCode="#,##0.0">
                  <c:v>13.575070849999999</c:v>
                </c:pt>
                <c:pt idx="58" formatCode="#,##0.0">
                  <c:v>12.892830139999999</c:v>
                </c:pt>
                <c:pt idx="59">
                  <c:v>14.55990705</c:v>
                </c:pt>
                <c:pt idx="60" formatCode="#,##0.0">
                  <c:v>14.96619375</c:v>
                </c:pt>
                <c:pt idx="61" formatCode="#,##0.0">
                  <c:v>13.75017484</c:v>
                </c:pt>
                <c:pt idx="62" formatCode="#,##0.0">
                  <c:v>14.724339479999999</c:v>
                </c:pt>
                <c:pt idx="63" formatCode="#,##0.0">
                  <c:v>13.054388510000001</c:v>
                </c:pt>
                <c:pt idx="64" formatCode="#,##0.0">
                  <c:v>14.24243794</c:v>
                </c:pt>
                <c:pt idx="65" formatCode="#,##0.0">
                  <c:v>13.122314859999999</c:v>
                </c:pt>
                <c:pt idx="66" formatCode="#,##0.0">
                  <c:v>14.07723696</c:v>
                </c:pt>
                <c:pt idx="67" formatCode="#,##0.0">
                  <c:v>14.91340514</c:v>
                </c:pt>
                <c:pt idx="68" formatCode="#,##0.0">
                  <c:v>15.998625629999999</c:v>
                </c:pt>
                <c:pt idx="69" formatCode="#,##0.0">
                  <c:v>16.68021637</c:v>
                </c:pt>
                <c:pt idx="70" formatCode="#,##0.0">
                  <c:v>15.37906714</c:v>
                </c:pt>
                <c:pt idx="71" formatCode="#,##0.0">
                  <c:v>18.179231000000001</c:v>
                </c:pt>
                <c:pt idx="72" formatCode="#,##0.0">
                  <c:v>16.59224949</c:v>
                </c:pt>
                <c:pt idx="73" formatCode="#,##0.0">
                  <c:v>14.540153310000001</c:v>
                </c:pt>
                <c:pt idx="74" formatCode="#,##0.0">
                  <c:v>15.990294609999999</c:v>
                </c:pt>
                <c:pt idx="75" formatCode="#,##0.0">
                  <c:v>15.216920930000001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A49-DB44-8D73-676677704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9087007"/>
        <c:axId val="1507531071"/>
      </c:barChart>
      <c:dateAx>
        <c:axId val="1619087007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07531071"/>
        <c:crosses val="autoZero"/>
        <c:auto val="1"/>
        <c:lblOffset val="100"/>
        <c:baseTimeUnit val="months"/>
      </c:dateAx>
      <c:valAx>
        <c:axId val="1507531071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6190870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227188771693867E-2"/>
          <c:y val="2.2727517601432143E-2"/>
          <c:w val="0.94739894896512744"/>
          <c:h val="0.84406119679502822"/>
        </c:manualLayout>
      </c:layout>
      <c:barChart>
        <c:barDir val="col"/>
        <c:grouping val="stacked"/>
        <c:varyColors val="0"/>
        <c:ser>
          <c:idx val="15"/>
          <c:order val="0"/>
          <c:tx>
            <c:strRef>
              <c:f>'New Summary Monthly'!$EQ$113</c:f>
              <c:strCache>
                <c:ptCount val="1"/>
                <c:pt idx="0">
                  <c:v>Casino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Monthly'!$DF$12:$GP$12</c:f>
              <c:numCache>
                <c:formatCode>mmm\-yy</c:formatCode>
                <c:ptCount val="8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</c:numCache>
            </c:numRef>
          </c:cat>
          <c:val>
            <c:numRef>
              <c:f>'New Summary Monthly'!$DF$28:$GP$28</c:f>
              <c:numCache>
                <c:formatCode>#,##0.0</c:formatCode>
                <c:ptCount val="89"/>
                <c:pt idx="0">
                  <c:v>59.7</c:v>
                </c:pt>
                <c:pt idx="1">
                  <c:v>54.891883640000003</c:v>
                </c:pt>
                <c:pt idx="2">
                  <c:v>60.641289999999998</c:v>
                </c:pt>
                <c:pt idx="3">
                  <c:v>58.1</c:v>
                </c:pt>
                <c:pt idx="4">
                  <c:v>57.302202999999999</c:v>
                </c:pt>
                <c:pt idx="5">
                  <c:v>55.494256999999998</c:v>
                </c:pt>
                <c:pt idx="6">
                  <c:v>56.258000000000003</c:v>
                </c:pt>
                <c:pt idx="7">
                  <c:v>56.464994500000003</c:v>
                </c:pt>
                <c:pt idx="8">
                  <c:v>58.65</c:v>
                </c:pt>
                <c:pt idx="9">
                  <c:v>64.913787999999997</c:v>
                </c:pt>
                <c:pt idx="10">
                  <c:v>57.200574770000003</c:v>
                </c:pt>
                <c:pt idx="11">
                  <c:v>70.420872000000003</c:v>
                </c:pt>
                <c:pt idx="12">
                  <c:v>71.942071190361759</c:v>
                </c:pt>
                <c:pt idx="13">
                  <c:v>61.40534213136182</c:v>
                </c:pt>
                <c:pt idx="14">
                  <c:v>72.571528158493095</c:v>
                </c:pt>
                <c:pt idx="15">
                  <c:v>67.422118842051447</c:v>
                </c:pt>
                <c:pt idx="16">
                  <c:v>69.915004660313983</c:v>
                </c:pt>
                <c:pt idx="17">
                  <c:v>62.550703943263557</c:v>
                </c:pt>
                <c:pt idx="18">
                  <c:v>64.478732467207024</c:v>
                </c:pt>
                <c:pt idx="19">
                  <c:v>67.044378711617981</c:v>
                </c:pt>
                <c:pt idx="20">
                  <c:v>71.743824963628995</c:v>
                </c:pt>
                <c:pt idx="21">
                  <c:v>65.681182734199965</c:v>
                </c:pt>
                <c:pt idx="22">
                  <c:v>71.348908267882976</c:v>
                </c:pt>
                <c:pt idx="23">
                  <c:v>85.06591521084998</c:v>
                </c:pt>
                <c:pt idx="24">
                  <c:v>81.824983610000032</c:v>
                </c:pt>
                <c:pt idx="25">
                  <c:v>78.129455380000024</c:v>
                </c:pt>
                <c:pt idx="26">
                  <c:v>93.995830549999994</c:v>
                </c:pt>
                <c:pt idx="27">
                  <c:v>98.281219379999996</c:v>
                </c:pt>
                <c:pt idx="28">
                  <c:v>105.50681990000004</c:v>
                </c:pt>
                <c:pt idx="29">
                  <c:v>98.658382449999976</c:v>
                </c:pt>
                <c:pt idx="30">
                  <c:v>92.973815129999963</c:v>
                </c:pt>
                <c:pt idx="31">
                  <c:v>94.804208550000027</c:v>
                </c:pt>
                <c:pt idx="32">
                  <c:v>92.707567770000026</c:v>
                </c:pt>
                <c:pt idx="33">
                  <c:v>103.55499985999997</c:v>
                </c:pt>
                <c:pt idx="34">
                  <c:v>123.59264278999997</c:v>
                </c:pt>
                <c:pt idx="35">
                  <c:v>153.84213118999995</c:v>
                </c:pt>
                <c:pt idx="36">
                  <c:v>162.84849324999993</c:v>
                </c:pt>
                <c:pt idx="37">
                  <c:v>142.9743348100001</c:v>
                </c:pt>
                <c:pt idx="38">
                  <c:v>158.72486277999994</c:v>
                </c:pt>
                <c:pt idx="39">
                  <c:v>161.20574770999997</c:v>
                </c:pt>
                <c:pt idx="40">
                  <c:v>155.10037652999998</c:v>
                </c:pt>
                <c:pt idx="41">
                  <c:v>133.95609898000001</c:v>
                </c:pt>
                <c:pt idx="42">
                  <c:v>128.8395903</c:v>
                </c:pt>
                <c:pt idx="43">
                  <c:v>134.22394301000006</c:v>
                </c:pt>
                <c:pt idx="44">
                  <c:v>139.68392421000001</c:v>
                </c:pt>
                <c:pt idx="45">
                  <c:v>148.80530187999994</c:v>
                </c:pt>
                <c:pt idx="46">
                  <c:v>141.77767768999999</c:v>
                </c:pt>
                <c:pt idx="47">
                  <c:v>165.46579620999995</c:v>
                </c:pt>
                <c:pt idx="48">
                  <c:v>171.27230837000005</c:v>
                </c:pt>
                <c:pt idx="49">
                  <c:v>147.92658824</c:v>
                </c:pt>
                <c:pt idx="50">
                  <c:v>160.60141478999995</c:v>
                </c:pt>
                <c:pt idx="51">
                  <c:v>158.52532664000003</c:v>
                </c:pt>
                <c:pt idx="52">
                  <c:v>163.53260316999996</c:v>
                </c:pt>
                <c:pt idx="53">
                  <c:v>152.92269152000006</c:v>
                </c:pt>
                <c:pt idx="54">
                  <c:v>160.35304239999999</c:v>
                </c:pt>
                <c:pt idx="55">
                  <c:v>170.74622260999999</c:v>
                </c:pt>
                <c:pt idx="56">
                  <c:v>165.07424562</c:v>
                </c:pt>
                <c:pt idx="57">
                  <c:v>179.99062419000006</c:v>
                </c:pt>
                <c:pt idx="58">
                  <c:v>176.12401583000005</c:v>
                </c:pt>
                <c:pt idx="59">
                  <c:v>206.09441701</c:v>
                </c:pt>
                <c:pt idx="60">
                  <c:v>204.7</c:v>
                </c:pt>
                <c:pt idx="61">
                  <c:v>178.9</c:v>
                </c:pt>
                <c:pt idx="62">
                  <c:v>196.8</c:v>
                </c:pt>
                <c:pt idx="63">
                  <c:v>191.5</c:v>
                </c:pt>
                <c:pt idx="64">
                  <c:v>191.5</c:v>
                </c:pt>
                <c:pt idx="65">
                  <c:v>175.7</c:v>
                </c:pt>
                <c:pt idx="66">
                  <c:v>183.5</c:v>
                </c:pt>
                <c:pt idx="67">
                  <c:v>193.5</c:v>
                </c:pt>
                <c:pt idx="68">
                  <c:v>197</c:v>
                </c:pt>
                <c:pt idx="69">
                  <c:v>210.5</c:v>
                </c:pt>
                <c:pt idx="70">
                  <c:v>210.2</c:v>
                </c:pt>
                <c:pt idx="71">
                  <c:v>234.5</c:v>
                </c:pt>
                <c:pt idx="72">
                  <c:v>236</c:v>
                </c:pt>
                <c:pt idx="73">
                  <c:v>215.8</c:v>
                </c:pt>
                <c:pt idx="74">
                  <c:v>225.7</c:v>
                </c:pt>
                <c:pt idx="75">
                  <c:v>214.53544214999999</c:v>
                </c:pt>
                <c:pt idx="76">
                  <c:v>221.7196673</c:v>
                </c:pt>
                <c:pt idx="77">
                  <c:v>215.85576171</c:v>
                </c:pt>
                <c:pt idx="78">
                  <c:v>228.06066853999999</c:v>
                </c:pt>
                <c:pt idx="79">
                  <c:v>228.0328581</c:v>
                </c:pt>
                <c:pt idx="80">
                  <c:v>241.1</c:v>
                </c:pt>
                <c:pt idx="81">
                  <c:v>251.8</c:v>
                </c:pt>
                <c:pt idx="82">
                  <c:v>237.1</c:v>
                </c:pt>
                <c:pt idx="83">
                  <c:v>281.90270817999999</c:v>
                </c:pt>
                <c:pt idx="84">
                  <c:v>273.61724055000002</c:v>
                </c:pt>
                <c:pt idx="85">
                  <c:v>240.6</c:v>
                </c:pt>
                <c:pt idx="86">
                  <c:v>262.5</c:v>
                </c:pt>
                <c:pt idx="87">
                  <c:v>251.4</c:v>
                </c:pt>
                <c:pt idx="88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715-9646-97F6-E029E32947B6}"/>
            </c:ext>
          </c:extLst>
        </c:ser>
        <c:ser>
          <c:idx val="18"/>
          <c:order val="1"/>
          <c:tx>
            <c:strRef>
              <c:f>'New Summary Monthly'!$EQ$114</c:f>
              <c:strCache>
                <c:ptCount val="1"/>
                <c:pt idx="0">
                  <c:v>Poker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Monthly'!$DF$12:$GP$12</c:f>
              <c:numCache>
                <c:formatCode>mmm\-yy</c:formatCode>
                <c:ptCount val="8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</c:numCache>
            </c:numRef>
          </c:cat>
          <c:val>
            <c:numRef>
              <c:f>'New Summary Monthly'!$DF$31:$GP$31</c:f>
              <c:numCache>
                <c:formatCode>#,##0.0</c:formatCode>
                <c:ptCount val="89"/>
                <c:pt idx="0">
                  <c:v>15.43</c:v>
                </c:pt>
                <c:pt idx="1">
                  <c:v>13.53672847</c:v>
                </c:pt>
                <c:pt idx="2">
                  <c:v>14.245888000000001</c:v>
                </c:pt>
                <c:pt idx="3">
                  <c:v>11.899999999999999</c:v>
                </c:pt>
                <c:pt idx="4">
                  <c:v>11.952695</c:v>
                </c:pt>
                <c:pt idx="5">
                  <c:v>10.900967859999998</c:v>
                </c:pt>
                <c:pt idx="6">
                  <c:v>10.600000000000001</c:v>
                </c:pt>
                <c:pt idx="7">
                  <c:v>10.321612</c:v>
                </c:pt>
                <c:pt idx="8">
                  <c:v>10.98273032</c:v>
                </c:pt>
                <c:pt idx="9">
                  <c:v>11.998609</c:v>
                </c:pt>
                <c:pt idx="10">
                  <c:v>12.17211912</c:v>
                </c:pt>
                <c:pt idx="11">
                  <c:v>12.954819000000001</c:v>
                </c:pt>
                <c:pt idx="12">
                  <c:v>15.004291730768999</c:v>
                </c:pt>
                <c:pt idx="13">
                  <c:v>12.239722671783996</c:v>
                </c:pt>
                <c:pt idx="14">
                  <c:v>12.565209981884005</c:v>
                </c:pt>
                <c:pt idx="15">
                  <c:v>11.860159598094</c:v>
                </c:pt>
                <c:pt idx="16">
                  <c:v>11.314900876752002</c:v>
                </c:pt>
                <c:pt idx="17">
                  <c:v>9.8186948223210013</c:v>
                </c:pt>
                <c:pt idx="18">
                  <c:v>9.6692089199639959</c:v>
                </c:pt>
                <c:pt idx="19">
                  <c:v>9.8377948127330015</c:v>
                </c:pt>
                <c:pt idx="20">
                  <c:v>10.98273032</c:v>
                </c:pt>
                <c:pt idx="21">
                  <c:v>10.687020146625997</c:v>
                </c:pt>
                <c:pt idx="22">
                  <c:v>11.562590753856</c:v>
                </c:pt>
                <c:pt idx="23">
                  <c:v>12.528515589668997</c:v>
                </c:pt>
                <c:pt idx="24">
                  <c:v>13.305677568477003</c:v>
                </c:pt>
                <c:pt idx="25">
                  <c:v>11.882306700092998</c:v>
                </c:pt>
                <c:pt idx="26">
                  <c:v>26.044236146631995</c:v>
                </c:pt>
                <c:pt idx="27">
                  <c:v>32.26708882733999</c:v>
                </c:pt>
                <c:pt idx="28">
                  <c:v>23.172783546193997</c:v>
                </c:pt>
                <c:pt idx="29">
                  <c:v>14.339759250691998</c:v>
                </c:pt>
                <c:pt idx="30">
                  <c:v>11.068498341411999</c:v>
                </c:pt>
                <c:pt idx="31">
                  <c:v>11.196534069648001</c:v>
                </c:pt>
                <c:pt idx="32">
                  <c:v>11.98273032</c:v>
                </c:pt>
                <c:pt idx="33">
                  <c:v>13.100768754030998</c:v>
                </c:pt>
                <c:pt idx="34">
                  <c:v>18.429582666555998</c:v>
                </c:pt>
                <c:pt idx="35">
                  <c:v>20.519725973092001</c:v>
                </c:pt>
                <c:pt idx="36">
                  <c:v>21.800047560000003</c:v>
                </c:pt>
                <c:pt idx="37">
                  <c:v>16.557180390000006</c:v>
                </c:pt>
                <c:pt idx="38">
                  <c:v>17.786239149999989</c:v>
                </c:pt>
                <c:pt idx="39">
                  <c:v>17.02134495</c:v>
                </c:pt>
                <c:pt idx="40">
                  <c:v>13.927399259999996</c:v>
                </c:pt>
                <c:pt idx="41">
                  <c:v>10.976943459999998</c:v>
                </c:pt>
                <c:pt idx="42">
                  <c:v>10.623406109999996</c:v>
                </c:pt>
                <c:pt idx="43">
                  <c:v>11.666281319999998</c:v>
                </c:pt>
                <c:pt idx="44">
                  <c:v>13.239431830000001</c:v>
                </c:pt>
                <c:pt idx="45">
                  <c:v>14.060798060000003</c:v>
                </c:pt>
                <c:pt idx="46">
                  <c:v>13.859436639999998</c:v>
                </c:pt>
                <c:pt idx="47">
                  <c:v>15.665026489999997</c:v>
                </c:pt>
                <c:pt idx="48">
                  <c:v>18.90273208</c:v>
                </c:pt>
                <c:pt idx="49">
                  <c:v>13.856007309999999</c:v>
                </c:pt>
                <c:pt idx="50">
                  <c:v>14.334491669999998</c:v>
                </c:pt>
                <c:pt idx="51">
                  <c:v>13.340851590000002</c:v>
                </c:pt>
                <c:pt idx="52">
                  <c:v>12.46198249</c:v>
                </c:pt>
                <c:pt idx="53">
                  <c:v>11.688183840000001</c:v>
                </c:pt>
                <c:pt idx="54">
                  <c:v>12.454043729999999</c:v>
                </c:pt>
                <c:pt idx="55">
                  <c:v>13.321294389999998</c:v>
                </c:pt>
                <c:pt idx="56">
                  <c:v>13.548738499999999</c:v>
                </c:pt>
                <c:pt idx="57">
                  <c:v>14.14643517</c:v>
                </c:pt>
                <c:pt idx="58">
                  <c:v>14.860085290000001</c:v>
                </c:pt>
                <c:pt idx="59">
                  <c:v>16.867432880000003</c:v>
                </c:pt>
                <c:pt idx="60">
                  <c:v>19.460000000000008</c:v>
                </c:pt>
                <c:pt idx="61">
                  <c:v>15.566037735849056</c:v>
                </c:pt>
                <c:pt idx="62">
                  <c:v>15</c:v>
                </c:pt>
                <c:pt idx="63">
                  <c:v>15.1</c:v>
                </c:pt>
                <c:pt idx="64">
                  <c:v>14.068400570000001</c:v>
                </c:pt>
                <c:pt idx="65">
                  <c:v>12.80439123</c:v>
                </c:pt>
                <c:pt idx="66">
                  <c:v>12.8</c:v>
                </c:pt>
                <c:pt idx="67">
                  <c:v>13.5</c:v>
                </c:pt>
                <c:pt idx="68">
                  <c:v>14</c:v>
                </c:pt>
                <c:pt idx="69">
                  <c:v>14.700000000000001</c:v>
                </c:pt>
                <c:pt idx="70">
                  <c:v>14.7</c:v>
                </c:pt>
                <c:pt idx="71">
                  <c:v>15.8</c:v>
                </c:pt>
                <c:pt idx="72">
                  <c:v>18.35787178</c:v>
                </c:pt>
                <c:pt idx="73">
                  <c:v>15.089686590000001</c:v>
                </c:pt>
                <c:pt idx="74">
                  <c:v>15.2</c:v>
                </c:pt>
                <c:pt idx="75">
                  <c:v>14.265052669999999</c:v>
                </c:pt>
                <c:pt idx="76">
                  <c:v>14.232368310000002</c:v>
                </c:pt>
                <c:pt idx="77">
                  <c:v>12.879468500000002</c:v>
                </c:pt>
                <c:pt idx="78">
                  <c:v>12.656000000000001</c:v>
                </c:pt>
                <c:pt idx="79">
                  <c:v>12.796857509999999</c:v>
                </c:pt>
                <c:pt idx="80">
                  <c:v>14.3</c:v>
                </c:pt>
                <c:pt idx="81">
                  <c:v>14.69358235</c:v>
                </c:pt>
                <c:pt idx="82">
                  <c:v>14.04</c:v>
                </c:pt>
                <c:pt idx="83">
                  <c:v>16.405365369999998</c:v>
                </c:pt>
                <c:pt idx="84">
                  <c:v>18.80661546</c:v>
                </c:pt>
                <c:pt idx="85">
                  <c:v>15.18128989</c:v>
                </c:pt>
                <c:pt idx="86">
                  <c:v>16.251585470000002</c:v>
                </c:pt>
                <c:pt idx="87">
                  <c:v>14.582348619999999</c:v>
                </c:pt>
                <c:pt idx="88">
                  <c:v>16.01832259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15-9646-97F6-E029E32947B6}"/>
            </c:ext>
          </c:extLst>
        </c:ser>
        <c:ser>
          <c:idx val="19"/>
          <c:order val="2"/>
          <c:tx>
            <c:strRef>
              <c:f>'New Summary Monthly'!$EQ$115</c:f>
              <c:strCache>
                <c:ptCount val="1"/>
                <c:pt idx="0">
                  <c:v>Bingo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Monthly'!$DF$12:$GP$12</c:f>
              <c:numCache>
                <c:formatCode>mmm\-yy</c:formatCode>
                <c:ptCount val="8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</c:numCache>
            </c:numRef>
          </c:cat>
          <c:val>
            <c:numRef>
              <c:f>'New Summary Monthly'!$DF$32:$GP$32</c:f>
              <c:numCache>
                <c:formatCode>#,##0.0</c:formatCode>
                <c:ptCount val="89"/>
                <c:pt idx="0">
                  <c:v>2.97</c:v>
                </c:pt>
                <c:pt idx="1">
                  <c:v>2.5077535200000001</c:v>
                </c:pt>
                <c:pt idx="2">
                  <c:v>2.8213789999999999</c:v>
                </c:pt>
                <c:pt idx="3">
                  <c:v>2.3664876499999998</c:v>
                </c:pt>
                <c:pt idx="4">
                  <c:v>2.3414640000000002</c:v>
                </c:pt>
                <c:pt idx="5">
                  <c:v>2.14514</c:v>
                </c:pt>
                <c:pt idx="6">
                  <c:v>2.19</c:v>
                </c:pt>
                <c:pt idx="7">
                  <c:v>2.383937</c:v>
                </c:pt>
                <c:pt idx="8">
                  <c:v>2.53771586</c:v>
                </c:pt>
                <c:pt idx="9">
                  <c:v>2.7935310000000002</c:v>
                </c:pt>
                <c:pt idx="10">
                  <c:v>2.7836821</c:v>
                </c:pt>
                <c:pt idx="11">
                  <c:v>3.2341329999999999</c:v>
                </c:pt>
                <c:pt idx="12">
                  <c:v>3.3186507799999996</c:v>
                </c:pt>
                <c:pt idx="13">
                  <c:v>2.698812274242</c:v>
                </c:pt>
                <c:pt idx="14">
                  <c:v>3.2535156966939986</c:v>
                </c:pt>
                <c:pt idx="15">
                  <c:v>3.0684871098140007</c:v>
                </c:pt>
                <c:pt idx="16">
                  <c:v>3.0101724426510006</c:v>
                </c:pt>
                <c:pt idx="17">
                  <c:v>2.6407773298560002</c:v>
                </c:pt>
                <c:pt idx="18">
                  <c:v>2.8343887499999996</c:v>
                </c:pt>
                <c:pt idx="19">
                  <c:v>2.9050224283079999</c:v>
                </c:pt>
                <c:pt idx="20">
                  <c:v>2.973054332891</c:v>
                </c:pt>
                <c:pt idx="21">
                  <c:v>3.2834387179424001</c:v>
                </c:pt>
                <c:pt idx="22">
                  <c:v>3.3724435506339989</c:v>
                </c:pt>
                <c:pt idx="23">
                  <c:v>4.0632759099999998</c:v>
                </c:pt>
                <c:pt idx="24">
                  <c:v>3.8987913223440005</c:v>
                </c:pt>
                <c:pt idx="25">
                  <c:v>3.5588955948479999</c:v>
                </c:pt>
                <c:pt idx="26">
                  <c:v>5.1289139376719994</c:v>
                </c:pt>
                <c:pt idx="27">
                  <c:v>5.5561678713719997</c:v>
                </c:pt>
                <c:pt idx="28">
                  <c:v>5.5048381041959988</c:v>
                </c:pt>
                <c:pt idx="29">
                  <c:v>4.6675564689270006</c:v>
                </c:pt>
                <c:pt idx="30">
                  <c:v>4.1002781003360003</c:v>
                </c:pt>
                <c:pt idx="31">
                  <c:v>4.0602230970840001</c:v>
                </c:pt>
                <c:pt idx="32">
                  <c:v>3.9525350448580014</c:v>
                </c:pt>
                <c:pt idx="33">
                  <c:v>4.411747060593</c:v>
                </c:pt>
                <c:pt idx="34">
                  <c:v>5.823877949562001</c:v>
                </c:pt>
                <c:pt idx="35">
                  <c:v>7.5095465789939979</c:v>
                </c:pt>
                <c:pt idx="36">
                  <c:v>7.6533254659999992</c:v>
                </c:pt>
                <c:pt idx="37">
                  <c:v>6.1262221009999998</c:v>
                </c:pt>
                <c:pt idx="38">
                  <c:v>6.6731746879999996</c:v>
                </c:pt>
                <c:pt idx="39">
                  <c:v>6.3373257260000004</c:v>
                </c:pt>
                <c:pt idx="40">
                  <c:v>5.9176796720000029</c:v>
                </c:pt>
                <c:pt idx="41">
                  <c:v>5.0042434749999991</c:v>
                </c:pt>
                <c:pt idx="42">
                  <c:v>4.5691137220000009</c:v>
                </c:pt>
                <c:pt idx="43">
                  <c:v>4.4789435099999997</c:v>
                </c:pt>
                <c:pt idx="44">
                  <c:v>4.4517395749999995</c:v>
                </c:pt>
                <c:pt idx="45">
                  <c:v>4.9447533470000007</c:v>
                </c:pt>
                <c:pt idx="46">
                  <c:v>4.6174735689999977</c:v>
                </c:pt>
                <c:pt idx="47">
                  <c:v>5.8008929149999986</c:v>
                </c:pt>
                <c:pt idx="48">
                  <c:v>6.141696016</c:v>
                </c:pt>
                <c:pt idx="49">
                  <c:v>4.9510519660000005</c:v>
                </c:pt>
                <c:pt idx="50">
                  <c:v>5.0316255690000027</c:v>
                </c:pt>
                <c:pt idx="51">
                  <c:v>4.796368531999998</c:v>
                </c:pt>
                <c:pt idx="52">
                  <c:v>4.6052172710000008</c:v>
                </c:pt>
                <c:pt idx="53">
                  <c:v>4.3585295480000017</c:v>
                </c:pt>
                <c:pt idx="54">
                  <c:v>4.9327396720000012</c:v>
                </c:pt>
                <c:pt idx="55">
                  <c:v>5.0393983899999997</c:v>
                </c:pt>
                <c:pt idx="56">
                  <c:v>4.8144943909999975</c:v>
                </c:pt>
                <c:pt idx="57">
                  <c:v>4.9418192200000011</c:v>
                </c:pt>
                <c:pt idx="58">
                  <c:v>5.1711299199999994</c:v>
                </c:pt>
                <c:pt idx="59">
                  <c:v>6.3163926800000008</c:v>
                </c:pt>
                <c:pt idx="60">
                  <c:v>6.2459381799999996</c:v>
                </c:pt>
                <c:pt idx="61">
                  <c:v>5.0451133300000004</c:v>
                </c:pt>
                <c:pt idx="62">
                  <c:v>5.5</c:v>
                </c:pt>
                <c:pt idx="63">
                  <c:v>5.1320361099999996</c:v>
                </c:pt>
                <c:pt idx="64">
                  <c:v>5.23544301</c:v>
                </c:pt>
                <c:pt idx="65">
                  <c:v>4.8829021399999997</c:v>
                </c:pt>
                <c:pt idx="66">
                  <c:v>4.7621123699999997</c:v>
                </c:pt>
                <c:pt idx="67">
                  <c:v>4.9430698199999998</c:v>
                </c:pt>
                <c:pt idx="68">
                  <c:v>4.9882803300000003</c:v>
                </c:pt>
                <c:pt idx="69">
                  <c:v>5.3</c:v>
                </c:pt>
                <c:pt idx="70">
                  <c:v>5.1738624</c:v>
                </c:pt>
                <c:pt idx="71">
                  <c:v>6.5873090100000002</c:v>
                </c:pt>
                <c:pt idx="72">
                  <c:v>6.8796785800000002</c:v>
                </c:pt>
                <c:pt idx="73">
                  <c:v>5.5741105299999996</c:v>
                </c:pt>
                <c:pt idx="74">
                  <c:v>5.7412732000000002</c:v>
                </c:pt>
                <c:pt idx="75">
                  <c:v>5.4344093400000002</c:v>
                </c:pt>
                <c:pt idx="76">
                  <c:v>5.3593803800000002</c:v>
                </c:pt>
                <c:pt idx="77">
                  <c:v>4.9720724799999996</c:v>
                </c:pt>
                <c:pt idx="78">
                  <c:v>5.0444708800000004</c:v>
                </c:pt>
                <c:pt idx="79">
                  <c:v>5.1123921000000001</c:v>
                </c:pt>
                <c:pt idx="80">
                  <c:v>5.2774517300000001</c:v>
                </c:pt>
                <c:pt idx="81">
                  <c:v>5.5922376399999996</c:v>
                </c:pt>
                <c:pt idx="82">
                  <c:v>5.2974913700000004</c:v>
                </c:pt>
                <c:pt idx="83">
                  <c:v>6.9290016000000003</c:v>
                </c:pt>
                <c:pt idx="84">
                  <c:v>7.16997997</c:v>
                </c:pt>
                <c:pt idx="85">
                  <c:v>5.6898268099999996</c:v>
                </c:pt>
                <c:pt idx="86">
                  <c:v>6.1332742199999997</c:v>
                </c:pt>
                <c:pt idx="87">
                  <c:v>4.2248320399999999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715-9646-97F6-E029E3294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19259919"/>
        <c:axId val="460902032"/>
      </c:barChart>
      <c:dateAx>
        <c:axId val="519259919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460902032"/>
        <c:crosses val="autoZero"/>
        <c:auto val="1"/>
        <c:lblOffset val="100"/>
        <c:baseTimeUnit val="months"/>
      </c:dateAx>
      <c:valAx>
        <c:axId val="460902032"/>
        <c:scaling>
          <c:orientation val="minMax"/>
          <c:max val="32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5192599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956828291540154"/>
          <c:y val="0.96326358590422101"/>
          <c:w val="0.18086343416919692"/>
          <c:h val="3.67364140957790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762571238697465E-2"/>
          <c:y val="2.3059046427143626E-2"/>
          <c:w val="0.94023742876130256"/>
          <c:h val="0.824850216922136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'New Summary Quarterly'!$A$14</c:f>
              <c:strCache>
                <c:ptCount val="1"/>
                <c:pt idx="0">
                  <c:v> Betting 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'New Summary Quarterly'!$B$12:$Q$12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Quarterly'!$B$14:$Q$14</c:f>
              <c:numCache>
                <c:formatCode>#,##0.00</c:formatCode>
                <c:ptCount val="16"/>
                <c:pt idx="0">
                  <c:v>5.0173200000000016</c:v>
                </c:pt>
                <c:pt idx="1">
                  <c:v>4.0095700000000001</c:v>
                </c:pt>
                <c:pt idx="2">
                  <c:v>4.4536099999999994</c:v>
                </c:pt>
                <c:pt idx="3">
                  <c:v>5.7638999999999996</c:v>
                </c:pt>
                <c:pt idx="4">
                  <c:v>5.63985</c:v>
                </c:pt>
                <c:pt idx="5">
                  <c:v>5.2078999999999995</c:v>
                </c:pt>
                <c:pt idx="6">
                  <c:v>5.1180099999999999</c:v>
                </c:pt>
                <c:pt idx="7">
                  <c:v>6.6155400000000002</c:v>
                </c:pt>
                <c:pt idx="8">
                  <c:v>6.7664499999999999</c:v>
                </c:pt>
                <c:pt idx="9">
                  <c:v>6.1662800000000004</c:v>
                </c:pt>
                <c:pt idx="10">
                  <c:v>5.5085499999999996</c:v>
                </c:pt>
                <c:pt idx="11">
                  <c:v>7.3032700000000004</c:v>
                </c:pt>
                <c:pt idx="12">
                  <c:v>7.7020200000000001</c:v>
                </c:pt>
                <c:pt idx="13">
                  <c:v>6.7394100000000003</c:v>
                </c:pt>
                <c:pt idx="14">
                  <c:v>6.2120800000000003</c:v>
                </c:pt>
                <c:pt idx="15">
                  <c:v>7.4779900000000001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77-2746-9A68-093B9F197386}"/>
            </c:ext>
          </c:extLst>
        </c:ser>
        <c:ser>
          <c:idx val="1"/>
          <c:order val="1"/>
          <c:tx>
            <c:strRef>
              <c:f>'New Summary Quarterly'!$A$15</c:f>
              <c:strCache>
                <c:ptCount val="1"/>
                <c:pt idx="0">
                  <c:v> Gaming Machines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'New Summary Quarterly'!$B$12:$Q$12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Quarterly'!$B$15:$Q$15</c:f>
              <c:numCache>
                <c:formatCode>#,##0.00</c:formatCode>
                <c:ptCount val="16"/>
                <c:pt idx="0">
                  <c:v>4.7738250657894783</c:v>
                </c:pt>
                <c:pt idx="1">
                  <c:v>1.44503</c:v>
                </c:pt>
                <c:pt idx="2">
                  <c:v>5.3237500000000004</c:v>
                </c:pt>
                <c:pt idx="3">
                  <c:v>8.8419100000000004</c:v>
                </c:pt>
                <c:pt idx="4">
                  <c:v>5.3737299999999992</c:v>
                </c:pt>
                <c:pt idx="5">
                  <c:v>11.040179999999999</c:v>
                </c:pt>
                <c:pt idx="6">
                  <c:v>5.5214499999999997</c:v>
                </c:pt>
                <c:pt idx="7">
                  <c:v>11.74123</c:v>
                </c:pt>
                <c:pt idx="8">
                  <c:v>5.7911599999999996</c:v>
                </c:pt>
                <c:pt idx="9">
                  <c:v>11.28557</c:v>
                </c:pt>
                <c:pt idx="10">
                  <c:v>5.2893999999999997</c:v>
                </c:pt>
                <c:pt idx="11">
                  <c:v>11.39442</c:v>
                </c:pt>
                <c:pt idx="12">
                  <c:v>5.6463799999999997</c:v>
                </c:pt>
                <c:pt idx="13">
                  <c:v>10.87738</c:v>
                </c:pt>
                <c:pt idx="14">
                  <c:v>5.0799200000000004</c:v>
                </c:pt>
                <c:pt idx="15">
                  <c:v>11.043570000000001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77-2746-9A68-093B9F197386}"/>
            </c:ext>
          </c:extLst>
        </c:ser>
        <c:ser>
          <c:idx val="2"/>
          <c:order val="2"/>
          <c:tx>
            <c:strRef>
              <c:f>'New Summary Quarterly'!$A$16</c:f>
              <c:strCache>
                <c:ptCount val="1"/>
                <c:pt idx="0">
                  <c:v> Lotteries &amp; Number Games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'New Summary Quarterly'!$B$12:$Q$12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Quarterly'!$B$16:$Q$16</c:f>
              <c:numCache>
                <c:formatCode>#,##0.00</c:formatCode>
                <c:ptCount val="16"/>
                <c:pt idx="0">
                  <c:v>5.8405799999999983</c:v>
                </c:pt>
                <c:pt idx="1">
                  <c:v>5.9731199999999998</c:v>
                </c:pt>
                <c:pt idx="2">
                  <c:v>4.9615499999999999</c:v>
                </c:pt>
                <c:pt idx="3">
                  <c:v>5.2288500000000004</c:v>
                </c:pt>
                <c:pt idx="4">
                  <c:v>5.1588400000000005</c:v>
                </c:pt>
                <c:pt idx="5">
                  <c:v>5.0491700000000002</c:v>
                </c:pt>
                <c:pt idx="6">
                  <c:v>5.0498599999999998</c:v>
                </c:pt>
                <c:pt idx="7">
                  <c:v>5.6078000000000001</c:v>
                </c:pt>
                <c:pt idx="8">
                  <c:v>5.8063599999999997</c:v>
                </c:pt>
                <c:pt idx="9">
                  <c:v>5.4081999999999999</c:v>
                </c:pt>
                <c:pt idx="10">
                  <c:v>5.2074400000000001</c:v>
                </c:pt>
                <c:pt idx="11">
                  <c:v>5.59483</c:v>
                </c:pt>
                <c:pt idx="12">
                  <c:v>5.9229200000000004</c:v>
                </c:pt>
                <c:pt idx="13">
                  <c:v>5.5215399999999999</c:v>
                </c:pt>
                <c:pt idx="14">
                  <c:v>5.2867100000000002</c:v>
                </c:pt>
                <c:pt idx="15">
                  <c:v>5.9482200000000001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77-2746-9A68-093B9F197386}"/>
            </c:ext>
          </c:extLst>
        </c:ser>
        <c:ser>
          <c:idx val="3"/>
          <c:order val="3"/>
          <c:tx>
            <c:strRef>
              <c:f>'New Summary Quarterly'!$A$17</c:f>
              <c:strCache>
                <c:ptCount val="1"/>
                <c:pt idx="0">
                  <c:v> Other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'New Summary Quarterly'!$B$12:$Q$12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Quarterly'!$B$17:$Q$17</c:f>
              <c:numCache>
                <c:formatCode>#,##0.00</c:formatCode>
                <c:ptCount val="16"/>
                <c:pt idx="0">
                  <c:v>15.600092449238423</c:v>
                </c:pt>
                <c:pt idx="1">
                  <c:v>12.905419999999999</c:v>
                </c:pt>
                <c:pt idx="2">
                  <c:v>12.080870000000001</c:v>
                </c:pt>
                <c:pt idx="3">
                  <c:v>13.778780000000001</c:v>
                </c:pt>
                <c:pt idx="4">
                  <c:v>14.434530000000001</c:v>
                </c:pt>
                <c:pt idx="5">
                  <c:v>13.811770000000001</c:v>
                </c:pt>
                <c:pt idx="6">
                  <c:v>14.43093</c:v>
                </c:pt>
                <c:pt idx="7">
                  <c:v>16.133759999999999</c:v>
                </c:pt>
                <c:pt idx="8">
                  <c:v>16.664079999999998</c:v>
                </c:pt>
                <c:pt idx="9">
                  <c:v>15.95838</c:v>
                </c:pt>
                <c:pt idx="10">
                  <c:v>15.82357</c:v>
                </c:pt>
                <c:pt idx="11">
                  <c:v>17.706880000000002</c:v>
                </c:pt>
                <c:pt idx="12">
                  <c:v>18.448270000000001</c:v>
                </c:pt>
                <c:pt idx="13">
                  <c:v>17.402529999999999</c:v>
                </c:pt>
                <c:pt idx="14">
                  <c:v>18.011009999999999</c:v>
                </c:pt>
                <c:pt idx="15">
                  <c:v>20.0898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77-2746-9A68-093B9F197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69662240"/>
        <c:axId val="969663936"/>
      </c:barChart>
      <c:catAx>
        <c:axId val="96966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Algn val="ctr"/>
        <c:lblOffset val="100"/>
        <c:noMultiLvlLbl val="0"/>
      </c:catAx>
      <c:valAx>
        <c:axId val="969663936"/>
        <c:scaling>
          <c:orientation val="minMax"/>
          <c:max val="2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3909799641381464"/>
          <c:w val="0.97446304439395515"/>
          <c:h val="4.9020815467373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113968412907926E-2"/>
          <c:y val="3.8511516219974617E-2"/>
          <c:w val="0.95736124891902963"/>
          <c:h val="0.806915925831851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'New Summary Quarterly'!$A$14</c:f>
              <c:strCache>
                <c:ptCount val="1"/>
                <c:pt idx="0">
                  <c:v> Betting 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'New Summary Quarterly'!$B$12:$Q$12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Quarterly'!$B$29:$Q$29</c:f>
              <c:numCache>
                <c:formatCode>#,##0.00</c:formatCode>
                <c:ptCount val="16"/>
                <c:pt idx="0">
                  <c:v>0.50935232363000027</c:v>
                </c:pt>
                <c:pt idx="1">
                  <c:v>0.45119999999999999</c:v>
                </c:pt>
                <c:pt idx="2">
                  <c:v>0.52159</c:v>
                </c:pt>
                <c:pt idx="3">
                  <c:v>0.71755999999999998</c:v>
                </c:pt>
                <c:pt idx="4">
                  <c:v>0.76744000000000001</c:v>
                </c:pt>
                <c:pt idx="5">
                  <c:v>0.63245000000000007</c:v>
                </c:pt>
                <c:pt idx="6">
                  <c:v>0.68447000000000002</c:v>
                </c:pt>
                <c:pt idx="7">
                  <c:v>0.72802999999999995</c:v>
                </c:pt>
                <c:pt idx="8">
                  <c:v>0.91961000000000004</c:v>
                </c:pt>
                <c:pt idx="9">
                  <c:v>0.78952</c:v>
                </c:pt>
                <c:pt idx="10">
                  <c:v>0.63788</c:v>
                </c:pt>
                <c:pt idx="11">
                  <c:v>0.75083999999999995</c:v>
                </c:pt>
                <c:pt idx="12">
                  <c:v>0.80703000000000003</c:v>
                </c:pt>
                <c:pt idx="13">
                  <c:v>0.86107999999999996</c:v>
                </c:pt>
                <c:pt idx="14">
                  <c:v>0.72387000000000001</c:v>
                </c:pt>
                <c:pt idx="15">
                  <c:v>0.98102999999999996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11-CE44-827A-9CE889809EAC}"/>
            </c:ext>
          </c:extLst>
        </c:ser>
        <c:ser>
          <c:idx val="1"/>
          <c:order val="1"/>
          <c:tx>
            <c:strRef>
              <c:f>'New Summary Quarterly'!$A$15</c:f>
              <c:strCache>
                <c:ptCount val="1"/>
                <c:pt idx="0">
                  <c:v> Gaming Machines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'New Summary Quarterly'!$B$12:$Q$12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Quarterly'!$B$30:$Q$30</c:f>
              <c:numCache>
                <c:formatCode>#,##0.00</c:formatCode>
                <c:ptCount val="16"/>
                <c:pt idx="0">
                  <c:v>0.60715999999999981</c:v>
                </c:pt>
                <c:pt idx="1">
                  <c:v>0.36551999999999996</c:v>
                </c:pt>
                <c:pt idx="2">
                  <c:v>1.369</c:v>
                </c:pt>
                <c:pt idx="3">
                  <c:v>2.2963200000000001</c:v>
                </c:pt>
                <c:pt idx="4">
                  <c:v>1.3903299999999998</c:v>
                </c:pt>
                <c:pt idx="5">
                  <c:v>2.8366100000000003</c:v>
                </c:pt>
                <c:pt idx="6">
                  <c:v>1.4071300000000002</c:v>
                </c:pt>
                <c:pt idx="7">
                  <c:v>2.9845700000000002</c:v>
                </c:pt>
                <c:pt idx="8">
                  <c:v>1.4754700000000001</c:v>
                </c:pt>
                <c:pt idx="9">
                  <c:v>2.8755600000000001</c:v>
                </c:pt>
                <c:pt idx="10">
                  <c:v>1.3389800000000001</c:v>
                </c:pt>
                <c:pt idx="11">
                  <c:v>2.8894299999999999</c:v>
                </c:pt>
                <c:pt idx="12">
                  <c:v>1.4309000000000001</c:v>
                </c:pt>
                <c:pt idx="13">
                  <c:v>2.74709</c:v>
                </c:pt>
                <c:pt idx="14">
                  <c:v>1.26858</c:v>
                </c:pt>
                <c:pt idx="15">
                  <c:v>2.7719100000000001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11-CE44-827A-9CE889809EAC}"/>
            </c:ext>
          </c:extLst>
        </c:ser>
        <c:ser>
          <c:idx val="2"/>
          <c:order val="2"/>
          <c:tx>
            <c:strRef>
              <c:f>'New Summary Quarterly'!$A$16</c:f>
              <c:strCache>
                <c:ptCount val="1"/>
                <c:pt idx="0">
                  <c:v> Lotteries &amp; Number Games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'New Summary Quarterly'!$B$12:$Q$12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Quarterly'!$B$31:$Q$31</c:f>
              <c:numCache>
                <c:formatCode>#,##0.00</c:formatCode>
                <c:ptCount val="16"/>
                <c:pt idx="0">
                  <c:v>1.7583999999999997</c:v>
                </c:pt>
                <c:pt idx="1">
                  <c:v>1.5495399999999999</c:v>
                </c:pt>
                <c:pt idx="2">
                  <c:v>1.4473</c:v>
                </c:pt>
                <c:pt idx="3">
                  <c:v>1.5427599999999999</c:v>
                </c:pt>
                <c:pt idx="4">
                  <c:v>1.5609600000000001</c:v>
                </c:pt>
                <c:pt idx="5">
                  <c:v>1.49135</c:v>
                </c:pt>
                <c:pt idx="6">
                  <c:v>1.5092699999999999</c:v>
                </c:pt>
                <c:pt idx="7">
                  <c:v>1.6360599999999998</c:v>
                </c:pt>
                <c:pt idx="8">
                  <c:v>1.36344</c:v>
                </c:pt>
                <c:pt idx="9">
                  <c:v>1.52813</c:v>
                </c:pt>
                <c:pt idx="10">
                  <c:v>1.51172</c:v>
                </c:pt>
                <c:pt idx="11">
                  <c:v>1.56463</c:v>
                </c:pt>
                <c:pt idx="12">
                  <c:v>1.8105599999999999</c:v>
                </c:pt>
                <c:pt idx="13">
                  <c:v>1.4996700000000001</c:v>
                </c:pt>
                <c:pt idx="14">
                  <c:v>1.51058</c:v>
                </c:pt>
                <c:pt idx="15">
                  <c:v>1.66429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11-CE44-827A-9CE889809EAC}"/>
            </c:ext>
          </c:extLst>
        </c:ser>
        <c:ser>
          <c:idx val="3"/>
          <c:order val="3"/>
          <c:tx>
            <c:strRef>
              <c:f>'New Summary Quarterly'!$A$17</c:f>
              <c:strCache>
                <c:ptCount val="1"/>
                <c:pt idx="0">
                  <c:v> Other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'New Summary Quarterly'!$B$12:$Q$12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Quarterly'!$B$32:$Q$32</c:f>
              <c:numCache>
                <c:formatCode>#,##0.00</c:formatCode>
                <c:ptCount val="16"/>
                <c:pt idx="0">
                  <c:v>0.59478900000000068</c:v>
                </c:pt>
                <c:pt idx="1">
                  <c:v>0.52295000000000003</c:v>
                </c:pt>
                <c:pt idx="2">
                  <c:v>0.55304999999999993</c:v>
                </c:pt>
                <c:pt idx="3">
                  <c:v>0.63900000000000001</c:v>
                </c:pt>
                <c:pt idx="4">
                  <c:v>0.63261999999999996</c:v>
                </c:pt>
                <c:pt idx="5">
                  <c:v>0.63024999999999998</c:v>
                </c:pt>
                <c:pt idx="6">
                  <c:v>0.65800999999999998</c:v>
                </c:pt>
                <c:pt idx="7">
                  <c:v>0.75826000000000005</c:v>
                </c:pt>
                <c:pt idx="8">
                  <c:v>0.74792999999999998</c:v>
                </c:pt>
                <c:pt idx="9">
                  <c:v>0.71931</c:v>
                </c:pt>
                <c:pt idx="10">
                  <c:v>0.72587000000000002</c:v>
                </c:pt>
                <c:pt idx="11">
                  <c:v>0.83880999999999994</c:v>
                </c:pt>
                <c:pt idx="12">
                  <c:v>0.84960000000000002</c:v>
                </c:pt>
                <c:pt idx="13">
                  <c:v>0.81054000000000004</c:v>
                </c:pt>
                <c:pt idx="14">
                  <c:v>0.84882999999999997</c:v>
                </c:pt>
                <c:pt idx="15">
                  <c:v>0.98712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11-CE44-827A-9CE889809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969662240"/>
        <c:axId val="969663936"/>
      </c:barChart>
      <c:catAx>
        <c:axId val="96966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Algn val="ctr"/>
        <c:lblOffset val="100"/>
        <c:noMultiLvlLbl val="0"/>
      </c:catAx>
      <c:valAx>
        <c:axId val="9696639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2023121387283239E-2"/>
          <c:y val="0.94094125331107803"/>
          <c:w val="0.8969153568447622"/>
          <c:h val="5.41696100897672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99608730828922E-2"/>
          <c:y val="6.0501703367342966E-2"/>
          <c:w val="0.94168798383638319"/>
          <c:h val="0.7829685935472811"/>
        </c:manualLayout>
      </c:layout>
      <c:lineChart>
        <c:grouping val="standard"/>
        <c:varyColors val="0"/>
        <c:ser>
          <c:idx val="0"/>
          <c:order val="0"/>
          <c:tx>
            <c:strRef>
              <c:f>'New Summary Quarterly'!$A$61</c:f>
              <c:strCache>
                <c:ptCount val="1"/>
                <c:pt idx="0">
                  <c:v> Betting </c:v>
                </c:pt>
              </c:strCache>
            </c:strRef>
          </c:tx>
          <c:spPr>
            <a:ln w="28575" cap="rnd">
              <a:solidFill>
                <a:schemeClr val="accent5">
                  <a:shade val="58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'New Summary Quarterly'!$B$12:$Q$12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Quarterly'!$B$61:$Q$61</c:f>
              <c:numCache>
                <c:formatCode>#,##0.00</c:formatCode>
                <c:ptCount val="16"/>
                <c:pt idx="0">
                  <c:v>4.5079676763700016</c:v>
                </c:pt>
                <c:pt idx="1">
                  <c:v>3.55837</c:v>
                </c:pt>
                <c:pt idx="2">
                  <c:v>3.9320199999999996</c:v>
                </c:pt>
                <c:pt idx="3">
                  <c:v>5.0463399999999998</c:v>
                </c:pt>
                <c:pt idx="4">
                  <c:v>4.8724100000000004</c:v>
                </c:pt>
                <c:pt idx="5">
                  <c:v>4.5754499999999991</c:v>
                </c:pt>
                <c:pt idx="6">
                  <c:v>4.4335399999999998</c:v>
                </c:pt>
                <c:pt idx="7">
                  <c:v>5.8875100000000007</c:v>
                </c:pt>
                <c:pt idx="8">
                  <c:v>5.8468400000000003</c:v>
                </c:pt>
                <c:pt idx="9">
                  <c:v>5.3767600000000009</c:v>
                </c:pt>
                <c:pt idx="10">
                  <c:v>4.8706699999999996</c:v>
                </c:pt>
                <c:pt idx="11">
                  <c:v>6.5524300000000002</c:v>
                </c:pt>
                <c:pt idx="12">
                  <c:v>6.89499</c:v>
                </c:pt>
                <c:pt idx="13">
                  <c:v>5.8783300000000001</c:v>
                </c:pt>
                <c:pt idx="14">
                  <c:v>5.4882100000000005</c:v>
                </c:pt>
                <c:pt idx="15">
                  <c:v>6.4969600000000005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C06-024B-9D1E-A52265BF894C}"/>
            </c:ext>
          </c:extLst>
        </c:ser>
        <c:ser>
          <c:idx val="1"/>
          <c:order val="1"/>
          <c:tx>
            <c:strRef>
              <c:f>'New Summary Quarterly'!$A$62</c:f>
              <c:strCache>
                <c:ptCount val="1"/>
                <c:pt idx="0">
                  <c:v> Gaming Machines</c:v>
                </c:pt>
              </c:strCache>
            </c:strRef>
          </c:tx>
          <c:spPr>
            <a:ln w="28575" cap="rnd">
              <a:solidFill>
                <a:schemeClr val="accent5">
                  <a:shade val="86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'New Summary Quarterly'!$B$12:$Q$12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Quarterly'!$B$62:$Q$62</c:f>
              <c:numCache>
                <c:formatCode>#,##0.00</c:formatCode>
                <c:ptCount val="16"/>
                <c:pt idx="0">
                  <c:v>4.1666650657894788</c:v>
                </c:pt>
                <c:pt idx="1">
                  <c:v>1.07951</c:v>
                </c:pt>
                <c:pt idx="2">
                  <c:v>3.9547500000000007</c:v>
                </c:pt>
                <c:pt idx="3">
                  <c:v>6.5455900000000007</c:v>
                </c:pt>
                <c:pt idx="4">
                  <c:v>3.9833999999999996</c:v>
                </c:pt>
                <c:pt idx="5">
                  <c:v>8.2035699999999991</c:v>
                </c:pt>
                <c:pt idx="6">
                  <c:v>4.1143199999999993</c:v>
                </c:pt>
                <c:pt idx="7">
                  <c:v>8.7566600000000001</c:v>
                </c:pt>
                <c:pt idx="8">
                  <c:v>4.31569</c:v>
                </c:pt>
                <c:pt idx="9">
                  <c:v>8.4100099999999998</c:v>
                </c:pt>
                <c:pt idx="10">
                  <c:v>3.9504199999999994</c:v>
                </c:pt>
                <c:pt idx="11">
                  <c:v>8.5049899999999994</c:v>
                </c:pt>
                <c:pt idx="12">
                  <c:v>4.2154799999999994</c:v>
                </c:pt>
                <c:pt idx="13">
                  <c:v>8.1302900000000005</c:v>
                </c:pt>
                <c:pt idx="14">
                  <c:v>3.8113400000000004</c:v>
                </c:pt>
                <c:pt idx="15">
                  <c:v>8.2716600000000007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C06-024B-9D1E-A52265BF894C}"/>
            </c:ext>
          </c:extLst>
        </c:ser>
        <c:ser>
          <c:idx val="2"/>
          <c:order val="2"/>
          <c:tx>
            <c:strRef>
              <c:f>'New Summary Quarterly'!$A$63</c:f>
              <c:strCache>
                <c:ptCount val="1"/>
                <c:pt idx="0">
                  <c:v> Lotteries &amp; Number Games</c:v>
                </c:pt>
              </c:strCache>
            </c:strRef>
          </c:tx>
          <c:spPr>
            <a:ln w="28575" cap="rnd">
              <a:solidFill>
                <a:schemeClr val="accent5">
                  <a:tint val="86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'New Summary Quarterly'!$B$12:$Q$12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Quarterly'!$B$63:$Q$63</c:f>
              <c:numCache>
                <c:formatCode>#,##0.00</c:formatCode>
                <c:ptCount val="16"/>
                <c:pt idx="0">
                  <c:v>4.0821799999999984</c:v>
                </c:pt>
                <c:pt idx="1">
                  <c:v>4.4235799999999994</c:v>
                </c:pt>
                <c:pt idx="2">
                  <c:v>3.5142499999999997</c:v>
                </c:pt>
                <c:pt idx="3">
                  <c:v>3.6860900000000005</c:v>
                </c:pt>
                <c:pt idx="4">
                  <c:v>3.5978800000000004</c:v>
                </c:pt>
                <c:pt idx="5">
                  <c:v>3.5578200000000004</c:v>
                </c:pt>
                <c:pt idx="6">
                  <c:v>3.5405899999999999</c:v>
                </c:pt>
                <c:pt idx="7">
                  <c:v>3.9717400000000005</c:v>
                </c:pt>
                <c:pt idx="8">
                  <c:v>4.44292</c:v>
                </c:pt>
                <c:pt idx="9">
                  <c:v>3.8800699999999999</c:v>
                </c:pt>
                <c:pt idx="10">
                  <c:v>3.6957200000000001</c:v>
                </c:pt>
                <c:pt idx="11">
                  <c:v>4.0301999999999998</c:v>
                </c:pt>
                <c:pt idx="12">
                  <c:v>4.1123600000000007</c:v>
                </c:pt>
                <c:pt idx="13">
                  <c:v>4.0218699999999998</c:v>
                </c:pt>
                <c:pt idx="14">
                  <c:v>3.7761300000000002</c:v>
                </c:pt>
                <c:pt idx="15">
                  <c:v>4.2839299999999998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C06-024B-9D1E-A52265BF894C}"/>
            </c:ext>
          </c:extLst>
        </c:ser>
        <c:ser>
          <c:idx val="3"/>
          <c:order val="3"/>
          <c:tx>
            <c:strRef>
              <c:f>'New Summary Quarterly'!$A$64</c:f>
              <c:strCache>
                <c:ptCount val="1"/>
                <c:pt idx="0">
                  <c:v> Other</c:v>
                </c:pt>
              </c:strCache>
            </c:strRef>
          </c:tx>
          <c:spPr>
            <a:ln w="28575" cap="rnd">
              <a:solidFill>
                <a:schemeClr val="accent5">
                  <a:tint val="58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'New Summary Quarterly'!$B$12:$Q$12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Quarterly'!$B$64:$Q$64</c:f>
              <c:numCache>
                <c:formatCode>#,##0.00</c:formatCode>
                <c:ptCount val="16"/>
                <c:pt idx="0">
                  <c:v>15.005303449238422</c:v>
                </c:pt>
                <c:pt idx="1">
                  <c:v>12.38247</c:v>
                </c:pt>
                <c:pt idx="2">
                  <c:v>11.52782</c:v>
                </c:pt>
                <c:pt idx="3">
                  <c:v>13.139780000000002</c:v>
                </c:pt>
                <c:pt idx="4">
                  <c:v>13.801910000000001</c:v>
                </c:pt>
                <c:pt idx="5">
                  <c:v>13.181520000000001</c:v>
                </c:pt>
                <c:pt idx="6">
                  <c:v>13.772919999999999</c:v>
                </c:pt>
                <c:pt idx="7">
                  <c:v>15.375499999999999</c:v>
                </c:pt>
                <c:pt idx="8">
                  <c:v>15.916149999999998</c:v>
                </c:pt>
                <c:pt idx="9">
                  <c:v>15.23907</c:v>
                </c:pt>
                <c:pt idx="10">
                  <c:v>15.0977</c:v>
                </c:pt>
                <c:pt idx="11">
                  <c:v>16.868070000000003</c:v>
                </c:pt>
                <c:pt idx="12">
                  <c:v>17.598670000000002</c:v>
                </c:pt>
                <c:pt idx="13">
                  <c:v>16.591989999999999</c:v>
                </c:pt>
                <c:pt idx="14">
                  <c:v>17.162179999999999</c:v>
                </c:pt>
                <c:pt idx="15">
                  <c:v>19.102679999999999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C06-024B-9D1E-A52265BF8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9662240"/>
        <c:axId val="969663936"/>
      </c:lineChart>
      <c:catAx>
        <c:axId val="96966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Algn val="ctr"/>
        <c:lblOffset val="100"/>
        <c:noMultiLvlLbl val="0"/>
      </c:catAx>
      <c:valAx>
        <c:axId val="969663936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533408197641773E-2"/>
          <c:y val="0.94109199959177581"/>
          <c:w val="0.9"/>
          <c:h val="5.6007945273809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852182790373283E-2"/>
          <c:y val="3.8511516219974617E-2"/>
          <c:w val="0.9280517117645275"/>
          <c:h val="0.814151774957054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'New Summary Quarterly'!$A$75</c:f>
              <c:strCache>
                <c:ptCount val="1"/>
                <c:pt idx="0">
                  <c:v> Betting 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'New Summary Quarterly'!$B$12:$Q$12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Quarterly'!$B$75:$Q$75</c:f>
              <c:numCache>
                <c:formatCode>#,##0.00</c:formatCode>
                <c:ptCount val="16"/>
                <c:pt idx="0">
                  <c:v>0.1140260968348735</c:v>
                </c:pt>
                <c:pt idx="1">
                  <c:v>0.10506</c:v>
                </c:pt>
                <c:pt idx="2">
                  <c:v>0.11555</c:v>
                </c:pt>
                <c:pt idx="3">
                  <c:v>0.15780000000000002</c:v>
                </c:pt>
                <c:pt idx="4">
                  <c:v>0.16916999999999999</c:v>
                </c:pt>
                <c:pt idx="5">
                  <c:v>0.13871</c:v>
                </c:pt>
                <c:pt idx="6">
                  <c:v>0.15140999999999999</c:v>
                </c:pt>
                <c:pt idx="7">
                  <c:v>0.16056999999999999</c:v>
                </c:pt>
                <c:pt idx="8">
                  <c:v>0.20329</c:v>
                </c:pt>
                <c:pt idx="9">
                  <c:v>0.17402999999999999</c:v>
                </c:pt>
                <c:pt idx="10">
                  <c:v>0.14116000000000001</c:v>
                </c:pt>
                <c:pt idx="11">
                  <c:v>0.16649</c:v>
                </c:pt>
                <c:pt idx="12">
                  <c:v>0.17832000000000001</c:v>
                </c:pt>
                <c:pt idx="13">
                  <c:v>0.19040000000000001</c:v>
                </c:pt>
                <c:pt idx="14">
                  <c:v>0.16108</c:v>
                </c:pt>
                <c:pt idx="15">
                  <c:v>0.21712000000000001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C1-CA47-8DEF-6C7F3A82A55B}"/>
            </c:ext>
          </c:extLst>
        </c:ser>
        <c:ser>
          <c:idx val="1"/>
          <c:order val="1"/>
          <c:tx>
            <c:strRef>
              <c:f>'New Summary Quarterly'!$A$76</c:f>
              <c:strCache>
                <c:ptCount val="1"/>
                <c:pt idx="0">
                  <c:v> Gaming Machines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'New Summary Quarterly'!$B$12:$Q$12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Quarterly'!$B$76:$Q$76</c:f>
              <c:numCache>
                <c:formatCode>#,##0.00</c:formatCode>
                <c:ptCount val="16"/>
                <c:pt idx="0">
                  <c:v>0.39359869565648836</c:v>
                </c:pt>
                <c:pt idx="1">
                  <c:v>0.23211999999999999</c:v>
                </c:pt>
                <c:pt idx="2">
                  <c:v>0.89016999999999991</c:v>
                </c:pt>
                <c:pt idx="3">
                  <c:v>1.49075</c:v>
                </c:pt>
                <c:pt idx="4">
                  <c:v>0.89096000000000009</c:v>
                </c:pt>
                <c:pt idx="5">
                  <c:v>1.83589</c:v>
                </c:pt>
                <c:pt idx="6">
                  <c:v>0.90771000000000002</c:v>
                </c:pt>
                <c:pt idx="7">
                  <c:v>1.9599300000000002</c:v>
                </c:pt>
                <c:pt idx="8">
                  <c:v>0.94254000000000004</c:v>
                </c:pt>
                <c:pt idx="9">
                  <c:v>1.85358</c:v>
                </c:pt>
                <c:pt idx="10">
                  <c:v>0.86253999999999997</c:v>
                </c:pt>
                <c:pt idx="11">
                  <c:v>1.86239</c:v>
                </c:pt>
                <c:pt idx="12">
                  <c:v>0.90868000000000004</c:v>
                </c:pt>
                <c:pt idx="13">
                  <c:v>1.7706599999999999</c:v>
                </c:pt>
                <c:pt idx="14">
                  <c:v>0.81074999999999997</c:v>
                </c:pt>
                <c:pt idx="15">
                  <c:v>1.77763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C1-CA47-8DEF-6C7F3A82A55B}"/>
            </c:ext>
          </c:extLst>
        </c:ser>
        <c:ser>
          <c:idx val="2"/>
          <c:order val="2"/>
          <c:tx>
            <c:strRef>
              <c:f>'New Summary Quarterly'!$A$77</c:f>
              <c:strCache>
                <c:ptCount val="1"/>
                <c:pt idx="0">
                  <c:v> Lotteries &amp; Number Games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'New Summary Quarterly'!$B$12:$Q$12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Quarterly'!$B$77:$Q$77</c:f>
              <c:numCache>
                <c:formatCode>#,##0.00</c:formatCode>
                <c:ptCount val="16"/>
                <c:pt idx="0">
                  <c:v>0.93232462772050384</c:v>
                </c:pt>
                <c:pt idx="1">
                  <c:v>0.86488999999999994</c:v>
                </c:pt>
                <c:pt idx="2">
                  <c:v>0.73448000000000002</c:v>
                </c:pt>
                <c:pt idx="3">
                  <c:v>0.80758000000000008</c:v>
                </c:pt>
                <c:pt idx="4">
                  <c:v>0.8374299999999999</c:v>
                </c:pt>
                <c:pt idx="5">
                  <c:v>0.77464</c:v>
                </c:pt>
                <c:pt idx="6">
                  <c:v>0.80279</c:v>
                </c:pt>
                <c:pt idx="7">
                  <c:v>0.85099000000000002</c:v>
                </c:pt>
                <c:pt idx="8">
                  <c:v>0.98882999999999999</c:v>
                </c:pt>
                <c:pt idx="9">
                  <c:v>0.82620000000000005</c:v>
                </c:pt>
                <c:pt idx="10">
                  <c:v>0.77209000000000005</c:v>
                </c:pt>
                <c:pt idx="11">
                  <c:v>0.84879000000000004</c:v>
                </c:pt>
                <c:pt idx="12">
                  <c:v>0.97984000000000004</c:v>
                </c:pt>
                <c:pt idx="13">
                  <c:v>0.83930000000000005</c:v>
                </c:pt>
                <c:pt idx="14">
                  <c:v>0.77090999999999998</c:v>
                </c:pt>
                <c:pt idx="15">
                  <c:v>0.92501999999999995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C1-CA47-8DEF-6C7F3A82A55B}"/>
            </c:ext>
          </c:extLst>
        </c:ser>
        <c:ser>
          <c:idx val="3"/>
          <c:order val="3"/>
          <c:tx>
            <c:strRef>
              <c:f>'New Summary Quarterly'!$A$78</c:f>
              <c:strCache>
                <c:ptCount val="1"/>
                <c:pt idx="0">
                  <c:v> Other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'New Summary Quarterly'!$B$12:$Q$12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Quarterly'!$B$78:$Q$78</c:f>
              <c:numCache>
                <c:formatCode>#,##0.00</c:formatCode>
                <c:ptCount val="16"/>
                <c:pt idx="0">
                  <c:v>0.15751677435568534</c:v>
                </c:pt>
                <c:pt idx="1">
                  <c:v>0.13356999999999999</c:v>
                </c:pt>
                <c:pt idx="2">
                  <c:v>0.14906</c:v>
                </c:pt>
                <c:pt idx="3">
                  <c:v>0.17155000000000001</c:v>
                </c:pt>
                <c:pt idx="4">
                  <c:v>0.1749</c:v>
                </c:pt>
                <c:pt idx="5">
                  <c:v>0.17294999999999999</c:v>
                </c:pt>
                <c:pt idx="6">
                  <c:v>0.17999000000000001</c:v>
                </c:pt>
                <c:pt idx="7">
                  <c:v>0.20537</c:v>
                </c:pt>
                <c:pt idx="8">
                  <c:v>0.20665</c:v>
                </c:pt>
                <c:pt idx="9">
                  <c:v>0.19736000000000001</c:v>
                </c:pt>
                <c:pt idx="10">
                  <c:v>0.19877</c:v>
                </c:pt>
                <c:pt idx="11">
                  <c:v>0.22658</c:v>
                </c:pt>
                <c:pt idx="12">
                  <c:v>0.23272999999999999</c:v>
                </c:pt>
                <c:pt idx="13">
                  <c:v>0.22040000000000001</c:v>
                </c:pt>
                <c:pt idx="14">
                  <c:v>0.22966</c:v>
                </c:pt>
                <c:pt idx="15">
                  <c:v>0.26005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C1-CA47-8DEF-6C7F3A82A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969662240"/>
        <c:axId val="969663936"/>
      </c:barChart>
      <c:catAx>
        <c:axId val="96966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Algn val="ctr"/>
        <c:lblOffset val="100"/>
        <c:noMultiLvlLbl val="0"/>
      </c:catAx>
      <c:valAx>
        <c:axId val="9696639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2219321148825062E-2"/>
          <c:y val="0.93909795338238111"/>
          <c:w val="0.9"/>
          <c:h val="5.6007945273809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368709346114346E-2"/>
          <c:y val="2.3059046427143626E-2"/>
          <c:w val="0.94663129065388552"/>
          <c:h val="0.84656651420839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'New Summary Quarterly'!$A$96</c:f>
              <c:strCache>
                <c:ptCount val="1"/>
                <c:pt idx="0">
                  <c:v> Betting 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Quarterly'!$B$94:$E$94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'New Summary Quarterly'!$B$96:$E$96</c:f>
              <c:numCache>
                <c:formatCode>#,##0.00</c:formatCode>
                <c:ptCount val="4"/>
                <c:pt idx="0">
                  <c:v>18.867799999999999</c:v>
                </c:pt>
                <c:pt idx="1">
                  <c:v>22.581299999999999</c:v>
                </c:pt>
                <c:pt idx="2">
                  <c:v>25.74455</c:v>
                </c:pt>
                <c:pt idx="3">
                  <c:v>28.131500000000003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1-3742-BA34-ED03CC2DCBA9}"/>
            </c:ext>
          </c:extLst>
        </c:ser>
        <c:ser>
          <c:idx val="1"/>
          <c:order val="1"/>
          <c:tx>
            <c:strRef>
              <c:f>'New Summary Quarterly'!$A$97</c:f>
              <c:strCache>
                <c:ptCount val="1"/>
                <c:pt idx="0">
                  <c:v> Gaming Machines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Quarterly'!$B$94:$E$94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'New Summary Quarterly'!$B$97:$E$97</c:f>
              <c:numCache>
                <c:formatCode>#,##0.00</c:formatCode>
                <c:ptCount val="4"/>
                <c:pt idx="0">
                  <c:v>20.728395065789474</c:v>
                </c:pt>
                <c:pt idx="1">
                  <c:v>33.676589999999997</c:v>
                </c:pt>
                <c:pt idx="2">
                  <c:v>33.760549999999995</c:v>
                </c:pt>
                <c:pt idx="3">
                  <c:v>32.64725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61-3742-BA34-ED03CC2DCBA9}"/>
            </c:ext>
          </c:extLst>
        </c:ser>
        <c:ser>
          <c:idx val="2"/>
          <c:order val="2"/>
          <c:tx>
            <c:strRef>
              <c:f>'New Summary Quarterly'!$A$98</c:f>
              <c:strCache>
                <c:ptCount val="1"/>
                <c:pt idx="0">
                  <c:v> Lotteries &amp; Number Games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Quarterly'!$B$94:$E$94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'New Summary Quarterly'!$B$98:$E$98</c:f>
              <c:numCache>
                <c:formatCode>#,##0.00</c:formatCode>
                <c:ptCount val="4"/>
                <c:pt idx="0">
                  <c:v>22.098879999999998</c:v>
                </c:pt>
                <c:pt idx="1">
                  <c:v>20.865670000000001</c:v>
                </c:pt>
                <c:pt idx="2">
                  <c:v>22.016829999999999</c:v>
                </c:pt>
                <c:pt idx="3">
                  <c:v>22.679389999999998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61-3742-BA34-ED03CC2DCBA9}"/>
            </c:ext>
          </c:extLst>
        </c:ser>
        <c:ser>
          <c:idx val="3"/>
          <c:order val="3"/>
          <c:tx>
            <c:strRef>
              <c:f>'New Summary Quarterly'!$A$99</c:f>
              <c:strCache>
                <c:ptCount val="1"/>
                <c:pt idx="0">
                  <c:v> Other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Quarterly'!$B$94:$E$94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'New Summary Quarterly'!$B$99:$E$99</c:f>
              <c:numCache>
                <c:formatCode>#,##0.00</c:formatCode>
                <c:ptCount val="4"/>
                <c:pt idx="0">
                  <c:v>53.93043806189521</c:v>
                </c:pt>
                <c:pt idx="1">
                  <c:v>58.810990000000004</c:v>
                </c:pt>
                <c:pt idx="2">
                  <c:v>66.152909999999991</c:v>
                </c:pt>
                <c:pt idx="3">
                  <c:v>73.951610000000002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61-3742-BA34-ED03CC2DC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69662240"/>
        <c:axId val="969663936"/>
      </c:barChart>
      <c:catAx>
        <c:axId val="96966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Algn val="ctr"/>
        <c:lblOffset val="100"/>
        <c:noMultiLvlLbl val="0"/>
      </c:catAx>
      <c:valAx>
        <c:axId val="9696639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955552816900446"/>
          <c:w val="0.97446304439395515"/>
          <c:h val="4.9020815467373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60725343871904E-2"/>
          <c:y val="2.3059046427143626E-2"/>
          <c:w val="0.96833927465612812"/>
          <c:h val="0.845727992050834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'New Summary Quarterly'!$A$110</c:f>
              <c:strCache>
                <c:ptCount val="1"/>
                <c:pt idx="0">
                  <c:v> Betting 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Quarterly'!$B$94:$E$94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'New Summary Quarterly'!$B$110:$E$110</c:f>
              <c:numCache>
                <c:formatCode>#,##0.00</c:formatCode>
                <c:ptCount val="4"/>
                <c:pt idx="0">
                  <c:v>2.1977023236300002</c:v>
                </c:pt>
                <c:pt idx="1">
                  <c:v>2.8123900000000002</c:v>
                </c:pt>
                <c:pt idx="2">
                  <c:v>3.0978500000000002</c:v>
                </c:pt>
                <c:pt idx="3">
                  <c:v>3.3730100000000003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35-4146-85B6-79ACAF44745A}"/>
            </c:ext>
          </c:extLst>
        </c:ser>
        <c:ser>
          <c:idx val="1"/>
          <c:order val="1"/>
          <c:tx>
            <c:strRef>
              <c:f>'New Summary Quarterly'!$A$111</c:f>
              <c:strCache>
                <c:ptCount val="1"/>
                <c:pt idx="0">
                  <c:v> Gaming Machines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Quarterly'!$B$94:$E$94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'New Summary Quarterly'!$B$111:$E$111</c:f>
              <c:numCache>
                <c:formatCode>#,##0.00</c:formatCode>
                <c:ptCount val="4"/>
                <c:pt idx="0">
                  <c:v>4.7469999999999999</c:v>
                </c:pt>
                <c:pt idx="1">
                  <c:v>8.618640000000001</c:v>
                </c:pt>
                <c:pt idx="2">
                  <c:v>8.57944</c:v>
                </c:pt>
                <c:pt idx="3">
                  <c:v>8.2184799999999996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35-4146-85B6-79ACAF44745A}"/>
            </c:ext>
          </c:extLst>
        </c:ser>
        <c:ser>
          <c:idx val="2"/>
          <c:order val="2"/>
          <c:tx>
            <c:strRef>
              <c:f>'New Summary Quarterly'!$A$112</c:f>
              <c:strCache>
                <c:ptCount val="1"/>
                <c:pt idx="0">
                  <c:v> Lotteries &amp; Number Games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Quarterly'!$B$94:$E$94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'New Summary Quarterly'!$B$112:$E$112</c:f>
              <c:numCache>
                <c:formatCode>#,##0.00</c:formatCode>
                <c:ptCount val="4"/>
                <c:pt idx="0">
                  <c:v>6.3160699999999999</c:v>
                </c:pt>
                <c:pt idx="1">
                  <c:v>6.1976399999999998</c:v>
                </c:pt>
                <c:pt idx="2">
                  <c:v>5.9679200000000003</c:v>
                </c:pt>
                <c:pt idx="3">
                  <c:v>6.4851000000000001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35-4146-85B6-79ACAF44745A}"/>
            </c:ext>
          </c:extLst>
        </c:ser>
        <c:ser>
          <c:idx val="3"/>
          <c:order val="3"/>
          <c:tx>
            <c:strRef>
              <c:f>'New Summary Quarterly'!$A$113</c:f>
              <c:strCache>
                <c:ptCount val="1"/>
                <c:pt idx="0">
                  <c:v> Other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f>'New Summary Quarterly'!$B$94:$E$94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'New Summary Quarterly'!$B$113:$E$113</c:f>
              <c:numCache>
                <c:formatCode>#,##0.00</c:formatCode>
                <c:ptCount val="4"/>
                <c:pt idx="0">
                  <c:v>2.2976186825799996</c:v>
                </c:pt>
                <c:pt idx="1">
                  <c:v>2.6791399999999999</c:v>
                </c:pt>
                <c:pt idx="2">
                  <c:v>3.0319199999999999</c:v>
                </c:pt>
                <c:pt idx="3">
                  <c:v>3.4960900000000001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35-4146-85B6-79ACAF447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69662240"/>
        <c:axId val="969663936"/>
      </c:barChart>
      <c:catAx>
        <c:axId val="96966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Algn val="ctr"/>
        <c:lblOffset val="100"/>
        <c:noMultiLvlLbl val="0"/>
      </c:catAx>
      <c:valAx>
        <c:axId val="969663936"/>
        <c:scaling>
          <c:orientation val="minMax"/>
          <c:max val="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94205740411481"/>
          <c:w val="0.97446304439395515"/>
          <c:h val="4.9020815467373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582176505393474E-2"/>
          <c:y val="3.8511516219974617E-2"/>
          <c:w val="0.94926876336989663"/>
          <c:h val="0.80691592583185157"/>
        </c:manualLayout>
      </c:layout>
      <c:areaChart>
        <c:grouping val="stacked"/>
        <c:varyColors val="0"/>
        <c:ser>
          <c:idx val="0"/>
          <c:order val="0"/>
          <c:tx>
            <c:strRef>
              <c:f>'New Summary Quarterly'!$A$14</c:f>
              <c:strCache>
                <c:ptCount val="1"/>
                <c:pt idx="0">
                  <c:v> Betting 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cat>
            <c:strRef>
              <c:f>'New Summary Quarterly'!$B$12:$Q$12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Quarterly'!$B$29:$Q$29</c:f>
              <c:numCache>
                <c:formatCode>#,##0.00</c:formatCode>
                <c:ptCount val="16"/>
                <c:pt idx="0">
                  <c:v>0.50935232363000027</c:v>
                </c:pt>
                <c:pt idx="1">
                  <c:v>0.45119999999999999</c:v>
                </c:pt>
                <c:pt idx="2">
                  <c:v>0.52159</c:v>
                </c:pt>
                <c:pt idx="3">
                  <c:v>0.71755999999999998</c:v>
                </c:pt>
                <c:pt idx="4">
                  <c:v>0.76744000000000001</c:v>
                </c:pt>
                <c:pt idx="5">
                  <c:v>0.63245000000000007</c:v>
                </c:pt>
                <c:pt idx="6">
                  <c:v>0.68447000000000002</c:v>
                </c:pt>
                <c:pt idx="7">
                  <c:v>0.72802999999999995</c:v>
                </c:pt>
                <c:pt idx="8">
                  <c:v>0.91961000000000004</c:v>
                </c:pt>
                <c:pt idx="9">
                  <c:v>0.78952</c:v>
                </c:pt>
                <c:pt idx="10">
                  <c:v>0.63788</c:v>
                </c:pt>
                <c:pt idx="11">
                  <c:v>0.75083999999999995</c:v>
                </c:pt>
                <c:pt idx="12">
                  <c:v>0.80703000000000003</c:v>
                </c:pt>
                <c:pt idx="13">
                  <c:v>0.86107999999999996</c:v>
                </c:pt>
                <c:pt idx="14">
                  <c:v>0.72387000000000001</c:v>
                </c:pt>
                <c:pt idx="15">
                  <c:v>0.98102999999999996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15-CC40-92C8-56D5406DD1D9}"/>
            </c:ext>
          </c:extLst>
        </c:ser>
        <c:ser>
          <c:idx val="1"/>
          <c:order val="1"/>
          <c:tx>
            <c:strRef>
              <c:f>'New Summary Quarterly'!$A$15</c:f>
              <c:strCache>
                <c:ptCount val="1"/>
                <c:pt idx="0">
                  <c:v> Gaming Machines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/>
          </c:spPr>
          <c:cat>
            <c:strRef>
              <c:f>'New Summary Quarterly'!$B$12:$Q$12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Quarterly'!$B$30:$Q$30</c:f>
              <c:numCache>
                <c:formatCode>#,##0.00</c:formatCode>
                <c:ptCount val="16"/>
                <c:pt idx="0">
                  <c:v>0.60715999999999981</c:v>
                </c:pt>
                <c:pt idx="1">
                  <c:v>0.36551999999999996</c:v>
                </c:pt>
                <c:pt idx="2">
                  <c:v>1.369</c:v>
                </c:pt>
                <c:pt idx="3">
                  <c:v>2.2963200000000001</c:v>
                </c:pt>
                <c:pt idx="4">
                  <c:v>1.3903299999999998</c:v>
                </c:pt>
                <c:pt idx="5">
                  <c:v>2.8366100000000003</c:v>
                </c:pt>
                <c:pt idx="6">
                  <c:v>1.4071300000000002</c:v>
                </c:pt>
                <c:pt idx="7">
                  <c:v>2.9845700000000002</c:v>
                </c:pt>
                <c:pt idx="8">
                  <c:v>1.4754700000000001</c:v>
                </c:pt>
                <c:pt idx="9">
                  <c:v>2.8755600000000001</c:v>
                </c:pt>
                <c:pt idx="10">
                  <c:v>1.3389800000000001</c:v>
                </c:pt>
                <c:pt idx="11">
                  <c:v>2.8894299999999999</c:v>
                </c:pt>
                <c:pt idx="12">
                  <c:v>1.4309000000000001</c:v>
                </c:pt>
                <c:pt idx="13">
                  <c:v>2.74709</c:v>
                </c:pt>
                <c:pt idx="14">
                  <c:v>1.26858</c:v>
                </c:pt>
                <c:pt idx="15">
                  <c:v>2.7719100000000001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15-CC40-92C8-56D5406DD1D9}"/>
            </c:ext>
          </c:extLst>
        </c:ser>
        <c:ser>
          <c:idx val="2"/>
          <c:order val="2"/>
          <c:tx>
            <c:strRef>
              <c:f>'New Summary Quarterly'!$A$16</c:f>
              <c:strCache>
                <c:ptCount val="1"/>
                <c:pt idx="0">
                  <c:v> Lotteries &amp; Number Games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cat>
            <c:strRef>
              <c:f>'New Summary Quarterly'!$B$12:$Q$12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Quarterly'!$B$31:$Q$31</c:f>
              <c:numCache>
                <c:formatCode>#,##0.00</c:formatCode>
                <c:ptCount val="16"/>
                <c:pt idx="0">
                  <c:v>1.7583999999999997</c:v>
                </c:pt>
                <c:pt idx="1">
                  <c:v>1.5495399999999999</c:v>
                </c:pt>
                <c:pt idx="2">
                  <c:v>1.4473</c:v>
                </c:pt>
                <c:pt idx="3">
                  <c:v>1.5427599999999999</c:v>
                </c:pt>
                <c:pt idx="4">
                  <c:v>1.5609600000000001</c:v>
                </c:pt>
                <c:pt idx="5">
                  <c:v>1.49135</c:v>
                </c:pt>
                <c:pt idx="6">
                  <c:v>1.5092699999999999</c:v>
                </c:pt>
                <c:pt idx="7">
                  <c:v>1.6360599999999998</c:v>
                </c:pt>
                <c:pt idx="8">
                  <c:v>1.36344</c:v>
                </c:pt>
                <c:pt idx="9">
                  <c:v>1.52813</c:v>
                </c:pt>
                <c:pt idx="10">
                  <c:v>1.51172</c:v>
                </c:pt>
                <c:pt idx="11">
                  <c:v>1.56463</c:v>
                </c:pt>
                <c:pt idx="12">
                  <c:v>1.8105599999999999</c:v>
                </c:pt>
                <c:pt idx="13">
                  <c:v>1.4996700000000001</c:v>
                </c:pt>
                <c:pt idx="14">
                  <c:v>1.51058</c:v>
                </c:pt>
                <c:pt idx="15">
                  <c:v>1.66429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15-CC40-92C8-56D5406DD1D9}"/>
            </c:ext>
          </c:extLst>
        </c:ser>
        <c:ser>
          <c:idx val="3"/>
          <c:order val="3"/>
          <c:tx>
            <c:strRef>
              <c:f>'New Summary Quarterly'!$A$17</c:f>
              <c:strCache>
                <c:ptCount val="1"/>
                <c:pt idx="0">
                  <c:v> Other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cat>
            <c:strRef>
              <c:f>'New Summary Quarterly'!$B$12:$Q$12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Quarterly'!$B$32:$Q$32</c:f>
              <c:numCache>
                <c:formatCode>#,##0.00</c:formatCode>
                <c:ptCount val="16"/>
                <c:pt idx="0">
                  <c:v>0.59478900000000068</c:v>
                </c:pt>
                <c:pt idx="1">
                  <c:v>0.52295000000000003</c:v>
                </c:pt>
                <c:pt idx="2">
                  <c:v>0.55304999999999993</c:v>
                </c:pt>
                <c:pt idx="3">
                  <c:v>0.63900000000000001</c:v>
                </c:pt>
                <c:pt idx="4">
                  <c:v>0.63261999999999996</c:v>
                </c:pt>
                <c:pt idx="5">
                  <c:v>0.63024999999999998</c:v>
                </c:pt>
                <c:pt idx="6">
                  <c:v>0.65800999999999998</c:v>
                </c:pt>
                <c:pt idx="7">
                  <c:v>0.75826000000000005</c:v>
                </c:pt>
                <c:pt idx="8">
                  <c:v>0.74792999999999998</c:v>
                </c:pt>
                <c:pt idx="9">
                  <c:v>0.71931</c:v>
                </c:pt>
                <c:pt idx="10">
                  <c:v>0.72587000000000002</c:v>
                </c:pt>
                <c:pt idx="11">
                  <c:v>0.83880999999999994</c:v>
                </c:pt>
                <c:pt idx="12">
                  <c:v>0.84960000000000002</c:v>
                </c:pt>
                <c:pt idx="13">
                  <c:v>0.81054000000000004</c:v>
                </c:pt>
                <c:pt idx="14">
                  <c:v>0.84882999999999997</c:v>
                </c:pt>
                <c:pt idx="15">
                  <c:v>0.98712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15-CC40-92C8-56D5406DD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9662240"/>
        <c:axId val="969663936"/>
      </c:areaChart>
      <c:catAx>
        <c:axId val="96966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Algn val="ctr"/>
        <c:lblOffset val="100"/>
        <c:noMultiLvlLbl val="0"/>
      </c:catAx>
      <c:valAx>
        <c:axId val="9696639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2485549132947972E-2"/>
          <c:y val="0.93725461736637761"/>
          <c:w val="0.71068745164079916"/>
          <c:h val="4.56322798359882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138911938386674E-2"/>
          <c:y val="3.8511516219974617E-2"/>
          <c:w val="0.95249648486826421"/>
          <c:h val="0.81227305961754792"/>
        </c:manualLayout>
      </c:layout>
      <c:areaChart>
        <c:grouping val="stacked"/>
        <c:varyColors val="0"/>
        <c:ser>
          <c:idx val="0"/>
          <c:order val="0"/>
          <c:tx>
            <c:strRef>
              <c:f>'New Summary Quarterly'!$A$86</c:f>
              <c:strCache>
                <c:ptCount val="1"/>
                <c:pt idx="0">
                  <c:v>Real Inflation Adjusted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cat>
            <c:strRef>
              <c:f>'New Summary Quarterly'!$B$73:$Q$73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Quarterly'!$B$86:$Q$86</c:f>
              <c:numCache>
                <c:formatCode>#,##0.00</c:formatCode>
                <c:ptCount val="16"/>
                <c:pt idx="0">
                  <c:v>3.4697013236300007</c:v>
                </c:pt>
                <c:pt idx="1">
                  <c:v>2.8617460266159691</c:v>
                </c:pt>
                <c:pt idx="2">
                  <c:v>3.8357232544938493</c:v>
                </c:pt>
                <c:pt idx="3">
                  <c:v>5.0221306864564017</c:v>
                </c:pt>
                <c:pt idx="4">
                  <c:v>4.0737706199460915</c:v>
                </c:pt>
                <c:pt idx="5">
                  <c:v>5.1055808238387392</c:v>
                </c:pt>
                <c:pt idx="6">
                  <c:v>3.8388866435986166</c:v>
                </c:pt>
                <c:pt idx="7">
                  <c:v>5.2546743517753933</c:v>
                </c:pt>
                <c:pt idx="8">
                  <c:v>3.9033423940149632</c:v>
                </c:pt>
                <c:pt idx="9">
                  <c:v>5.0581657142857157</c:v>
                </c:pt>
                <c:pt idx="10">
                  <c:v>3.5966067977067975</c:v>
                </c:pt>
                <c:pt idx="11">
                  <c:v>5.1746473459326063</c:v>
                </c:pt>
                <c:pt idx="12">
                  <c:v>4.1903200164203493</c:v>
                </c:pt>
                <c:pt idx="13">
                  <c:v>5.0178616436126786</c:v>
                </c:pt>
                <c:pt idx="14">
                  <c:v>3.6837027782290725</c:v>
                </c:pt>
                <c:pt idx="15">
                  <c:v>5.4078871150729189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5-C94E-BAED-D205154A6239}"/>
            </c:ext>
          </c:extLst>
        </c:ser>
        <c:ser>
          <c:idx val="2"/>
          <c:order val="1"/>
          <c:tx>
            <c:strRef>
              <c:f>'New Summary Quarterly'!$A$85</c:f>
              <c:strCache>
                <c:ptCount val="1"/>
                <c:pt idx="0">
                  <c:v>Inflation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cat>
            <c:strRef>
              <c:f>'New Summary Quarterly'!$B$73:$Q$73</c:f>
              <c:strCache>
                <c:ptCount val="16"/>
                <c:pt idx="0">
                  <c:v>Q121</c:v>
                </c:pt>
                <c:pt idx="1">
                  <c:v>Q221</c:v>
                </c:pt>
                <c:pt idx="2">
                  <c:v>Q321</c:v>
                </c:pt>
                <c:pt idx="3">
                  <c:v>Q421</c:v>
                </c:pt>
                <c:pt idx="4">
                  <c:v>Q122</c:v>
                </c:pt>
                <c:pt idx="5">
                  <c:v>Q222</c:v>
                </c:pt>
                <c:pt idx="6">
                  <c:v>Q322</c:v>
                </c:pt>
                <c:pt idx="7">
                  <c:v>Q422</c:v>
                </c:pt>
                <c:pt idx="8">
                  <c:v>Q123</c:v>
                </c:pt>
                <c:pt idx="9">
                  <c:v>Q223</c:v>
                </c:pt>
                <c:pt idx="10">
                  <c:v>Q323</c:v>
                </c:pt>
                <c:pt idx="11">
                  <c:v>Q423</c:v>
                </c:pt>
                <c:pt idx="12">
                  <c:v>Q124</c:v>
                </c:pt>
                <c:pt idx="13">
                  <c:v>Q224</c:v>
                </c:pt>
                <c:pt idx="14">
                  <c:v>Q324</c:v>
                </c:pt>
                <c:pt idx="15">
                  <c:v>Q424</c:v>
                </c:pt>
              </c:strCache>
            </c:strRef>
          </c:cat>
          <c:val>
            <c:numRef>
              <c:f>'New Summary Quarterly'!$B$87:$Q$87</c:f>
              <c:numCache>
                <c:formatCode>#,##0.00</c:formatCode>
                <c:ptCount val="16"/>
                <c:pt idx="0">
                  <c:v>0</c:v>
                </c:pt>
                <c:pt idx="1">
                  <c:v>2.7463973384030282E-2</c:v>
                </c:pt>
                <c:pt idx="2">
                  <c:v>5.52167455061503E-2</c:v>
                </c:pt>
                <c:pt idx="3">
                  <c:v>0.17350931354359922</c:v>
                </c:pt>
                <c:pt idx="4">
                  <c:v>0.27757938005390859</c:v>
                </c:pt>
                <c:pt idx="5">
                  <c:v>0.48507917616126139</c:v>
                </c:pt>
                <c:pt idx="6">
                  <c:v>0.41999335640138291</c:v>
                </c:pt>
                <c:pt idx="7">
                  <c:v>0.85224564822460636</c:v>
                </c:pt>
                <c:pt idx="8">
                  <c:v>0.60310760598503688</c:v>
                </c:pt>
                <c:pt idx="9">
                  <c:v>0.85435428571428496</c:v>
                </c:pt>
                <c:pt idx="10">
                  <c:v>0.61784320229320189</c:v>
                </c:pt>
                <c:pt idx="11">
                  <c:v>0.86906265406739358</c:v>
                </c:pt>
                <c:pt idx="12">
                  <c:v>0.70776998357965049</c:v>
                </c:pt>
                <c:pt idx="13">
                  <c:v>0.90051835638732047</c:v>
                </c:pt>
                <c:pt idx="14">
                  <c:v>0.66815722177092773</c:v>
                </c:pt>
                <c:pt idx="15">
                  <c:v>0.99646288492708113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F5-C94E-BAED-D205154A6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9662240"/>
        <c:axId val="969663936"/>
      </c:areaChart>
      <c:catAx>
        <c:axId val="96966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3936"/>
        <c:crosses val="autoZero"/>
        <c:auto val="1"/>
        <c:lblAlgn val="ctr"/>
        <c:lblOffset val="100"/>
        <c:noMultiLvlLbl val="0"/>
      </c:catAx>
      <c:valAx>
        <c:axId val="9696639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969662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2485545665173655E-2"/>
          <c:y val="0.94796892575928027"/>
          <c:w val="0.81188985480861131"/>
          <c:h val="4.56322798359882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r>
              <a:rPr lang="en-GB" sz="1680">
                <a:latin typeface="Apercu" panose="02000506040000020004" pitchFamily="2" charset="77"/>
              </a:rPr>
              <a:t>Total Online Betting and Gaming Market GGR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'Overview (LC)'!$E$34</c:f>
              <c:strCache>
                <c:ptCount val="1"/>
                <c:pt idx="0">
                  <c:v>Onshore Online Betting &amp; Gaming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(LC)'!$G$17:$AH$17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(LC)'!$G$34:$AH$34</c:f>
              <c:numCache>
                <c:formatCode>_(* #,##0_);_(* \(#,##0\);_(* "-"??_);_(@_)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72.78574382303735</c:v>
                </c:pt>
                <c:pt idx="5">
                  <c:v>207.77063668902628</c:v>
                </c:pt>
                <c:pt idx="6">
                  <c:v>491.09246983889233</c:v>
                </c:pt>
                <c:pt idx="7">
                  <c:v>662.359599</c:v>
                </c:pt>
                <c:pt idx="8">
                  <c:v>717.88084600000002</c:v>
                </c:pt>
                <c:pt idx="9">
                  <c:v>730.7541486572045</c:v>
                </c:pt>
                <c:pt idx="10">
                  <c:v>713.19999999999993</c:v>
                </c:pt>
                <c:pt idx="11">
                  <c:v>711</c:v>
                </c:pt>
                <c:pt idx="12">
                  <c:v>803.99999999999989</c:v>
                </c:pt>
                <c:pt idx="13">
                  <c:v>989.99999999999989</c:v>
                </c:pt>
                <c:pt idx="14">
                  <c:v>1338.8800000000003</c:v>
                </c:pt>
                <c:pt idx="15">
                  <c:v>1572.9299667099999</c:v>
                </c:pt>
                <c:pt idx="16">
                  <c:v>1789.102127960761</c:v>
                </c:pt>
                <c:pt idx="17">
                  <c:v>2594.3199962187077</c:v>
                </c:pt>
                <c:pt idx="18">
                  <c:v>3620.9414585596246</c:v>
                </c:pt>
                <c:pt idx="19">
                  <c:v>3759.3875785649998</c:v>
                </c:pt>
                <c:pt idx="20">
                  <c:v>4282.841549131067</c:v>
                </c:pt>
                <c:pt idx="21">
                  <c:v>4898.2190561722191</c:v>
                </c:pt>
                <c:pt idx="22">
                  <c:v>5489.6124016498225</c:v>
                </c:pt>
                <c:pt idx="23">
                  <c:v>6135.6352759139254</c:v>
                </c:pt>
                <c:pt idx="24">
                  <c:v>6743.9872871900052</c:v>
                </c:pt>
                <c:pt idx="25">
                  <c:v>7384.7078237017222</c:v>
                </c:pt>
                <c:pt idx="26">
                  <c:v>8051.6557526119668</c:v>
                </c:pt>
                <c:pt idx="27">
                  <c:v>8639.117635728966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D-8944-9FBF-3CE105E686CE}"/>
            </c:ext>
          </c:extLst>
        </c:ser>
        <c:ser>
          <c:idx val="1"/>
          <c:order val="1"/>
          <c:tx>
            <c:strRef>
              <c:f>'Overview (LC)'!$E$35</c:f>
              <c:strCache>
                <c:ptCount val="1"/>
                <c:pt idx="0">
                  <c:v>Offshore Online Betting &amp; Gaming</c:v>
                </c:pt>
              </c:strCache>
            </c:strRef>
          </c:tx>
          <c:spPr>
            <a:solidFill>
              <a:schemeClr val="tx2">
                <a:lumMod val="90000"/>
                <a:lumOff val="10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(LC)'!$G$17:$AH$17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(LC)'!$G$35:$AH$35</c:f>
              <c:numCache>
                <c:formatCode>_(* #,##0_);_(* \(#,##0\);_(* "-"??_);_(@_)</c:formatCode>
                <c:ptCount val="28"/>
                <c:pt idx="0">
                  <c:v>77.06520563446982</c:v>
                </c:pt>
                <c:pt idx="1">
                  <c:v>138.71087708233316</c:v>
                </c:pt>
                <c:pt idx="2">
                  <c:v>230.70176899108978</c:v>
                </c:pt>
                <c:pt idx="3">
                  <c:v>281.38891317035564</c:v>
                </c:pt>
                <c:pt idx="4">
                  <c:v>360.69178735455796</c:v>
                </c:pt>
                <c:pt idx="5">
                  <c:v>362.00864749202941</c:v>
                </c:pt>
                <c:pt idx="6">
                  <c:v>375.04314565856646</c:v>
                </c:pt>
                <c:pt idx="7">
                  <c:v>386.09802138970076</c:v>
                </c:pt>
                <c:pt idx="8">
                  <c:v>377.80383985840831</c:v>
                </c:pt>
                <c:pt idx="9">
                  <c:v>324.98590983577714</c:v>
                </c:pt>
                <c:pt idx="10">
                  <c:v>314.90579588534604</c:v>
                </c:pt>
                <c:pt idx="11">
                  <c:v>283.52853726102535</c:v>
                </c:pt>
                <c:pt idx="12">
                  <c:v>240.67962854963724</c:v>
                </c:pt>
                <c:pt idx="13">
                  <c:v>218.79439804345623</c:v>
                </c:pt>
                <c:pt idx="14">
                  <c:v>202.85376326657772</c:v>
                </c:pt>
                <c:pt idx="15">
                  <c:v>200.38998981971272</c:v>
                </c:pt>
                <c:pt idx="16">
                  <c:v>190.2028974101963</c:v>
                </c:pt>
                <c:pt idx="17">
                  <c:v>173.18887835841861</c:v>
                </c:pt>
                <c:pt idx="18">
                  <c:v>168.50611619336297</c:v>
                </c:pt>
                <c:pt idx="19">
                  <c:v>164.5091717110887</c:v>
                </c:pt>
                <c:pt idx="20">
                  <c:v>164.20922870942462</c:v>
                </c:pt>
                <c:pt idx="21">
                  <c:v>147.43881701497398</c:v>
                </c:pt>
                <c:pt idx="22">
                  <c:v>135.15572648699643</c:v>
                </c:pt>
                <c:pt idx="23">
                  <c:v>123.68309841540623</c:v>
                </c:pt>
                <c:pt idx="24">
                  <c:v>109.94003167121519</c:v>
                </c:pt>
                <c:pt idx="25">
                  <c:v>95.525281329340757</c:v>
                </c:pt>
                <c:pt idx="26">
                  <c:v>79.027210196191973</c:v>
                </c:pt>
                <c:pt idx="27">
                  <c:v>67.843285708778808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D-8944-9FBF-3CE105E68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04624"/>
        <c:axId val="73545040"/>
      </c:barChart>
      <c:catAx>
        <c:axId val="7380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545040"/>
        <c:crosses val="autoZero"/>
        <c:auto val="1"/>
        <c:lblAlgn val="ctr"/>
        <c:lblOffset val="100"/>
        <c:noMultiLvlLbl val="0"/>
      </c:catAx>
      <c:valAx>
        <c:axId val="7354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80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sz="1200"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677631067035401E-2"/>
          <c:y val="5.1782134732514702E-2"/>
          <c:w val="0.92575877719492305"/>
          <c:h val="0.79518735205753299"/>
        </c:manualLayout>
      </c:layout>
      <c:barChart>
        <c:barDir val="col"/>
        <c:grouping val="stacked"/>
        <c:varyColors val="0"/>
        <c:ser>
          <c:idx val="0"/>
          <c:order val="0"/>
          <c:tx>
            <c:v>Tourn Poker / Skill</c:v>
          </c:tx>
          <c:spPr>
            <a:gradFill rotWithShape="0">
              <a:gsLst>
                <a:gs pos="0">
                  <a:srgbClr val="9BC1FF"/>
                </a:gs>
                <a:gs pos="100000">
                  <a:srgbClr val="3F80CD"/>
                </a:gs>
              </a:gsLst>
              <a:lin ang="5400000"/>
            </a:gradFill>
            <a:ln w="25400">
              <a:noFill/>
            </a:ln>
            <a:effectLst/>
          </c:spPr>
          <c:invertIfNegative val="0"/>
          <c:cat>
            <c:numRef>
              <c:f>'Archive Detailed Monthly'!$J$41:$BL$41</c:f>
              <c:numCache>
                <c:formatCode>mmm\-yy</c:formatCode>
                <c:ptCount val="55"/>
                <c:pt idx="0">
                  <c:v>39692</c:v>
                </c:pt>
                <c:pt idx="1">
                  <c:v>39722</c:v>
                </c:pt>
                <c:pt idx="2">
                  <c:v>39753</c:v>
                </c:pt>
                <c:pt idx="3">
                  <c:v>39783</c:v>
                </c:pt>
                <c:pt idx="4">
                  <c:v>39814</c:v>
                </c:pt>
                <c:pt idx="5">
                  <c:v>39845</c:v>
                </c:pt>
                <c:pt idx="6">
                  <c:v>39873</c:v>
                </c:pt>
                <c:pt idx="7">
                  <c:v>39904</c:v>
                </c:pt>
                <c:pt idx="8">
                  <c:v>39934</c:v>
                </c:pt>
                <c:pt idx="9">
                  <c:v>39965</c:v>
                </c:pt>
                <c:pt idx="10">
                  <c:v>39995</c:v>
                </c:pt>
                <c:pt idx="11">
                  <c:v>40026</c:v>
                </c:pt>
                <c:pt idx="12">
                  <c:v>40057</c:v>
                </c:pt>
                <c:pt idx="13">
                  <c:v>40087</c:v>
                </c:pt>
                <c:pt idx="14">
                  <c:v>40118</c:v>
                </c:pt>
                <c:pt idx="15">
                  <c:v>40148</c:v>
                </c:pt>
                <c:pt idx="16">
                  <c:v>40179</c:v>
                </c:pt>
                <c:pt idx="17">
                  <c:v>40210</c:v>
                </c:pt>
                <c:pt idx="18">
                  <c:v>40238</c:v>
                </c:pt>
                <c:pt idx="19">
                  <c:v>40269</c:v>
                </c:pt>
                <c:pt idx="20">
                  <c:v>40299</c:v>
                </c:pt>
                <c:pt idx="21">
                  <c:v>40330</c:v>
                </c:pt>
                <c:pt idx="22">
                  <c:v>40360</c:v>
                </c:pt>
                <c:pt idx="23">
                  <c:v>40391</c:v>
                </c:pt>
                <c:pt idx="24">
                  <c:v>40422</c:v>
                </c:pt>
                <c:pt idx="25">
                  <c:v>40452</c:v>
                </c:pt>
                <c:pt idx="26">
                  <c:v>40483</c:v>
                </c:pt>
                <c:pt idx="27">
                  <c:v>40513</c:v>
                </c:pt>
                <c:pt idx="28">
                  <c:v>40544</c:v>
                </c:pt>
                <c:pt idx="29">
                  <c:v>40575</c:v>
                </c:pt>
                <c:pt idx="30">
                  <c:v>40603</c:v>
                </c:pt>
                <c:pt idx="31">
                  <c:v>40634</c:v>
                </c:pt>
                <c:pt idx="32">
                  <c:v>40664</c:v>
                </c:pt>
                <c:pt idx="33">
                  <c:v>40695</c:v>
                </c:pt>
                <c:pt idx="34">
                  <c:v>40725</c:v>
                </c:pt>
                <c:pt idx="35">
                  <c:v>40756</c:v>
                </c:pt>
                <c:pt idx="36">
                  <c:v>40787</c:v>
                </c:pt>
                <c:pt idx="37">
                  <c:v>40817</c:v>
                </c:pt>
                <c:pt idx="38">
                  <c:v>40848</c:v>
                </c:pt>
                <c:pt idx="39">
                  <c:v>40878</c:v>
                </c:pt>
                <c:pt idx="40">
                  <c:v>40909</c:v>
                </c:pt>
                <c:pt idx="41">
                  <c:v>40940</c:v>
                </c:pt>
                <c:pt idx="42">
                  <c:v>40969</c:v>
                </c:pt>
                <c:pt idx="43">
                  <c:v>41000</c:v>
                </c:pt>
                <c:pt idx="44">
                  <c:v>41030</c:v>
                </c:pt>
                <c:pt idx="45">
                  <c:v>41061</c:v>
                </c:pt>
                <c:pt idx="46">
                  <c:v>41091</c:v>
                </c:pt>
                <c:pt idx="47">
                  <c:v>41122</c:v>
                </c:pt>
                <c:pt idx="48">
                  <c:v>41153</c:v>
                </c:pt>
                <c:pt idx="49">
                  <c:v>41183</c:v>
                </c:pt>
                <c:pt idx="50">
                  <c:v>41214</c:v>
                </c:pt>
                <c:pt idx="51">
                  <c:v>41244</c:v>
                </c:pt>
                <c:pt idx="52">
                  <c:v>41275</c:v>
                </c:pt>
                <c:pt idx="53">
                  <c:v>41306</c:v>
                </c:pt>
                <c:pt idx="54">
                  <c:v>41334</c:v>
                </c:pt>
              </c:numCache>
            </c:numRef>
          </c:cat>
          <c:val>
            <c:numRef>
              <c:f>'Archive Detailed Monthly'!$J$174:$BL$174</c:f>
              <c:numCache>
                <c:formatCode>0.00</c:formatCode>
                <c:ptCount val="55"/>
                <c:pt idx="0">
                  <c:v>2.2183417919220227</c:v>
                </c:pt>
                <c:pt idx="1">
                  <c:v>6.2179674057939325</c:v>
                </c:pt>
                <c:pt idx="2">
                  <c:v>9.0300906043240534</c:v>
                </c:pt>
                <c:pt idx="3">
                  <c:v>12.172846683442188</c:v>
                </c:pt>
                <c:pt idx="4">
                  <c:v>17.323044469027497</c:v>
                </c:pt>
                <c:pt idx="5">
                  <c:v>17.50631949592583</c:v>
                </c:pt>
                <c:pt idx="6">
                  <c:v>22.263719460767707</c:v>
                </c:pt>
                <c:pt idx="7">
                  <c:v>22.935770766253135</c:v>
                </c:pt>
                <c:pt idx="8">
                  <c:v>24.418241117344543</c:v>
                </c:pt>
                <c:pt idx="9">
                  <c:v>23.061506547693185</c:v>
                </c:pt>
                <c:pt idx="10">
                  <c:v>22.523740623975041</c:v>
                </c:pt>
                <c:pt idx="11">
                  <c:v>21.693075819625946</c:v>
                </c:pt>
                <c:pt idx="12">
                  <c:v>25.824516860085375</c:v>
                </c:pt>
                <c:pt idx="13">
                  <c:v>29.153011319084811</c:v>
                </c:pt>
                <c:pt idx="14">
                  <c:v>29.547807160199881</c:v>
                </c:pt>
                <c:pt idx="15">
                  <c:v>30.763765532791471</c:v>
                </c:pt>
                <c:pt idx="16">
                  <c:v>36.428260999999999</c:v>
                </c:pt>
                <c:pt idx="17">
                  <c:v>31.910487</c:v>
                </c:pt>
                <c:pt idx="18">
                  <c:v>35.385094000000002</c:v>
                </c:pt>
                <c:pt idx="19">
                  <c:v>32.945965999999999</c:v>
                </c:pt>
                <c:pt idx="20">
                  <c:v>33.921692999999998</c:v>
                </c:pt>
                <c:pt idx="21">
                  <c:v>29.194009000000001</c:v>
                </c:pt>
                <c:pt idx="22">
                  <c:v>27.479068999999999</c:v>
                </c:pt>
                <c:pt idx="23">
                  <c:v>26.379859</c:v>
                </c:pt>
                <c:pt idx="24">
                  <c:v>29.452586</c:v>
                </c:pt>
                <c:pt idx="25">
                  <c:v>31.646061</c:v>
                </c:pt>
                <c:pt idx="26">
                  <c:v>30.230405999999999</c:v>
                </c:pt>
                <c:pt idx="27">
                  <c:v>31.510586</c:v>
                </c:pt>
                <c:pt idx="28">
                  <c:v>35.274630999999999</c:v>
                </c:pt>
                <c:pt idx="29">
                  <c:v>30.003291000000001</c:v>
                </c:pt>
                <c:pt idx="30">
                  <c:v>31.470037999999999</c:v>
                </c:pt>
                <c:pt idx="31">
                  <c:v>27.418716</c:v>
                </c:pt>
                <c:pt idx="32">
                  <c:v>27.653503000000001</c:v>
                </c:pt>
                <c:pt idx="33">
                  <c:v>24.966937999999999</c:v>
                </c:pt>
                <c:pt idx="34">
                  <c:v>15.946391999999999</c:v>
                </c:pt>
                <c:pt idx="35">
                  <c:v>9.6246829999999992</c:v>
                </c:pt>
                <c:pt idx="36">
                  <c:v>11.720795000000001</c:v>
                </c:pt>
                <c:pt idx="37">
                  <c:v>14.631342</c:v>
                </c:pt>
                <c:pt idx="38">
                  <c:v>13.514194</c:v>
                </c:pt>
                <c:pt idx="39">
                  <c:v>14.157679999999999</c:v>
                </c:pt>
                <c:pt idx="40">
                  <c:v>16.40175</c:v>
                </c:pt>
                <c:pt idx="41">
                  <c:v>15.382429999999999</c:v>
                </c:pt>
                <c:pt idx="42">
                  <c:v>13.392795</c:v>
                </c:pt>
                <c:pt idx="43">
                  <c:v>14.421913</c:v>
                </c:pt>
                <c:pt idx="44">
                  <c:v>12.509782</c:v>
                </c:pt>
                <c:pt idx="45">
                  <c:v>11.613861999999999</c:v>
                </c:pt>
                <c:pt idx="46">
                  <c:v>11.623082999999999</c:v>
                </c:pt>
                <c:pt idx="47">
                  <c:v>9.1362539999999992</c:v>
                </c:pt>
                <c:pt idx="48">
                  <c:v>12.699629</c:v>
                </c:pt>
                <c:pt idx="49">
                  <c:v>11.081866</c:v>
                </c:pt>
                <c:pt idx="50">
                  <c:v>11.750123</c:v>
                </c:pt>
                <c:pt idx="51">
                  <c:v>11.224372000000001</c:v>
                </c:pt>
                <c:pt idx="52">
                  <c:v>10.904616000000001</c:v>
                </c:pt>
                <c:pt idx="53">
                  <c:v>8.6054560000000002</c:v>
                </c:pt>
                <c:pt idx="54">
                  <c:v>9.2223100000000002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DC-7E4C-AF57-FF5A9FCE1A37}"/>
            </c:ext>
          </c:extLst>
        </c:ser>
        <c:ser>
          <c:idx val="1"/>
          <c:order val="1"/>
          <c:tx>
            <c:v>Cash Poker</c:v>
          </c:tx>
          <c:invertIfNegative val="0"/>
          <c:cat>
            <c:numRef>
              <c:f>'Archive Detailed Monthly'!$J$41:$BL$41</c:f>
              <c:numCache>
                <c:formatCode>mmm\-yy</c:formatCode>
                <c:ptCount val="55"/>
                <c:pt idx="0">
                  <c:v>39692</c:v>
                </c:pt>
                <c:pt idx="1">
                  <c:v>39722</c:v>
                </c:pt>
                <c:pt idx="2">
                  <c:v>39753</c:v>
                </c:pt>
                <c:pt idx="3">
                  <c:v>39783</c:v>
                </c:pt>
                <c:pt idx="4">
                  <c:v>39814</c:v>
                </c:pt>
                <c:pt idx="5">
                  <c:v>39845</c:v>
                </c:pt>
                <c:pt idx="6">
                  <c:v>39873</c:v>
                </c:pt>
                <c:pt idx="7">
                  <c:v>39904</c:v>
                </c:pt>
                <c:pt idx="8">
                  <c:v>39934</c:v>
                </c:pt>
                <c:pt idx="9">
                  <c:v>39965</c:v>
                </c:pt>
                <c:pt idx="10">
                  <c:v>39995</c:v>
                </c:pt>
                <c:pt idx="11">
                  <c:v>40026</c:v>
                </c:pt>
                <c:pt idx="12">
                  <c:v>40057</c:v>
                </c:pt>
                <c:pt idx="13">
                  <c:v>40087</c:v>
                </c:pt>
                <c:pt idx="14">
                  <c:v>40118</c:v>
                </c:pt>
                <c:pt idx="15">
                  <c:v>40148</c:v>
                </c:pt>
                <c:pt idx="16">
                  <c:v>40179</c:v>
                </c:pt>
                <c:pt idx="17">
                  <c:v>40210</c:v>
                </c:pt>
                <c:pt idx="18">
                  <c:v>40238</c:v>
                </c:pt>
                <c:pt idx="19">
                  <c:v>40269</c:v>
                </c:pt>
                <c:pt idx="20">
                  <c:v>40299</c:v>
                </c:pt>
                <c:pt idx="21">
                  <c:v>40330</c:v>
                </c:pt>
                <c:pt idx="22">
                  <c:v>40360</c:v>
                </c:pt>
                <c:pt idx="23">
                  <c:v>40391</c:v>
                </c:pt>
                <c:pt idx="24">
                  <c:v>40422</c:v>
                </c:pt>
                <c:pt idx="25">
                  <c:v>40452</c:v>
                </c:pt>
                <c:pt idx="26">
                  <c:v>40483</c:v>
                </c:pt>
                <c:pt idx="27">
                  <c:v>40513</c:v>
                </c:pt>
                <c:pt idx="28">
                  <c:v>40544</c:v>
                </c:pt>
                <c:pt idx="29">
                  <c:v>40575</c:v>
                </c:pt>
                <c:pt idx="30">
                  <c:v>40603</c:v>
                </c:pt>
                <c:pt idx="31">
                  <c:v>40634</c:v>
                </c:pt>
                <c:pt idx="32">
                  <c:v>40664</c:v>
                </c:pt>
                <c:pt idx="33">
                  <c:v>40695</c:v>
                </c:pt>
                <c:pt idx="34">
                  <c:v>40725</c:v>
                </c:pt>
                <c:pt idx="35">
                  <c:v>40756</c:v>
                </c:pt>
                <c:pt idx="36">
                  <c:v>40787</c:v>
                </c:pt>
                <c:pt idx="37">
                  <c:v>40817</c:v>
                </c:pt>
                <c:pt idx="38">
                  <c:v>40848</c:v>
                </c:pt>
                <c:pt idx="39">
                  <c:v>40878</c:v>
                </c:pt>
                <c:pt idx="40">
                  <c:v>40909</c:v>
                </c:pt>
                <c:pt idx="41">
                  <c:v>40940</c:v>
                </c:pt>
                <c:pt idx="42">
                  <c:v>40969</c:v>
                </c:pt>
                <c:pt idx="43">
                  <c:v>41000</c:v>
                </c:pt>
                <c:pt idx="44">
                  <c:v>41030</c:v>
                </c:pt>
                <c:pt idx="45">
                  <c:v>41061</c:v>
                </c:pt>
                <c:pt idx="46">
                  <c:v>41091</c:v>
                </c:pt>
                <c:pt idx="47">
                  <c:v>41122</c:v>
                </c:pt>
                <c:pt idx="48">
                  <c:v>41153</c:v>
                </c:pt>
                <c:pt idx="49">
                  <c:v>41183</c:v>
                </c:pt>
                <c:pt idx="50">
                  <c:v>41214</c:v>
                </c:pt>
                <c:pt idx="51">
                  <c:v>41244</c:v>
                </c:pt>
                <c:pt idx="52">
                  <c:v>41275</c:v>
                </c:pt>
                <c:pt idx="53">
                  <c:v>41306</c:v>
                </c:pt>
                <c:pt idx="54">
                  <c:v>41334</c:v>
                </c:pt>
              </c:numCache>
            </c:numRef>
          </c:cat>
          <c:val>
            <c:numRef>
              <c:f>'Archive Detailed Monthly'!$J$175:$BL$175</c:f>
              <c:numCache>
                <c:formatCode>0.00</c:formatCode>
                <c:ptCount val="55"/>
                <c:pt idx="34">
                  <c:v>9.0994930000000007</c:v>
                </c:pt>
                <c:pt idx="35">
                  <c:v>24.132829999999998</c:v>
                </c:pt>
                <c:pt idx="36">
                  <c:v>23.948098000000002</c:v>
                </c:pt>
                <c:pt idx="37">
                  <c:v>24.725905999999998</c:v>
                </c:pt>
                <c:pt idx="38">
                  <c:v>23.426553999999999</c:v>
                </c:pt>
                <c:pt idx="39">
                  <c:v>22.655217</c:v>
                </c:pt>
                <c:pt idx="40">
                  <c:v>24.649000000000001</c:v>
                </c:pt>
                <c:pt idx="41">
                  <c:v>21.354621999999999</c:v>
                </c:pt>
                <c:pt idx="42">
                  <c:v>19.971533000000001</c:v>
                </c:pt>
                <c:pt idx="43">
                  <c:v>18.087416000000001</c:v>
                </c:pt>
                <c:pt idx="44">
                  <c:v>17.985623</c:v>
                </c:pt>
                <c:pt idx="45">
                  <c:v>15.032588000000001</c:v>
                </c:pt>
                <c:pt idx="46">
                  <c:v>14.712372</c:v>
                </c:pt>
                <c:pt idx="47">
                  <c:v>14.23644</c:v>
                </c:pt>
                <c:pt idx="48">
                  <c:v>16.536321999999998</c:v>
                </c:pt>
                <c:pt idx="49">
                  <c:v>16.603355000000001</c:v>
                </c:pt>
                <c:pt idx="50">
                  <c:v>15.444825</c:v>
                </c:pt>
                <c:pt idx="51">
                  <c:v>14.776595</c:v>
                </c:pt>
                <c:pt idx="52">
                  <c:v>15.969283000000001</c:v>
                </c:pt>
                <c:pt idx="53">
                  <c:v>13.668271000000001</c:v>
                </c:pt>
                <c:pt idx="54">
                  <c:v>13.499829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DC-7E4C-AF57-FF5A9FCE1A37}"/>
            </c:ext>
          </c:extLst>
        </c:ser>
        <c:ser>
          <c:idx val="2"/>
          <c:order val="2"/>
          <c:tx>
            <c:v>Casino</c:v>
          </c:tx>
          <c:invertIfNegative val="0"/>
          <c:cat>
            <c:numRef>
              <c:f>'Archive Detailed Monthly'!$J$41:$BL$41</c:f>
              <c:numCache>
                <c:formatCode>mmm\-yy</c:formatCode>
                <c:ptCount val="55"/>
                <c:pt idx="0">
                  <c:v>39692</c:v>
                </c:pt>
                <c:pt idx="1">
                  <c:v>39722</c:v>
                </c:pt>
                <c:pt idx="2">
                  <c:v>39753</c:v>
                </c:pt>
                <c:pt idx="3">
                  <c:v>39783</c:v>
                </c:pt>
                <c:pt idx="4">
                  <c:v>39814</c:v>
                </c:pt>
                <c:pt idx="5">
                  <c:v>39845</c:v>
                </c:pt>
                <c:pt idx="6">
                  <c:v>39873</c:v>
                </c:pt>
                <c:pt idx="7">
                  <c:v>39904</c:v>
                </c:pt>
                <c:pt idx="8">
                  <c:v>39934</c:v>
                </c:pt>
                <c:pt idx="9">
                  <c:v>39965</c:v>
                </c:pt>
                <c:pt idx="10">
                  <c:v>39995</c:v>
                </c:pt>
                <c:pt idx="11">
                  <c:v>40026</c:v>
                </c:pt>
                <c:pt idx="12">
                  <c:v>40057</c:v>
                </c:pt>
                <c:pt idx="13">
                  <c:v>40087</c:v>
                </c:pt>
                <c:pt idx="14">
                  <c:v>40118</c:v>
                </c:pt>
                <c:pt idx="15">
                  <c:v>40148</c:v>
                </c:pt>
                <c:pt idx="16">
                  <c:v>40179</c:v>
                </c:pt>
                <c:pt idx="17">
                  <c:v>40210</c:v>
                </c:pt>
                <c:pt idx="18">
                  <c:v>40238</c:v>
                </c:pt>
                <c:pt idx="19">
                  <c:v>40269</c:v>
                </c:pt>
                <c:pt idx="20">
                  <c:v>40299</c:v>
                </c:pt>
                <c:pt idx="21">
                  <c:v>40330</c:v>
                </c:pt>
                <c:pt idx="22">
                  <c:v>40360</c:v>
                </c:pt>
                <c:pt idx="23">
                  <c:v>40391</c:v>
                </c:pt>
                <c:pt idx="24">
                  <c:v>40422</c:v>
                </c:pt>
                <c:pt idx="25">
                  <c:v>40452</c:v>
                </c:pt>
                <c:pt idx="26">
                  <c:v>40483</c:v>
                </c:pt>
                <c:pt idx="27">
                  <c:v>40513</c:v>
                </c:pt>
                <c:pt idx="28">
                  <c:v>40544</c:v>
                </c:pt>
                <c:pt idx="29">
                  <c:v>40575</c:v>
                </c:pt>
                <c:pt idx="30">
                  <c:v>40603</c:v>
                </c:pt>
                <c:pt idx="31">
                  <c:v>40634</c:v>
                </c:pt>
                <c:pt idx="32">
                  <c:v>40664</c:v>
                </c:pt>
                <c:pt idx="33">
                  <c:v>40695</c:v>
                </c:pt>
                <c:pt idx="34">
                  <c:v>40725</c:v>
                </c:pt>
                <c:pt idx="35">
                  <c:v>40756</c:v>
                </c:pt>
                <c:pt idx="36">
                  <c:v>40787</c:v>
                </c:pt>
                <c:pt idx="37">
                  <c:v>40817</c:v>
                </c:pt>
                <c:pt idx="38">
                  <c:v>40848</c:v>
                </c:pt>
                <c:pt idx="39">
                  <c:v>40878</c:v>
                </c:pt>
                <c:pt idx="40">
                  <c:v>40909</c:v>
                </c:pt>
                <c:pt idx="41">
                  <c:v>40940</c:v>
                </c:pt>
                <c:pt idx="42">
                  <c:v>40969</c:v>
                </c:pt>
                <c:pt idx="43">
                  <c:v>41000</c:v>
                </c:pt>
                <c:pt idx="44">
                  <c:v>41030</c:v>
                </c:pt>
                <c:pt idx="45">
                  <c:v>41061</c:v>
                </c:pt>
                <c:pt idx="46">
                  <c:v>41091</c:v>
                </c:pt>
                <c:pt idx="47">
                  <c:v>41122</c:v>
                </c:pt>
                <c:pt idx="48">
                  <c:v>41153</c:v>
                </c:pt>
                <c:pt idx="49">
                  <c:v>41183</c:v>
                </c:pt>
                <c:pt idx="50">
                  <c:v>41214</c:v>
                </c:pt>
                <c:pt idx="51">
                  <c:v>41244</c:v>
                </c:pt>
                <c:pt idx="52">
                  <c:v>41275</c:v>
                </c:pt>
                <c:pt idx="53">
                  <c:v>41306</c:v>
                </c:pt>
                <c:pt idx="54">
                  <c:v>41334</c:v>
                </c:pt>
              </c:numCache>
            </c:numRef>
          </c:cat>
          <c:val>
            <c:numRef>
              <c:f>'Archive Detailed Monthly'!$J$176:$BL$176</c:f>
              <c:numCache>
                <c:formatCode>0.00</c:formatCode>
                <c:ptCount val="55"/>
                <c:pt idx="34">
                  <c:v>2.345898</c:v>
                </c:pt>
                <c:pt idx="35">
                  <c:v>7.2486230000000003</c:v>
                </c:pt>
                <c:pt idx="36">
                  <c:v>8.8703199999999995</c:v>
                </c:pt>
                <c:pt idx="37">
                  <c:v>9.9404990000000009</c:v>
                </c:pt>
                <c:pt idx="38">
                  <c:v>9.8974270000000004</c:v>
                </c:pt>
                <c:pt idx="39">
                  <c:v>10.856248000000001</c:v>
                </c:pt>
                <c:pt idx="40">
                  <c:v>11.49231</c:v>
                </c:pt>
                <c:pt idx="41">
                  <c:v>10.107549000000001</c:v>
                </c:pt>
                <c:pt idx="42">
                  <c:v>10.760793</c:v>
                </c:pt>
                <c:pt idx="43">
                  <c:v>10.661536999999999</c:v>
                </c:pt>
                <c:pt idx="44">
                  <c:v>11.991652</c:v>
                </c:pt>
                <c:pt idx="45">
                  <c:v>11.320459</c:v>
                </c:pt>
                <c:pt idx="46">
                  <c:v>11.016285</c:v>
                </c:pt>
                <c:pt idx="47">
                  <c:v>10.522715</c:v>
                </c:pt>
                <c:pt idx="48">
                  <c:v>12.995785</c:v>
                </c:pt>
                <c:pt idx="49">
                  <c:v>13.581498</c:v>
                </c:pt>
                <c:pt idx="50">
                  <c:v>13.506392</c:v>
                </c:pt>
                <c:pt idx="51">
                  <c:v>18.934376</c:v>
                </c:pt>
                <c:pt idx="52">
                  <c:v>20.775099000000001</c:v>
                </c:pt>
                <c:pt idx="53">
                  <c:v>18.589645000000001</c:v>
                </c:pt>
                <c:pt idx="54">
                  <c:v>20.417168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DC-7E4C-AF57-FF5A9FCE1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76415416"/>
        <c:axId val="-1993134888"/>
      </c:barChart>
      <c:dateAx>
        <c:axId val="1976415416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-1993134888"/>
        <c:crosses val="autoZero"/>
        <c:auto val="1"/>
        <c:lblOffset val="100"/>
        <c:baseTimeUnit val="months"/>
      </c:dateAx>
      <c:valAx>
        <c:axId val="-1993134888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97641541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4939458800257402E-2"/>
          <c:y val="9.7967458807913202E-2"/>
          <c:w val="0.12659393033682201"/>
          <c:h val="0.21560345481578699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4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9BC1FF"/>
                </a:gs>
                <a:gs pos="100000">
                  <a:srgbClr val="3F80CD"/>
                </a:gs>
              </a:gsLst>
              <a:lin ang="5400000"/>
            </a:gra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'Archive Detailed Monthly'!$N$6:$BE$6</c:f>
              <c:numCache>
                <c:formatCode>mmm\-yy</c:formatCode>
                <c:ptCount val="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</c:numCache>
            </c:numRef>
          </c:cat>
          <c:val>
            <c:numRef>
              <c:f>'Archive Detailed Monthly'!$N$61:$BE$61</c:f>
              <c:numCache>
                <c:formatCode>0.0%</c:formatCode>
                <c:ptCount val="44"/>
                <c:pt idx="0">
                  <c:v>5.8024543961821218E-2</c:v>
                </c:pt>
                <c:pt idx="1">
                  <c:v>6.5910307025498049E-2</c:v>
                </c:pt>
                <c:pt idx="2">
                  <c:v>6.9970196407180676E-2</c:v>
                </c:pt>
                <c:pt idx="3">
                  <c:v>7.2806019585762813E-2</c:v>
                </c:pt>
                <c:pt idx="4">
                  <c:v>7.7564794885132418E-2</c:v>
                </c:pt>
                <c:pt idx="5">
                  <c:v>6.4530059036137496E-2</c:v>
                </c:pt>
                <c:pt idx="6">
                  <c:v>5.6851126087680282E-2</c:v>
                </c:pt>
                <c:pt idx="7">
                  <c:v>6.1826918169445369E-2</c:v>
                </c:pt>
                <c:pt idx="8">
                  <c:v>7.9962784701638798E-2</c:v>
                </c:pt>
                <c:pt idx="9">
                  <c:v>8.0998265355391411E-2</c:v>
                </c:pt>
                <c:pt idx="10">
                  <c:v>8.1771016537878091E-2</c:v>
                </c:pt>
                <c:pt idx="11">
                  <c:v>6.8622658235996656E-2</c:v>
                </c:pt>
                <c:pt idx="12">
                  <c:v>8.8443615133454487E-2</c:v>
                </c:pt>
                <c:pt idx="13">
                  <c:v>8.7112932566971932E-2</c:v>
                </c:pt>
                <c:pt idx="14">
                  <c:v>8.7168925322216831E-2</c:v>
                </c:pt>
                <c:pt idx="15">
                  <c:v>8.7171694919135442E-2</c:v>
                </c:pt>
                <c:pt idx="16">
                  <c:v>8.2719080892085545E-2</c:v>
                </c:pt>
                <c:pt idx="17">
                  <c:v>7.87684269550675E-2</c:v>
                </c:pt>
                <c:pt idx="18">
                  <c:v>7.0322625777435296E-2</c:v>
                </c:pt>
                <c:pt idx="19">
                  <c:v>7.0034214320314134E-2</c:v>
                </c:pt>
                <c:pt idx="20">
                  <c:v>7.5470164519526775E-2</c:v>
                </c:pt>
                <c:pt idx="21">
                  <c:v>7.6044541968491072E-2</c:v>
                </c:pt>
                <c:pt idx="22">
                  <c:v>7.7963936875506665E-2</c:v>
                </c:pt>
                <c:pt idx="23">
                  <c:v>6.8041732481259831E-2</c:v>
                </c:pt>
                <c:pt idx="24">
                  <c:v>7.9904624886339232E-2</c:v>
                </c:pt>
                <c:pt idx="25">
                  <c:v>7.2036471224280904E-2</c:v>
                </c:pt>
                <c:pt idx="26">
                  <c:v>6.3594266283672138E-2</c:v>
                </c:pt>
                <c:pt idx="27">
                  <c:v>6.2945655606514828E-2</c:v>
                </c:pt>
                <c:pt idx="28">
                  <c:v>6.182742856848205E-2</c:v>
                </c:pt>
                <c:pt idx="29">
                  <c:v>5.2456932034781391E-2</c:v>
                </c:pt>
                <c:pt idx="30">
                  <c:v>0.10161062436619869</c:v>
                </c:pt>
                <c:pt idx="31">
                  <c:v>0.19939011982311269</c:v>
                </c:pt>
                <c:pt idx="32">
                  <c:v>0.19691476446425102</c:v>
                </c:pt>
                <c:pt idx="33">
                  <c:v>0.20263461507746533</c:v>
                </c:pt>
                <c:pt idx="34">
                  <c:v>0.19547207664997834</c:v>
                </c:pt>
                <c:pt idx="35">
                  <c:v>0.17804294111196456</c:v>
                </c:pt>
                <c:pt idx="36">
                  <c:v>0.18163087670704248</c:v>
                </c:pt>
                <c:pt idx="37">
                  <c:v>0.19380817907813466</c:v>
                </c:pt>
                <c:pt idx="38">
                  <c:v>0.17672058220257608</c:v>
                </c:pt>
                <c:pt idx="39">
                  <c:v>0.1759209494472081</c:v>
                </c:pt>
                <c:pt idx="40">
                  <c:v>0.17568823243509007</c:v>
                </c:pt>
                <c:pt idx="41">
                  <c:v>0.16959650144181859</c:v>
                </c:pt>
                <c:pt idx="42">
                  <c:v>0.17391267651621051</c:v>
                </c:pt>
                <c:pt idx="43">
                  <c:v>0.18020881341468678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24-B64F-A6B5-D3A49E7E6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7222840"/>
        <c:axId val="1947226104"/>
      </c:barChart>
      <c:dateAx>
        <c:axId val="194722284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947226104"/>
        <c:crosses val="autoZero"/>
        <c:auto val="1"/>
        <c:lblOffset val="100"/>
        <c:baseTimeUnit val="months"/>
      </c:dateAx>
      <c:valAx>
        <c:axId val="1947226104"/>
        <c:scaling>
          <c:orientation val="minMax"/>
          <c:min val="0.05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94722284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4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540824311476896E-2"/>
          <c:y val="6.3761956991429697E-2"/>
          <c:w val="0.93604920065907904"/>
          <c:h val="0.8040673785057119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9BC1FF"/>
                </a:gs>
                <a:gs pos="100000">
                  <a:srgbClr val="3F80CD"/>
                </a:gs>
              </a:gsLst>
              <a:lin ang="5400000"/>
            </a:gra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'Archive Detailed Monthly'!$B$41:$BL$41</c:f>
              <c:numCache>
                <c:formatCode>mmm\-yy</c:formatCode>
                <c:ptCount val="63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</c:numCache>
            </c:numRef>
          </c:cat>
          <c:val>
            <c:numRef>
              <c:f>'Archive Detailed Monthly'!$B$59:$BL$59</c:f>
              <c:numCache>
                <c:formatCode>0.00</c:formatCode>
                <c:ptCount val="63"/>
                <c:pt idx="0">
                  <c:v>92.41993699999999</c:v>
                </c:pt>
                <c:pt idx="1">
                  <c:v>108.42456600000001</c:v>
                </c:pt>
                <c:pt idx="2">
                  <c:v>127.99780200000001</c:v>
                </c:pt>
                <c:pt idx="3">
                  <c:v>105.309586</c:v>
                </c:pt>
                <c:pt idx="4">
                  <c:v>93.092883999999984</c:v>
                </c:pt>
                <c:pt idx="5">
                  <c:v>93.547084999999996</c:v>
                </c:pt>
                <c:pt idx="6">
                  <c:v>48.793939000000009</c:v>
                </c:pt>
                <c:pt idx="7">
                  <c:v>76.127061999999995</c:v>
                </c:pt>
                <c:pt idx="8">
                  <c:v>164.25240499999998</c:v>
                </c:pt>
                <c:pt idx="9">
                  <c:v>278.85310600000003</c:v>
                </c:pt>
                <c:pt idx="10">
                  <c:v>371.147762</c:v>
                </c:pt>
                <c:pt idx="11">
                  <c:v>409.22976899999998</c:v>
                </c:pt>
                <c:pt idx="12" formatCode="#,##0.00">
                  <c:v>262.44250799999998</c:v>
                </c:pt>
                <c:pt idx="13" formatCode="#,##0.00">
                  <c:v>270.639971</c:v>
                </c:pt>
                <c:pt idx="14" formatCode="#,##0.00">
                  <c:v>317.18169399999999</c:v>
                </c:pt>
                <c:pt idx="15" formatCode="#,##0.00">
                  <c:v>323.37477000000001</c:v>
                </c:pt>
                <c:pt idx="16" formatCode="#,##0.00">
                  <c:v>336.76455399999998</c:v>
                </c:pt>
                <c:pt idx="17" formatCode="#,##0.00">
                  <c:v>265.45228800000001</c:v>
                </c:pt>
                <c:pt idx="18" formatCode="#,##0.00">
                  <c:v>242.99443799999997</c:v>
                </c:pt>
                <c:pt idx="19" formatCode="#,##0.00">
                  <c:v>271.87952899999999</c:v>
                </c:pt>
                <c:pt idx="20" formatCode="#,##0.00">
                  <c:v>351.93390299999999</c:v>
                </c:pt>
                <c:pt idx="21" formatCode="#,##0.00">
                  <c:v>378.45996200000002</c:v>
                </c:pt>
                <c:pt idx="22" formatCode="#,##0.00">
                  <c:v>376.44713100000001</c:v>
                </c:pt>
                <c:pt idx="23" formatCode="#,##0.00">
                  <c:v>368.21355000000005</c:v>
                </c:pt>
                <c:pt idx="24" formatCode="#,##0.00">
                  <c:v>462.575603</c:v>
                </c:pt>
                <c:pt idx="25" formatCode="#,##0.00">
                  <c:v>419.02204700000004</c:v>
                </c:pt>
                <c:pt idx="26" formatCode="#,##0.00">
                  <c:v>458.08843899999999</c:v>
                </c:pt>
                <c:pt idx="27" formatCode="#,##0.00">
                  <c:v>440.14234299999998</c:v>
                </c:pt>
                <c:pt idx="28" formatCode="#,##0.00">
                  <c:v>411.41437800000006</c:v>
                </c:pt>
                <c:pt idx="29" formatCode="#,##0.00">
                  <c:v>371.03905199999997</c:v>
                </c:pt>
                <c:pt idx="30" formatCode="#,##0.00">
                  <c:v>319.83790499999998</c:v>
                </c:pt>
                <c:pt idx="31" formatCode="#,##0.00">
                  <c:v>316.071865</c:v>
                </c:pt>
                <c:pt idx="32" formatCode="#,##0.00">
                  <c:v>377.89555900000005</c:v>
                </c:pt>
                <c:pt idx="33" formatCode="#,##0.00">
                  <c:v>425.15660400000002</c:v>
                </c:pt>
                <c:pt idx="34" formatCode="#,##0.00">
                  <c:v>418.99001999999996</c:v>
                </c:pt>
                <c:pt idx="35" formatCode="#,##0.00">
                  <c:v>406.35814899999997</c:v>
                </c:pt>
                <c:pt idx="36" formatCode="#,##0.00">
                  <c:v>470.00173599999999</c:v>
                </c:pt>
                <c:pt idx="37" formatCode="#,##0.00">
                  <c:v>412.16403800000001</c:v>
                </c:pt>
                <c:pt idx="38" formatCode="#,##0.00">
                  <c:v>407.86850299999998</c:v>
                </c:pt>
                <c:pt idx="39" formatCode="#,##0.00">
                  <c:v>377.269474</c:v>
                </c:pt>
                <c:pt idx="40" formatCode="#,##0.00">
                  <c:v>374.26100700000006</c:v>
                </c:pt>
                <c:pt idx="41" formatCode="#,##0.00">
                  <c:v>303.888192</c:v>
                </c:pt>
                <c:pt idx="42" formatCode="#,##0.00">
                  <c:v>619.34469000000001</c:v>
                </c:pt>
                <c:pt idx="43" formatCode="#,##0.00">
                  <c:v>1281.6734859999999</c:v>
                </c:pt>
                <c:pt idx="44" formatCode="#,##0.00">
                  <c:v>1358.6518489999999</c:v>
                </c:pt>
                <c:pt idx="45" formatCode="#,##0.00">
                  <c:v>1449.0481760000002</c:v>
                </c:pt>
                <c:pt idx="46" formatCode="#,##0.00">
                  <c:v>1398.124693</c:v>
                </c:pt>
                <c:pt idx="47" formatCode="#,##0.00">
                  <c:v>1397.2755839999998</c:v>
                </c:pt>
                <c:pt idx="48" formatCode="#,##0.00">
                  <c:v>1513.5142980000001</c:v>
                </c:pt>
                <c:pt idx="49" formatCode="#,##0.00">
                  <c:v>1377.2984700000002</c:v>
                </c:pt>
                <c:pt idx="50" formatCode="#,##0.00">
                  <c:v>1362.3276830000002</c:v>
                </c:pt>
                <c:pt idx="51" formatCode="#,##0.00">
                  <c:v>1276.4435909999997</c:v>
                </c:pt>
                <c:pt idx="52" formatCode="#,##0.00">
                  <c:v>1313.2401420000001</c:v>
                </c:pt>
                <c:pt idx="53" formatCode="#,##0.00">
                  <c:v>1151.3193159999998</c:v>
                </c:pt>
                <c:pt idx="54" formatCode="#,##0.00">
                  <c:v>1080.521313</c:v>
                </c:pt>
                <c:pt idx="55" formatCode="#,##0.00">
                  <c:v>1081.5654569999999</c:v>
                </c:pt>
                <c:pt idx="56" formatCode="#,##0.00">
                  <c:v>1301.9404130433841</c:v>
                </c:pt>
                <c:pt idx="57" formatCode="#,##0.00">
                  <c:v>1331.2917831051916</c:v>
                </c:pt>
                <c:pt idx="58" formatCode="#,##0.00">
                  <c:v>1311.3770335948698</c:v>
                </c:pt>
                <c:pt idx="59" formatCode="#,##0.00">
                  <c:v>1390.8916546554701</c:v>
                </c:pt>
                <c:pt idx="60" formatCode="#,##0.00">
                  <c:v>1541.7001808922141</c:v>
                </c:pt>
                <c:pt idx="61" formatCode="#,##0.00">
                  <c:v>1382.9981870792906</c:v>
                </c:pt>
                <c:pt idx="62" formatCode="#,##0.00">
                  <c:v>1430.6728344784049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A9-914B-AF04-C059B487C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5669160"/>
        <c:axId val="2082782088"/>
      </c:barChart>
      <c:dateAx>
        <c:axId val="197566916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82782088"/>
        <c:crosses val="autoZero"/>
        <c:auto val="1"/>
        <c:lblOffset val="100"/>
        <c:baseTimeUnit val="months"/>
      </c:dateAx>
      <c:valAx>
        <c:axId val="2082782088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97566916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4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2.6588629353677101E-2"/>
          <c:y val="5.2673794751951997E-2"/>
          <c:w val="0.96416841354050598"/>
          <c:h val="0.779319447106194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9BC1FF"/>
                </a:gs>
                <a:gs pos="100000">
                  <a:srgbClr val="3F80CD"/>
                </a:gs>
              </a:gsLst>
              <a:lin ang="5400000"/>
            </a:gra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dLbls>
            <c:dLbl>
              <c:idx val="0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9A-1C43-9A31-D91FD7072D08}"/>
                </c:ext>
              </c:extLst>
            </c:dLbl>
            <c:dLbl>
              <c:idx val="1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9A-1C43-9A31-D91FD7072D08}"/>
                </c:ext>
              </c:extLst>
            </c:dLbl>
            <c:dLbl>
              <c:idx val="2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9A-1C43-9A31-D91FD7072D08}"/>
                </c:ext>
              </c:extLst>
            </c:dLbl>
            <c:dLbl>
              <c:idx val="3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9A-1C43-9A31-D91FD7072D08}"/>
                </c:ext>
              </c:extLst>
            </c:dLbl>
            <c:dLbl>
              <c:idx val="4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9A-1C43-9A31-D91FD7072D08}"/>
                </c:ext>
              </c:extLst>
            </c:dLbl>
            <c:dLbl>
              <c:idx val="5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9A-1C43-9A31-D91FD7072D08}"/>
                </c:ext>
              </c:extLst>
            </c:dLbl>
            <c:dLbl>
              <c:idx val="6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9A-1C43-9A31-D91FD7072D08}"/>
                </c:ext>
              </c:extLst>
            </c:dLbl>
            <c:dLbl>
              <c:idx val="7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9A-1C43-9A31-D91FD7072D08}"/>
                </c:ext>
              </c:extLst>
            </c:dLbl>
            <c:dLbl>
              <c:idx val="8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9A-1C43-9A31-D91FD7072D08}"/>
                </c:ext>
              </c:extLst>
            </c:dLbl>
            <c:dLbl>
              <c:idx val="9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9A-1C43-9A31-D91FD7072D08}"/>
                </c:ext>
              </c:extLst>
            </c:dLbl>
            <c:dLbl>
              <c:idx val="10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9A-1C43-9A31-D91FD7072D08}"/>
                </c:ext>
              </c:extLst>
            </c:dLbl>
            <c:dLbl>
              <c:idx val="11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9A-1C43-9A31-D91FD7072D08}"/>
                </c:ext>
              </c:extLst>
            </c:dLbl>
            <c:dLbl>
              <c:idx val="12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9A-1C43-9A31-D91FD7072D08}"/>
                </c:ext>
              </c:extLst>
            </c:dLbl>
            <c:dLbl>
              <c:idx val="13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9A-1C43-9A31-D91FD7072D08}"/>
                </c:ext>
              </c:extLst>
            </c:dLbl>
            <c:dLbl>
              <c:idx val="14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9A-1C43-9A31-D91FD7072D08}"/>
                </c:ext>
              </c:extLst>
            </c:dLbl>
            <c:dLbl>
              <c:idx val="15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9A-1C43-9A31-D91FD7072D08}"/>
                </c:ext>
              </c:extLst>
            </c:dLbl>
            <c:dLbl>
              <c:idx val="16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9A-1C43-9A31-D91FD7072D08}"/>
                </c:ext>
              </c:extLst>
            </c:dLbl>
            <c:dLbl>
              <c:idx val="17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9A-1C43-9A31-D91FD7072D08}"/>
                </c:ext>
              </c:extLst>
            </c:dLbl>
            <c:dLbl>
              <c:idx val="18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9A-1C43-9A31-D91FD7072D08}"/>
                </c:ext>
              </c:extLst>
            </c:dLbl>
            <c:dLbl>
              <c:idx val="19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9A-1C43-9A31-D91FD7072D08}"/>
                </c:ext>
              </c:extLst>
            </c:dLbl>
            <c:dLbl>
              <c:idx val="20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9A-1C43-9A31-D91FD7072D08}"/>
                </c:ext>
              </c:extLst>
            </c:dLbl>
            <c:dLbl>
              <c:idx val="21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9A-1C43-9A31-D91FD7072D08}"/>
                </c:ext>
              </c:extLst>
            </c:dLbl>
            <c:dLbl>
              <c:idx val="22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9A-1C43-9A31-D91FD7072D08}"/>
                </c:ext>
              </c:extLst>
            </c:dLbl>
            <c:dLbl>
              <c:idx val="23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9A-1C43-9A31-D91FD7072D08}"/>
                </c:ext>
              </c:extLst>
            </c:dLbl>
            <c:dLbl>
              <c:idx val="24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9A-1C43-9A31-D91FD7072D08}"/>
                </c:ext>
              </c:extLst>
            </c:dLbl>
            <c:dLbl>
              <c:idx val="25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9A-1C43-9A31-D91FD7072D08}"/>
                </c:ext>
              </c:extLst>
            </c:dLbl>
            <c:dLbl>
              <c:idx val="26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9A-1C43-9A31-D91FD7072D08}"/>
                </c:ext>
              </c:extLst>
            </c:dLbl>
            <c:dLbl>
              <c:idx val="27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9A-1C43-9A31-D91FD7072D08}"/>
                </c:ext>
              </c:extLst>
            </c:dLbl>
            <c:dLbl>
              <c:idx val="28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9A-1C43-9A31-D91FD7072D08}"/>
                </c:ext>
              </c:extLst>
            </c:dLbl>
            <c:dLbl>
              <c:idx val="29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9A-1C43-9A31-D91FD7072D08}"/>
                </c:ext>
              </c:extLst>
            </c:dLbl>
            <c:dLbl>
              <c:idx val="30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9A-1C43-9A31-D91FD7072D08}"/>
                </c:ext>
              </c:extLst>
            </c:dLbl>
            <c:dLbl>
              <c:idx val="31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A9A-1C43-9A31-D91FD7072D08}"/>
                </c:ext>
              </c:extLst>
            </c:dLbl>
            <c:dLbl>
              <c:idx val="3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A9A-1C43-9A31-D91FD7072D08}"/>
                </c:ext>
              </c:extLst>
            </c:dLbl>
            <c:dLbl>
              <c:idx val="3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A9A-1C43-9A31-D91FD7072D08}"/>
                </c:ext>
              </c:extLst>
            </c:dLbl>
            <c:dLbl>
              <c:idx val="3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A9A-1C43-9A31-D91FD7072D08}"/>
                </c:ext>
              </c:extLst>
            </c:dLbl>
            <c:dLbl>
              <c:idx val="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A9A-1C43-9A31-D91FD7072D08}"/>
                </c:ext>
              </c:extLst>
            </c:dLbl>
            <c:dLbl>
              <c:idx val="3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A9A-1C43-9A31-D91FD7072D08}"/>
                </c:ext>
              </c:extLst>
            </c:dLbl>
            <c:dLbl>
              <c:idx val="3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A9A-1C43-9A31-D91FD7072D08}"/>
                </c:ext>
              </c:extLst>
            </c:dLbl>
            <c:dLbl>
              <c:idx val="3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A9A-1C43-9A31-D91FD7072D08}"/>
                </c:ext>
              </c:extLst>
            </c:dLbl>
            <c:dLbl>
              <c:idx val="3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A9A-1C43-9A31-D91FD7072D08}"/>
                </c:ext>
              </c:extLst>
            </c:dLbl>
            <c:dLbl>
              <c:idx val="4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A9A-1C43-9A31-D91FD7072D08}"/>
                </c:ext>
              </c:extLst>
            </c:dLbl>
            <c:dLbl>
              <c:idx val="4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A9A-1C43-9A31-D91FD7072D08}"/>
                </c:ext>
              </c:extLst>
            </c:dLbl>
            <c:dLbl>
              <c:idx val="4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A9A-1C43-9A31-D91FD7072D08}"/>
                </c:ext>
              </c:extLst>
            </c:dLbl>
            <c:dLbl>
              <c:idx val="4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A9A-1C43-9A31-D91FD7072D08}"/>
                </c:ext>
              </c:extLst>
            </c:dLbl>
            <c:dLbl>
              <c:idx val="4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A9A-1C43-9A31-D91FD7072D08}"/>
                </c:ext>
              </c:extLst>
            </c:dLbl>
            <c:dLbl>
              <c:idx val="4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A9A-1C43-9A31-D91FD7072D08}"/>
                </c:ext>
              </c:extLst>
            </c:dLbl>
            <c:dLbl>
              <c:idx val="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A9A-1C43-9A31-D91FD7072D08}"/>
                </c:ext>
              </c:extLst>
            </c:dLbl>
            <c:dLbl>
              <c:idx val="4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A9A-1C43-9A31-D91FD7072D08}"/>
                </c:ext>
              </c:extLst>
            </c:dLbl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A9A-1C43-9A31-D91FD7072D08}"/>
                </c:ext>
              </c:extLst>
            </c:dLbl>
            <c:dLbl>
              <c:idx val="4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A9A-1C43-9A31-D91FD7072D08}"/>
                </c:ext>
              </c:extLst>
            </c:dLbl>
            <c:dLbl>
              <c:idx val="5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A9A-1C43-9A31-D91FD7072D08}"/>
                </c:ext>
              </c:extLst>
            </c:dLbl>
            <c:dLbl>
              <c:idx val="5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A9A-1C43-9A31-D91FD7072D08}"/>
                </c:ext>
              </c:extLst>
            </c:dLbl>
            <c:dLbl>
              <c:idx val="5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A9A-1C43-9A31-D91FD7072D08}"/>
                </c:ext>
              </c:extLst>
            </c:dLbl>
            <c:dLbl>
              <c:idx val="5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A9A-1C43-9A31-D91FD7072D08}"/>
                </c:ext>
              </c:extLst>
            </c:dLbl>
            <c:dLbl>
              <c:idx val="5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A9A-1C43-9A31-D91FD7072D08}"/>
                </c:ext>
              </c:extLst>
            </c:dLbl>
            <c:dLbl>
              <c:idx val="5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A9A-1C43-9A31-D91FD7072D08}"/>
                </c:ext>
              </c:extLst>
            </c:dLbl>
            <c:dLbl>
              <c:idx val="5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A9A-1C43-9A31-D91FD7072D08}"/>
                </c:ext>
              </c:extLst>
            </c:dLbl>
            <c:dLbl>
              <c:idx val="5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A9A-1C43-9A31-D91FD7072D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'Archive Detailed Monthly'!$B$6:$BI$6</c:f>
              <c:numCache>
                <c:formatCode>mmm\-yy</c:formatCode>
                <c:ptCount val="6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</c:numCache>
            </c:numRef>
          </c:cat>
          <c:val>
            <c:numRef>
              <c:f>'Archive Detailed Monthly'!$B$9:$BI$9</c:f>
              <c:numCache>
                <c:formatCode>#,##0.0</c:formatCode>
                <c:ptCount val="60"/>
                <c:pt idx="0">
                  <c:v>278.23296568439355</c:v>
                </c:pt>
                <c:pt idx="1">
                  <c:v>351.19491028779464</c:v>
                </c:pt>
                <c:pt idx="2">
                  <c:v>414.08601502781175</c:v>
                </c:pt>
                <c:pt idx="3">
                  <c:v>340.51546391752578</c:v>
                </c:pt>
                <c:pt idx="4">
                  <c:v>279.38461538461536</c:v>
                </c:pt>
                <c:pt idx="5">
                  <c:v>312.58</c:v>
                </c:pt>
                <c:pt idx="6">
                  <c:v>126.1</c:v>
                </c:pt>
                <c:pt idx="7">
                  <c:v>274.5</c:v>
                </c:pt>
                <c:pt idx="8">
                  <c:v>348.90000000000003</c:v>
                </c:pt>
                <c:pt idx="9">
                  <c:v>414</c:v>
                </c:pt>
                <c:pt idx="10">
                  <c:v>477.5</c:v>
                </c:pt>
                <c:pt idx="11">
                  <c:v>392.86532419077548</c:v>
                </c:pt>
                <c:pt idx="12">
                  <c:v>358.23</c:v>
                </c:pt>
                <c:pt idx="13">
                  <c:v>398</c:v>
                </c:pt>
                <c:pt idx="14">
                  <c:v>411</c:v>
                </c:pt>
                <c:pt idx="15">
                  <c:v>418</c:v>
                </c:pt>
                <c:pt idx="16">
                  <c:v>420</c:v>
                </c:pt>
                <c:pt idx="17">
                  <c:v>197</c:v>
                </c:pt>
                <c:pt idx="18">
                  <c:v>142</c:v>
                </c:pt>
                <c:pt idx="19">
                  <c:v>273</c:v>
                </c:pt>
                <c:pt idx="20">
                  <c:v>413</c:v>
                </c:pt>
                <c:pt idx="21">
                  <c:v>406</c:v>
                </c:pt>
                <c:pt idx="22">
                  <c:v>397</c:v>
                </c:pt>
                <c:pt idx="23">
                  <c:v>334</c:v>
                </c:pt>
                <c:pt idx="24">
                  <c:v>450</c:v>
                </c:pt>
                <c:pt idx="25">
                  <c:v>432</c:v>
                </c:pt>
                <c:pt idx="26">
                  <c:v>456</c:v>
                </c:pt>
                <c:pt idx="27">
                  <c:v>436</c:v>
                </c:pt>
                <c:pt idx="28">
                  <c:v>329</c:v>
                </c:pt>
                <c:pt idx="29">
                  <c:v>346</c:v>
                </c:pt>
                <c:pt idx="30">
                  <c:v>216</c:v>
                </c:pt>
                <c:pt idx="31">
                  <c:v>220.678349</c:v>
                </c:pt>
                <c:pt idx="32">
                  <c:v>350</c:v>
                </c:pt>
                <c:pt idx="33">
                  <c:v>439</c:v>
                </c:pt>
                <c:pt idx="34">
                  <c:v>460</c:v>
                </c:pt>
                <c:pt idx="35">
                  <c:v>353.35053499999998</c:v>
                </c:pt>
                <c:pt idx="36">
                  <c:v>437.68739399999998</c:v>
                </c:pt>
                <c:pt idx="37">
                  <c:v>430.02821</c:v>
                </c:pt>
                <c:pt idx="38">
                  <c:v>350.41627899999997</c:v>
                </c:pt>
                <c:pt idx="39">
                  <c:v>364.517967</c:v>
                </c:pt>
                <c:pt idx="40">
                  <c:v>337.91232924999997</c:v>
                </c:pt>
                <c:pt idx="41">
                  <c:v>164.68177270000001</c:v>
                </c:pt>
                <c:pt idx="42">
                  <c:v>158.92780000000005</c:v>
                </c:pt>
                <c:pt idx="43">
                  <c:v>192.85607900000002</c:v>
                </c:pt>
                <c:pt idx="44">
                  <c:v>341.13899759999998</c:v>
                </c:pt>
                <c:pt idx="45">
                  <c:v>402.06846000000002</c:v>
                </c:pt>
                <c:pt idx="46">
                  <c:v>347.55455900000004</c:v>
                </c:pt>
                <c:pt idx="47">
                  <c:v>321.12065000000001</c:v>
                </c:pt>
                <c:pt idx="48">
                  <c:v>347.31802360000006</c:v>
                </c:pt>
                <c:pt idx="49">
                  <c:v>340.71964200000002</c:v>
                </c:pt>
                <c:pt idx="50">
                  <c:v>376.25071199999991</c:v>
                </c:pt>
                <c:pt idx="51">
                  <c:v>369.35689599999995</c:v>
                </c:pt>
                <c:pt idx="52">
                  <c:v>299.83268399999997</c:v>
                </c:pt>
                <c:pt idx="53">
                  <c:v>260.57940000000002</c:v>
                </c:pt>
                <c:pt idx="54">
                  <c:v>167.6613274</c:v>
                </c:pt>
                <c:pt idx="55">
                  <c:v>208.91955799999999</c:v>
                </c:pt>
                <c:pt idx="56">
                  <c:v>383.03990299999998</c:v>
                </c:pt>
                <c:pt idx="57">
                  <c:v>403.961321</c:v>
                </c:pt>
                <c:pt idx="58">
                  <c:v>414.135582</c:v>
                </c:pt>
                <c:pt idx="59">
                  <c:v>369.95810799999998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3A9A-1C43-9A31-D91FD7072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7401144"/>
        <c:axId val="1912136696"/>
      </c:barChart>
      <c:dateAx>
        <c:axId val="194740114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912136696"/>
        <c:crosses val="autoZero"/>
        <c:auto val="1"/>
        <c:lblOffset val="100"/>
        <c:baseTimeUnit val="months"/>
      </c:dateAx>
      <c:valAx>
        <c:axId val="1912136696"/>
        <c:scaling>
          <c:orientation val="minMax"/>
          <c:max val="5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94740114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4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9BC1FF"/>
                </a:gs>
                <a:gs pos="100000">
                  <a:srgbClr val="3F80CD"/>
                </a:gs>
              </a:gsLst>
              <a:lin ang="5400000"/>
            </a:gra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'Archive Detailed Monthly'!$B$41:$BI$41</c:f>
              <c:numCache>
                <c:formatCode>mmm\-yy</c:formatCode>
                <c:ptCount val="6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</c:numCache>
            </c:numRef>
          </c:cat>
          <c:val>
            <c:numRef>
              <c:f>'Archive Detailed Monthly'!$B$63:$BI$63</c:f>
              <c:numCache>
                <c:formatCode>0.0%</c:formatCode>
                <c:ptCount val="60"/>
                <c:pt idx="0">
                  <c:v>0.28221898079852309</c:v>
                </c:pt>
                <c:pt idx="1">
                  <c:v>0.27168520444049277</c:v>
                </c:pt>
                <c:pt idx="2">
                  <c:v>0.27291829692053149</c:v>
                </c:pt>
                <c:pt idx="3">
                  <c:v>0.26497622446260977</c:v>
                </c:pt>
                <c:pt idx="4">
                  <c:v>0.27642174531938329</c:v>
                </c:pt>
                <c:pt idx="5">
                  <c:v>0.25010213385373342</c:v>
                </c:pt>
                <c:pt idx="6">
                  <c:v>0.27752835844567808</c:v>
                </c:pt>
                <c:pt idx="7">
                  <c:v>0.23603195628415302</c:v>
                </c:pt>
                <c:pt idx="8">
                  <c:v>0.273161286901691</c:v>
                </c:pt>
                <c:pt idx="9">
                  <c:v>0.273932884057971</c:v>
                </c:pt>
                <c:pt idx="10">
                  <c:v>0.28270298010471201</c:v>
                </c:pt>
                <c:pt idx="11">
                  <c:v>0.23834899451326699</c:v>
                </c:pt>
                <c:pt idx="12">
                  <c:v>0.28464708427546548</c:v>
                </c:pt>
                <c:pt idx="13">
                  <c:v>0.27798226381909547</c:v>
                </c:pt>
                <c:pt idx="14">
                  <c:v>0.28546715328467154</c:v>
                </c:pt>
                <c:pt idx="15">
                  <c:v>0.28559372248803827</c:v>
                </c:pt>
                <c:pt idx="16">
                  <c:v>0.28871304047619051</c:v>
                </c:pt>
                <c:pt idx="17">
                  <c:v>0.31336678680203045</c:v>
                </c:pt>
                <c:pt idx="18">
                  <c:v>0.30797483098591549</c:v>
                </c:pt>
                <c:pt idx="19">
                  <c:v>0.29216330402930402</c:v>
                </c:pt>
                <c:pt idx="20">
                  <c:v>0.30149385230024212</c:v>
                </c:pt>
                <c:pt idx="21">
                  <c:v>0.30265785221674874</c:v>
                </c:pt>
                <c:pt idx="22">
                  <c:v>0.29923083627204028</c:v>
                </c:pt>
                <c:pt idx="23">
                  <c:v>0.29868988922155687</c:v>
                </c:pt>
                <c:pt idx="24">
                  <c:v>0.31065178444444447</c:v>
                </c:pt>
                <c:pt idx="25">
                  <c:v>0.31029654398148143</c:v>
                </c:pt>
                <c:pt idx="26">
                  <c:v>0.30857166885964915</c:v>
                </c:pt>
                <c:pt idx="27">
                  <c:v>0.32214089220183484</c:v>
                </c:pt>
                <c:pt idx="28">
                  <c:v>0.30451204559270517</c:v>
                </c:pt>
                <c:pt idx="29">
                  <c:v>0.28943164739884392</c:v>
                </c:pt>
                <c:pt idx="30">
                  <c:v>0.27153166203703705</c:v>
                </c:pt>
                <c:pt idx="31">
                  <c:v>0.30347679916709908</c:v>
                </c:pt>
                <c:pt idx="32">
                  <c:v>0.28719659714285717</c:v>
                </c:pt>
                <c:pt idx="33">
                  <c:v>0.29417942141230069</c:v>
                </c:pt>
                <c:pt idx="34">
                  <c:v>0.29341657173913044</c:v>
                </c:pt>
                <c:pt idx="35">
                  <c:v>0.3044859264186483</c:v>
                </c:pt>
                <c:pt idx="36">
                  <c:v>0.31494035900883177</c:v>
                </c:pt>
                <c:pt idx="37">
                  <c:v>0.30134232356523771</c:v>
                </c:pt>
                <c:pt idx="38">
                  <c:v>0.29949959887565614</c:v>
                </c:pt>
                <c:pt idx="39">
                  <c:v>0.29362355134609863</c:v>
                </c:pt>
                <c:pt idx="40">
                  <c:v>0.28836102019796311</c:v>
                </c:pt>
                <c:pt idx="41">
                  <c:v>0.31232621046469949</c:v>
                </c:pt>
                <c:pt idx="42">
                  <c:v>0.26478061106993234</c:v>
                </c:pt>
                <c:pt idx="43">
                  <c:v>0.26898334379182309</c:v>
                </c:pt>
                <c:pt idx="44">
                  <c:v>0.274434203238686</c:v>
                </c:pt>
                <c:pt idx="45">
                  <c:v>0.28749521163634673</c:v>
                </c:pt>
                <c:pt idx="46">
                  <c:v>0.29157483731928258</c:v>
                </c:pt>
                <c:pt idx="47">
                  <c:v>0.28773919397584674</c:v>
                </c:pt>
                <c:pt idx="48">
                  <c:v>0.30260201273355392</c:v>
                </c:pt>
                <c:pt idx="49">
                  <c:v>0.29699729491967475</c:v>
                </c:pt>
                <c:pt idx="50">
                  <c:v>0.28150998156782231</c:v>
                </c:pt>
                <c:pt idx="51">
                  <c:v>0.28628150210575742</c:v>
                </c:pt>
                <c:pt idx="52">
                  <c:v>0.31425660052457793</c:v>
                </c:pt>
                <c:pt idx="53">
                  <c:v>0.32719620583975556</c:v>
                </c:pt>
                <c:pt idx="54">
                  <c:v>0.33188499019363005</c:v>
                </c:pt>
                <c:pt idx="55">
                  <c:v>0.33783025235004566</c:v>
                </c:pt>
                <c:pt idx="56">
                  <c:v>0.33254046723525682</c:v>
                </c:pt>
                <c:pt idx="57">
                  <c:v>0.36427837697563575</c:v>
                </c:pt>
                <c:pt idx="58">
                  <c:v>0.40518503080630641</c:v>
                </c:pt>
                <c:pt idx="59">
                  <c:v>0.26359004349331799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8-1B4F-A246-805ADCCE7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359720"/>
        <c:axId val="1911965592"/>
      </c:barChart>
      <c:dateAx>
        <c:axId val="191235972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911965592"/>
        <c:crosses val="autoZero"/>
        <c:auto val="1"/>
        <c:lblOffset val="100"/>
        <c:baseTimeUnit val="months"/>
      </c:dateAx>
      <c:valAx>
        <c:axId val="1911965592"/>
        <c:scaling>
          <c:orientation val="minMax"/>
          <c:min val="0.2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91235972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4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131223310499501E-2"/>
          <c:y val="2.4137710231177101E-2"/>
          <c:w val="0.94014200933321102"/>
          <c:h val="0.7908715247695550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9BC1FF"/>
                </a:gs>
                <a:gs pos="100000">
                  <a:srgbClr val="3F80CD"/>
                </a:gs>
              </a:gsLst>
              <a:lin ang="5400000"/>
            </a:gra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dLbls>
            <c:dLbl>
              <c:idx val="0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87-0149-A8AA-4E8A3EDEA556}"/>
                </c:ext>
              </c:extLst>
            </c:dLbl>
            <c:dLbl>
              <c:idx val="1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87-0149-A8AA-4E8A3EDEA556}"/>
                </c:ext>
              </c:extLst>
            </c:dLbl>
            <c:dLbl>
              <c:idx val="2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87-0149-A8AA-4E8A3EDEA556}"/>
                </c:ext>
              </c:extLst>
            </c:dLbl>
            <c:dLbl>
              <c:idx val="3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87-0149-A8AA-4E8A3EDEA556}"/>
                </c:ext>
              </c:extLst>
            </c:dLbl>
            <c:dLbl>
              <c:idx val="4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87-0149-A8AA-4E8A3EDEA556}"/>
                </c:ext>
              </c:extLst>
            </c:dLbl>
            <c:dLbl>
              <c:idx val="5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87-0149-A8AA-4E8A3EDEA556}"/>
                </c:ext>
              </c:extLst>
            </c:dLbl>
            <c:dLbl>
              <c:idx val="6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87-0149-A8AA-4E8A3EDEA556}"/>
                </c:ext>
              </c:extLst>
            </c:dLbl>
            <c:dLbl>
              <c:idx val="7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87-0149-A8AA-4E8A3EDEA556}"/>
                </c:ext>
              </c:extLst>
            </c:dLbl>
            <c:dLbl>
              <c:idx val="8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87-0149-A8AA-4E8A3EDEA556}"/>
                </c:ext>
              </c:extLst>
            </c:dLbl>
            <c:dLbl>
              <c:idx val="9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87-0149-A8AA-4E8A3EDEA556}"/>
                </c:ext>
              </c:extLst>
            </c:dLbl>
            <c:dLbl>
              <c:idx val="10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8887-0149-A8AA-4E8A3EDEA556}"/>
                </c:ext>
              </c:extLst>
            </c:dLbl>
            <c:dLbl>
              <c:idx val="11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8887-0149-A8AA-4E8A3EDEA556}"/>
                </c:ext>
              </c:extLst>
            </c:dLbl>
            <c:dLbl>
              <c:idx val="12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8887-0149-A8AA-4E8A3EDEA556}"/>
                </c:ext>
              </c:extLst>
            </c:dLbl>
            <c:dLbl>
              <c:idx val="13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8887-0149-A8AA-4E8A3EDEA556}"/>
                </c:ext>
              </c:extLst>
            </c:dLbl>
            <c:dLbl>
              <c:idx val="14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8887-0149-A8AA-4E8A3EDEA556}"/>
                </c:ext>
              </c:extLst>
            </c:dLbl>
            <c:dLbl>
              <c:idx val="15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8887-0149-A8AA-4E8A3EDEA556}"/>
                </c:ext>
              </c:extLst>
            </c:dLbl>
            <c:dLbl>
              <c:idx val="16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8887-0149-A8AA-4E8A3EDEA556}"/>
                </c:ext>
              </c:extLst>
            </c:dLbl>
            <c:dLbl>
              <c:idx val="17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8887-0149-A8AA-4E8A3EDEA556}"/>
                </c:ext>
              </c:extLst>
            </c:dLbl>
            <c:dLbl>
              <c:idx val="18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8887-0149-A8AA-4E8A3EDEA556}"/>
                </c:ext>
              </c:extLst>
            </c:dLbl>
            <c:dLbl>
              <c:idx val="19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8887-0149-A8AA-4E8A3EDEA556}"/>
                </c:ext>
              </c:extLst>
            </c:dLbl>
            <c:dLbl>
              <c:idx val="20"/>
              <c:numFmt formatCode="#,##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8887-0149-A8AA-4E8A3EDEA55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'Archive Detailed Monthly'!$N$6:$BG$6</c:f>
              <c:numCache>
                <c:formatCode>mmm\-yy</c:formatCode>
                <c:ptCount val="46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</c:numCache>
            </c:numRef>
          </c:cat>
          <c:val>
            <c:numRef>
              <c:f>'Archive Detailed Monthly'!$N$23:$BG$23</c:f>
              <c:numCache>
                <c:formatCode>#,##0.0</c:formatCode>
                <c:ptCount val="46"/>
                <c:pt idx="0">
                  <c:v>4522.9568399999998</c:v>
                </c:pt>
                <c:pt idx="1">
                  <c:v>4106.185864</c:v>
                </c:pt>
                <c:pt idx="2">
                  <c:v>4533.0970940000007</c:v>
                </c:pt>
                <c:pt idx="3">
                  <c:v>4441.5938660000002</c:v>
                </c:pt>
                <c:pt idx="4">
                  <c:v>4341.7191330000005</c:v>
                </c:pt>
                <c:pt idx="5">
                  <c:v>4113.6222710000002</c:v>
                </c:pt>
                <c:pt idx="6">
                  <c:v>4274.2238319999997</c:v>
                </c:pt>
                <c:pt idx="7">
                  <c:v>4397.4297449999995</c:v>
                </c:pt>
                <c:pt idx="8">
                  <c:v>4401.2211969999998</c:v>
                </c:pt>
                <c:pt idx="9">
                  <c:v>4672.4452719999999</c:v>
                </c:pt>
                <c:pt idx="10">
                  <c:v>4603.6743449999994</c:v>
                </c:pt>
                <c:pt idx="11">
                  <c:v>5365.7721729999994</c:v>
                </c:pt>
                <c:pt idx="12">
                  <c:v>5230.1752059999999</c:v>
                </c:pt>
                <c:pt idx="13">
                  <c:v>4810.1014930000001</c:v>
                </c:pt>
                <c:pt idx="14">
                  <c:v>5255.1805279999999</c:v>
                </c:pt>
                <c:pt idx="15">
                  <c:v>5049.1428830000004</c:v>
                </c:pt>
                <c:pt idx="16">
                  <c:v>4973.6333329999998</c:v>
                </c:pt>
                <c:pt idx="17">
                  <c:v>4710.5047839999997</c:v>
                </c:pt>
                <c:pt idx="18">
                  <c:v>4548.1507760000004</c:v>
                </c:pt>
                <c:pt idx="19">
                  <c:v>4513.1064589999996</c:v>
                </c:pt>
                <c:pt idx="20">
                  <c:v>5007.2179040000001</c:v>
                </c:pt>
                <c:pt idx="21">
                  <c:v>5590.889142</c:v>
                </c:pt>
                <c:pt idx="22">
                  <c:v>5374.1516499999998</c:v>
                </c:pt>
                <c:pt idx="23">
                  <c:v>5972.1899219999996</c:v>
                </c:pt>
                <c:pt idx="24">
                  <c:v>5882.0341960000005</c:v>
                </c:pt>
                <c:pt idx="25">
                  <c:v>5721.6022800000001</c:v>
                </c:pt>
                <c:pt idx="26">
                  <c:v>6413.6049809999995</c:v>
                </c:pt>
                <c:pt idx="27">
                  <c:v>5993.5744629999999</c:v>
                </c:pt>
                <c:pt idx="28">
                  <c:v>6053.3167182500001</c:v>
                </c:pt>
                <c:pt idx="29">
                  <c:v>5793.0988377000003</c:v>
                </c:pt>
                <c:pt idx="30">
                  <c:v>6095.2749170000006</c:v>
                </c:pt>
                <c:pt idx="31">
                  <c:v>6427.9688839999999</c:v>
                </c:pt>
                <c:pt idx="32">
                  <c:v>6899.6951686000002</c:v>
                </c:pt>
                <c:pt idx="33">
                  <c:v>7151.0396950000004</c:v>
                </c:pt>
                <c:pt idx="34">
                  <c:v>7152.5545590000002</c:v>
                </c:pt>
                <c:pt idx="35">
                  <c:v>7847.9695700000002</c:v>
                </c:pt>
                <c:pt idx="36">
                  <c:v>8332.9130236000001</c:v>
                </c:pt>
                <c:pt idx="37">
                  <c:v>7106.5033299999996</c:v>
                </c:pt>
                <c:pt idx="38">
                  <c:v>7708.9361410000001</c:v>
                </c:pt>
                <c:pt idx="39">
                  <c:v>7255.7793430000002</c:v>
                </c:pt>
                <c:pt idx="40">
                  <c:v>7474.832684</c:v>
                </c:pt>
                <c:pt idx="41">
                  <c:v>6788.5793999999996</c:v>
                </c:pt>
                <c:pt idx="42">
                  <c:v>6213.0106593999999</c:v>
                </c:pt>
                <c:pt idx="43">
                  <c:v>6001.7345239999995</c:v>
                </c:pt>
                <c:pt idx="44">
                  <c:v>6710.0399029999999</c:v>
                </c:pt>
                <c:pt idx="45">
                  <c:v>7039.9613209999998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887-0149-A8AA-4E8A3EDEA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268856"/>
        <c:axId val="1911983400"/>
      </c:barChart>
      <c:dateAx>
        <c:axId val="1912268856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911983400"/>
        <c:crosses val="autoZero"/>
        <c:auto val="1"/>
        <c:lblOffset val="100"/>
        <c:baseTimeUnit val="months"/>
      </c:dateAx>
      <c:valAx>
        <c:axId val="191198340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91226885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4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0"/>
        <c:ser>
          <c:idx val="0"/>
          <c:order val="0"/>
          <c:spPr>
            <a:gradFill rotWithShape="0">
              <a:gsLst>
                <a:gs pos="0">
                  <a:srgbClr val="9BC1FF"/>
                </a:gs>
                <a:gs pos="100000">
                  <a:srgbClr val="3F80CD"/>
                </a:gs>
              </a:gsLst>
              <a:lin ang="5400000"/>
            </a:gra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val>
            <c:numRef>
              <c:f>'Archive Detailed Monthly'!$CZ$9:$CZ$17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'Archive Detailed Monthly'!$CY$9:$CY$17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0D9-5D4D-A176-C19AE5E35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0"/>
        <c:ser>
          <c:idx val="0"/>
          <c:order val="0"/>
          <c:spPr>
            <a:gradFill rotWithShape="0">
              <a:gsLst>
                <a:gs pos="0">
                  <a:srgbClr val="9BC1FF"/>
                </a:gs>
                <a:gs pos="100000">
                  <a:srgbClr val="3F80CD"/>
                </a:gs>
              </a:gsLst>
              <a:lin ang="5400000"/>
            </a:gra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val>
            <c:numRef>
              <c:f>'Archive Detailed Monthly'!$CZ$24:$CZ$33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'Archive Detailed Monthly'!$CY$24:$CY$33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905-6442-98B8-2EC6F60FA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0"/>
        <c:ser>
          <c:idx val="0"/>
          <c:order val="0"/>
          <c:spPr>
            <a:gradFill rotWithShape="0">
              <a:gsLst>
                <a:gs pos="0">
                  <a:srgbClr val="9BC1FF"/>
                </a:gs>
                <a:gs pos="100000">
                  <a:srgbClr val="3F80CD"/>
                </a:gs>
              </a:gsLst>
              <a:lin ang="5400000"/>
            </a:gra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val>
            <c:numRef>
              <c:f>'Archive Detailed Monthly'!$DA$24:$DA$33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'Archive Detailed Monthly'!$CY$24:$CY$33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5B5-174E-B571-168604589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0"/>
        <c:ser>
          <c:idx val="0"/>
          <c:order val="0"/>
          <c:spPr>
            <a:gradFill rotWithShape="0">
              <a:gsLst>
                <a:gs pos="0">
                  <a:srgbClr val="9BC1FF"/>
                </a:gs>
                <a:gs pos="100000">
                  <a:srgbClr val="3F80CD"/>
                </a:gs>
              </a:gsLst>
              <a:lin ang="5400000"/>
            </a:gra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val>
            <c:numRef>
              <c:f>'Archive Detailed Monthly'!$DC$24:$DC$33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'Archive Detailed Monthly'!$CY$24:$CY$33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A60-B448-9B84-E939052B5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r>
              <a:rPr lang="en-GB" sz="1680">
                <a:latin typeface="Apercu" panose="02000506040000020004" pitchFamily="2" charset="77"/>
              </a:rPr>
              <a:t>Total Online Betting and Gaming Onshore / Offshore Split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'Overview (LC)'!$E$34</c:f>
              <c:strCache>
                <c:ptCount val="1"/>
                <c:pt idx="0">
                  <c:v>Onshore Online Betting &amp; Gaming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(LC)'!$G$17:$AH$17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(LC)'!$G$34:$AH$34</c:f>
              <c:numCache>
                <c:formatCode>_(* #,##0_);_(* \(#,##0\);_(* "-"??_);_(@_)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72.78574382303735</c:v>
                </c:pt>
                <c:pt idx="5">
                  <c:v>207.77063668902628</c:v>
                </c:pt>
                <c:pt idx="6">
                  <c:v>491.09246983889233</c:v>
                </c:pt>
                <c:pt idx="7">
                  <c:v>662.359599</c:v>
                </c:pt>
                <c:pt idx="8">
                  <c:v>717.88084600000002</c:v>
                </c:pt>
                <c:pt idx="9">
                  <c:v>730.7541486572045</c:v>
                </c:pt>
                <c:pt idx="10">
                  <c:v>713.19999999999993</c:v>
                </c:pt>
                <c:pt idx="11">
                  <c:v>711</c:v>
                </c:pt>
                <c:pt idx="12">
                  <c:v>803.99999999999989</c:v>
                </c:pt>
                <c:pt idx="13">
                  <c:v>989.99999999999989</c:v>
                </c:pt>
                <c:pt idx="14">
                  <c:v>1338.8800000000003</c:v>
                </c:pt>
                <c:pt idx="15">
                  <c:v>1572.9299667099999</c:v>
                </c:pt>
                <c:pt idx="16">
                  <c:v>1789.102127960761</c:v>
                </c:pt>
                <c:pt idx="17">
                  <c:v>2594.3199962187077</c:v>
                </c:pt>
                <c:pt idx="18">
                  <c:v>3620.9414585596246</c:v>
                </c:pt>
                <c:pt idx="19">
                  <c:v>3759.3875785649998</c:v>
                </c:pt>
                <c:pt idx="20">
                  <c:v>4282.841549131067</c:v>
                </c:pt>
                <c:pt idx="21">
                  <c:v>4898.2190561722191</c:v>
                </c:pt>
                <c:pt idx="22">
                  <c:v>5489.6124016498225</c:v>
                </c:pt>
                <c:pt idx="23">
                  <c:v>6135.6352759139254</c:v>
                </c:pt>
                <c:pt idx="24">
                  <c:v>6743.9872871900052</c:v>
                </c:pt>
                <c:pt idx="25">
                  <c:v>7384.7078237017222</c:v>
                </c:pt>
                <c:pt idx="26">
                  <c:v>8051.6557526119668</c:v>
                </c:pt>
                <c:pt idx="27">
                  <c:v>8639.117635728966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9-2644-9023-1A26BC06DF19}"/>
            </c:ext>
          </c:extLst>
        </c:ser>
        <c:ser>
          <c:idx val="1"/>
          <c:order val="1"/>
          <c:tx>
            <c:strRef>
              <c:f>'Overview (LC)'!$E$35</c:f>
              <c:strCache>
                <c:ptCount val="1"/>
                <c:pt idx="0">
                  <c:v>Offshore Online Betting &amp; Gaming</c:v>
                </c:pt>
              </c:strCache>
            </c:strRef>
          </c:tx>
          <c:spPr>
            <a:solidFill>
              <a:schemeClr val="tx2">
                <a:lumMod val="90000"/>
                <a:lumOff val="10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(LC)'!$G$17:$AH$17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(LC)'!$G$35:$AH$35</c:f>
              <c:numCache>
                <c:formatCode>_(* #,##0_);_(* \(#,##0\);_(* "-"??_);_(@_)</c:formatCode>
                <c:ptCount val="28"/>
                <c:pt idx="0">
                  <c:v>77.06520563446982</c:v>
                </c:pt>
                <c:pt idx="1">
                  <c:v>138.71087708233316</c:v>
                </c:pt>
                <c:pt idx="2">
                  <c:v>230.70176899108978</c:v>
                </c:pt>
                <c:pt idx="3">
                  <c:v>281.38891317035564</c:v>
                </c:pt>
                <c:pt idx="4">
                  <c:v>360.69178735455796</c:v>
                </c:pt>
                <c:pt idx="5">
                  <c:v>362.00864749202941</c:v>
                </c:pt>
                <c:pt idx="6">
                  <c:v>375.04314565856646</c:v>
                </c:pt>
                <c:pt idx="7">
                  <c:v>386.09802138970076</c:v>
                </c:pt>
                <c:pt idx="8">
                  <c:v>377.80383985840831</c:v>
                </c:pt>
                <c:pt idx="9">
                  <c:v>324.98590983577714</c:v>
                </c:pt>
                <c:pt idx="10">
                  <c:v>314.90579588534604</c:v>
                </c:pt>
                <c:pt idx="11">
                  <c:v>283.52853726102535</c:v>
                </c:pt>
                <c:pt idx="12">
                  <c:v>240.67962854963724</c:v>
                </c:pt>
                <c:pt idx="13">
                  <c:v>218.79439804345623</c:v>
                </c:pt>
                <c:pt idx="14">
                  <c:v>202.85376326657772</c:v>
                </c:pt>
                <c:pt idx="15">
                  <c:v>200.38998981971272</c:v>
                </c:pt>
                <c:pt idx="16">
                  <c:v>190.2028974101963</c:v>
                </c:pt>
                <c:pt idx="17">
                  <c:v>173.18887835841861</c:v>
                </c:pt>
                <c:pt idx="18">
                  <c:v>168.50611619336297</c:v>
                </c:pt>
                <c:pt idx="19">
                  <c:v>164.5091717110887</c:v>
                </c:pt>
                <c:pt idx="20">
                  <c:v>164.20922870942462</c:v>
                </c:pt>
                <c:pt idx="21">
                  <c:v>147.43881701497398</c:v>
                </c:pt>
                <c:pt idx="22">
                  <c:v>135.15572648699643</c:v>
                </c:pt>
                <c:pt idx="23">
                  <c:v>123.68309841540623</c:v>
                </c:pt>
                <c:pt idx="24">
                  <c:v>109.94003167121519</c:v>
                </c:pt>
                <c:pt idx="25">
                  <c:v>95.525281329340757</c:v>
                </c:pt>
                <c:pt idx="26">
                  <c:v>79.027210196191973</c:v>
                </c:pt>
                <c:pt idx="27">
                  <c:v>67.843285708778808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9-2644-9023-1A26BC06D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04624"/>
        <c:axId val="73545040"/>
      </c:barChart>
      <c:catAx>
        <c:axId val="7380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545040"/>
        <c:crosses val="autoZero"/>
        <c:auto val="1"/>
        <c:lblAlgn val="ctr"/>
        <c:lblOffset val="100"/>
        <c:noMultiLvlLbl val="0"/>
      </c:catAx>
      <c:valAx>
        <c:axId val="7354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80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sz="1200"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0"/>
        <c:ser>
          <c:idx val="0"/>
          <c:order val="0"/>
          <c:spPr>
            <a:gradFill rotWithShape="0">
              <a:gsLst>
                <a:gs pos="0">
                  <a:srgbClr val="9BC1FF"/>
                </a:gs>
                <a:gs pos="100000">
                  <a:srgbClr val="3F80CD"/>
                </a:gs>
              </a:gsLst>
              <a:lin ang="5400000"/>
            </a:gra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val>
            <c:numRef>
              <c:f>'Archive Detailed Monthly'!$DE$24:$DE$33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'Archive Detailed Monthly'!$CY$24:$CY$33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1F4-7F46-99FE-95C1FB461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1" l="0.75" r="0.7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'Archive Detailed Monthly'!$DQ$59</c:f>
              <c:strCache>
                <c:ptCount val="1"/>
                <c:pt idx="0">
                  <c:v>PokerStars</c:v>
                </c:pt>
              </c:strCache>
            </c:strRef>
          </c:tx>
          <c:marker>
            <c:symbol val="none"/>
          </c:marker>
          <c:cat>
            <c:numRef>
              <c:f>'Archive Detailed Monthly'!$DR$54:$EI$54</c:f>
              <c:numCache>
                <c:formatCode>mmm\-yy</c:formatCode>
                <c:ptCount val="18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</c:numCache>
            </c:numRef>
          </c:cat>
          <c:val>
            <c:numRef>
              <c:f>'Archive Detailed Monthly'!$DR$59:$EI$59</c:f>
              <c:numCache>
                <c:formatCode>0.0%</c:formatCode>
                <c:ptCount val="18"/>
                <c:pt idx="0">
                  <c:v>0.17399999999999999</c:v>
                </c:pt>
                <c:pt idx="1">
                  <c:v>0.17399999999999999</c:v>
                </c:pt>
                <c:pt idx="2">
                  <c:v>0.187</c:v>
                </c:pt>
                <c:pt idx="3">
                  <c:v>0.188</c:v>
                </c:pt>
                <c:pt idx="4">
                  <c:v>0.193</c:v>
                </c:pt>
                <c:pt idx="5">
                  <c:v>0.20699999999999999</c:v>
                </c:pt>
                <c:pt idx="6">
                  <c:v>0.21199999999999999</c:v>
                </c:pt>
                <c:pt idx="7">
                  <c:v>0.224</c:v>
                </c:pt>
                <c:pt idx="8">
                  <c:v>0.217</c:v>
                </c:pt>
                <c:pt idx="9">
                  <c:v>0.223</c:v>
                </c:pt>
                <c:pt idx="10">
                  <c:v>0.23300000000000001</c:v>
                </c:pt>
                <c:pt idx="11">
                  <c:v>0.23</c:v>
                </c:pt>
                <c:pt idx="12">
                  <c:v>0.23899999999999999</c:v>
                </c:pt>
                <c:pt idx="13">
                  <c:v>0.22500000000000001</c:v>
                </c:pt>
                <c:pt idx="14">
                  <c:v>0.22800000000000001</c:v>
                </c:pt>
                <c:pt idx="15">
                  <c:v>0.24203821656050956</c:v>
                </c:pt>
                <c:pt idx="16">
                  <c:v>0.26264343391415212</c:v>
                </c:pt>
                <c:pt idx="17">
                  <c:v>0.27569035762788591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B-174B-A66E-8D5CB3CD1343}"/>
            </c:ext>
          </c:extLst>
        </c:ser>
        <c:ser>
          <c:idx val="1"/>
          <c:order val="1"/>
          <c:tx>
            <c:strRef>
              <c:f>'Archive Detailed Monthly'!$DQ$55</c:f>
              <c:strCache>
                <c:ptCount val="1"/>
                <c:pt idx="0">
                  <c:v>Microgame</c:v>
                </c:pt>
              </c:strCache>
            </c:strRef>
          </c:tx>
          <c:marker>
            <c:symbol val="none"/>
          </c:marker>
          <c:val>
            <c:numRef>
              <c:f>'Archive Detailed Monthly'!$DR$55:$EI$55</c:f>
              <c:numCache>
                <c:formatCode>0.0%</c:formatCode>
                <c:ptCount val="18"/>
                <c:pt idx="0">
                  <c:v>0.30199999999999999</c:v>
                </c:pt>
                <c:pt idx="1">
                  <c:v>0.29399999999999998</c:v>
                </c:pt>
                <c:pt idx="2">
                  <c:v>0.29399999999999998</c:v>
                </c:pt>
                <c:pt idx="3">
                  <c:v>0.29399999999999998</c:v>
                </c:pt>
                <c:pt idx="4">
                  <c:v>0.308</c:v>
                </c:pt>
                <c:pt idx="5">
                  <c:v>0.29099999999999998</c:v>
                </c:pt>
                <c:pt idx="6">
                  <c:v>0.27500000000000002</c:v>
                </c:pt>
                <c:pt idx="7">
                  <c:v>0.27</c:v>
                </c:pt>
                <c:pt idx="8">
                  <c:v>0.28299999999999997</c:v>
                </c:pt>
                <c:pt idx="9">
                  <c:v>0.30299999999999999</c:v>
                </c:pt>
                <c:pt idx="10">
                  <c:v>0.29499999999999998</c:v>
                </c:pt>
                <c:pt idx="11">
                  <c:v>0.28499999999999998</c:v>
                </c:pt>
                <c:pt idx="12">
                  <c:v>0.28299999999999997</c:v>
                </c:pt>
                <c:pt idx="13">
                  <c:v>0.28699999999999998</c:v>
                </c:pt>
                <c:pt idx="14">
                  <c:v>0.28299999999999997</c:v>
                </c:pt>
                <c:pt idx="15">
                  <c:v>0.29171974522292993</c:v>
                </c:pt>
                <c:pt idx="16">
                  <c:v>0.28686782830429236</c:v>
                </c:pt>
                <c:pt idx="17">
                  <c:v>0.26482571299230423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8B-174B-A66E-8D5CB3CD1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47762072"/>
        <c:axId val="-1988961272"/>
      </c:lineChart>
      <c:dateAx>
        <c:axId val="184776207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1988961272"/>
        <c:crosses val="autoZero"/>
        <c:auto val="1"/>
        <c:lblOffset val="100"/>
        <c:baseTimeUnit val="months"/>
      </c:dateAx>
      <c:valAx>
        <c:axId val="-1988961272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8477620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'Archive Detailed Monthly'!$DQ$40</c:f>
              <c:strCache>
                <c:ptCount val="1"/>
                <c:pt idx="0">
                  <c:v>PartyPoker</c:v>
                </c:pt>
              </c:strCache>
            </c:strRef>
          </c:tx>
          <c:marker>
            <c:symbol val="none"/>
          </c:marker>
          <c:cat>
            <c:numRef>
              <c:f>'Archive Detailed Monthly'!$DR$54:$EI$54</c:f>
              <c:numCache>
                <c:formatCode>mmm\-yy</c:formatCode>
                <c:ptCount val="18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</c:numCache>
            </c:numRef>
          </c:cat>
          <c:val>
            <c:numRef>
              <c:f>'Archive Detailed Monthly'!$DR$40:$EI$40</c:f>
              <c:numCache>
                <c:formatCode>0.0%</c:formatCode>
                <c:ptCount val="18"/>
                <c:pt idx="0">
                  <c:v>1.6E-2</c:v>
                </c:pt>
                <c:pt idx="1">
                  <c:v>1.7000000000000001E-2</c:v>
                </c:pt>
                <c:pt idx="2">
                  <c:v>2.5999999999999999E-2</c:v>
                </c:pt>
                <c:pt idx="3">
                  <c:v>2.3E-2</c:v>
                </c:pt>
                <c:pt idx="4">
                  <c:v>2.3E-2</c:v>
                </c:pt>
                <c:pt idx="5">
                  <c:v>2.1999999999999999E-2</c:v>
                </c:pt>
                <c:pt idx="6">
                  <c:v>2.1999999999999999E-2</c:v>
                </c:pt>
                <c:pt idx="7">
                  <c:v>2.1999999999999999E-2</c:v>
                </c:pt>
                <c:pt idx="8">
                  <c:v>2.1999999999999999E-2</c:v>
                </c:pt>
                <c:pt idx="9">
                  <c:v>2.1000000000000001E-2</c:v>
                </c:pt>
                <c:pt idx="10">
                  <c:v>0.02</c:v>
                </c:pt>
                <c:pt idx="11">
                  <c:v>0.02</c:v>
                </c:pt>
                <c:pt idx="12">
                  <c:v>1.9E-2</c:v>
                </c:pt>
                <c:pt idx="13">
                  <c:v>2.1000000000000001E-2</c:v>
                </c:pt>
                <c:pt idx="14">
                  <c:v>0.02</c:v>
                </c:pt>
                <c:pt idx="15">
                  <c:v>1.9532908704883226E-2</c:v>
                </c:pt>
                <c:pt idx="16">
                  <c:v>2.2524436889077772E-2</c:v>
                </c:pt>
                <c:pt idx="17">
                  <c:v>2.2181982797645994E-2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1-BE4A-A883-22E9CF16EE19}"/>
            </c:ext>
          </c:extLst>
        </c:ser>
        <c:ser>
          <c:idx val="1"/>
          <c:order val="1"/>
          <c:tx>
            <c:strRef>
              <c:f>'Archive Detailed Monthly'!$DQ$42</c:f>
              <c:strCache>
                <c:ptCount val="1"/>
                <c:pt idx="0">
                  <c:v>Ongame</c:v>
                </c:pt>
              </c:strCache>
            </c:strRef>
          </c:tx>
          <c:marker>
            <c:symbol val="none"/>
          </c:marker>
          <c:val>
            <c:numRef>
              <c:f>'Archive Detailed Monthly'!$DR$35:$EI$35</c:f>
              <c:numCache>
                <c:formatCode>0.0%</c:formatCode>
                <c:ptCount val="18"/>
                <c:pt idx="0">
                  <c:v>0.14399999999999999</c:v>
                </c:pt>
                <c:pt idx="1">
                  <c:v>0.16700000000000001</c:v>
                </c:pt>
                <c:pt idx="2">
                  <c:v>0.158</c:v>
                </c:pt>
                <c:pt idx="3">
                  <c:v>0.16400000000000001</c:v>
                </c:pt>
                <c:pt idx="4">
                  <c:v>0.14699999999999999</c:v>
                </c:pt>
                <c:pt idx="5">
                  <c:v>0.151</c:v>
                </c:pt>
                <c:pt idx="6">
                  <c:v>0.153</c:v>
                </c:pt>
                <c:pt idx="7">
                  <c:v>0.151</c:v>
                </c:pt>
                <c:pt idx="8">
                  <c:v>0.157</c:v>
                </c:pt>
                <c:pt idx="9">
                  <c:v>0.156</c:v>
                </c:pt>
                <c:pt idx="10">
                  <c:v>0.15</c:v>
                </c:pt>
                <c:pt idx="11">
                  <c:v>0.158</c:v>
                </c:pt>
                <c:pt idx="12">
                  <c:v>0.15</c:v>
                </c:pt>
                <c:pt idx="13">
                  <c:v>0.14899999999999999</c:v>
                </c:pt>
                <c:pt idx="14">
                  <c:v>0.13500000000000001</c:v>
                </c:pt>
                <c:pt idx="15">
                  <c:v>0.14522292993630576</c:v>
                </c:pt>
                <c:pt idx="16">
                  <c:v>0.14237144071398214</c:v>
                </c:pt>
                <c:pt idx="17">
                  <c:v>0.14614576731552739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81-BE4A-A883-22E9CF16E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0817848"/>
        <c:axId val="2082423336"/>
      </c:lineChart>
      <c:dateAx>
        <c:axId val="213081784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82423336"/>
        <c:crosses val="autoZero"/>
        <c:auto val="1"/>
        <c:lblOffset val="100"/>
        <c:baseTimeUnit val="months"/>
      </c:dateAx>
      <c:valAx>
        <c:axId val="2082423336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213081784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916388018328801E-2"/>
          <c:y val="5.2480602877777701E-3"/>
          <c:w val="0.86816706585308101"/>
          <c:h val="0.99408403099500398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'Archive Detailed Monthly'!$DQ$55:$DQ$60</c:f>
              <c:strCache>
                <c:ptCount val="6"/>
                <c:pt idx="0">
                  <c:v>Microgame</c:v>
                </c:pt>
                <c:pt idx="1">
                  <c:v>Ongame/Party</c:v>
                </c:pt>
                <c:pt idx="2">
                  <c:v>iPoker</c:v>
                </c:pt>
                <c:pt idx="3">
                  <c:v>Lottomatica/G2</c:v>
                </c:pt>
                <c:pt idx="4">
                  <c:v>PokerStars</c:v>
                </c:pt>
                <c:pt idx="5">
                  <c:v>Other</c:v>
                </c:pt>
              </c:strCache>
            </c:strRef>
          </c:cat>
          <c:val>
            <c:numRef>
              <c:f>'Archive Detailed Monthly'!$EI$55:$EI$60</c:f>
              <c:numCache>
                <c:formatCode>0.0%</c:formatCode>
                <c:ptCount val="6"/>
                <c:pt idx="0">
                  <c:v>0.26482571299230423</c:v>
                </c:pt>
                <c:pt idx="1">
                  <c:v>0.17194929832503394</c:v>
                </c:pt>
                <c:pt idx="2">
                  <c:v>0.11362607514712539</c:v>
                </c:pt>
                <c:pt idx="3">
                  <c:v>0.1276595744680851</c:v>
                </c:pt>
                <c:pt idx="4">
                  <c:v>0.27569035762788591</c:v>
                </c:pt>
                <c:pt idx="5">
                  <c:v>4.6248981439565594E-2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5-ED4B-BED8-3FE906018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3.2873354428878399E-2"/>
          <c:y val="2.0170628984845899E-2"/>
          <c:w val="0.93604920065907904"/>
          <c:h val="0.8040673785057119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9BC1FF"/>
                </a:gs>
                <a:gs pos="100000">
                  <a:srgbClr val="3F80CD"/>
                </a:gs>
              </a:gsLst>
              <a:lin ang="5400000"/>
            </a:gra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'Archive Detailed Monthly'!$AI$29:$BE$29</c:f>
              <c:numCache>
                <c:formatCode>mmm\-yy</c:formatCode>
                <c:ptCount val="23"/>
                <c:pt idx="0">
                  <c:v>40452</c:v>
                </c:pt>
                <c:pt idx="1">
                  <c:v>40483</c:v>
                </c:pt>
                <c:pt idx="2">
                  <c:v>40513</c:v>
                </c:pt>
                <c:pt idx="3">
                  <c:v>40544</c:v>
                </c:pt>
                <c:pt idx="4">
                  <c:v>40575</c:v>
                </c:pt>
                <c:pt idx="5">
                  <c:v>40603</c:v>
                </c:pt>
                <c:pt idx="6">
                  <c:v>40634</c:v>
                </c:pt>
                <c:pt idx="7">
                  <c:v>40664</c:v>
                </c:pt>
                <c:pt idx="8">
                  <c:v>40695</c:v>
                </c:pt>
                <c:pt idx="9">
                  <c:v>40725</c:v>
                </c:pt>
                <c:pt idx="10">
                  <c:v>40756</c:v>
                </c:pt>
                <c:pt idx="11">
                  <c:v>40787</c:v>
                </c:pt>
                <c:pt idx="12">
                  <c:v>40817</c:v>
                </c:pt>
                <c:pt idx="13">
                  <c:v>40848</c:v>
                </c:pt>
                <c:pt idx="14">
                  <c:v>40878</c:v>
                </c:pt>
                <c:pt idx="15">
                  <c:v>40909</c:v>
                </c:pt>
                <c:pt idx="16">
                  <c:v>40940</c:v>
                </c:pt>
                <c:pt idx="17">
                  <c:v>40969</c:v>
                </c:pt>
                <c:pt idx="18">
                  <c:v>41000</c:v>
                </c:pt>
                <c:pt idx="19">
                  <c:v>41030</c:v>
                </c:pt>
                <c:pt idx="20">
                  <c:v>41061</c:v>
                </c:pt>
                <c:pt idx="21">
                  <c:v>41091</c:v>
                </c:pt>
                <c:pt idx="22">
                  <c:v>41122</c:v>
                </c:pt>
              </c:numCache>
            </c:numRef>
          </c:cat>
          <c:val>
            <c:numRef>
              <c:f>'Archive Detailed Monthly'!$AI$34:$BE$34</c:f>
              <c:numCache>
                <c:formatCode>0.0</c:formatCode>
                <c:ptCount val="23"/>
                <c:pt idx="0">
                  <c:v>9.9860869565217385</c:v>
                </c:pt>
                <c:pt idx="1">
                  <c:v>20.058260869565217</c:v>
                </c:pt>
                <c:pt idx="2">
                  <c:v>38.739130434782609</c:v>
                </c:pt>
                <c:pt idx="3">
                  <c:v>47.778260869565216</c:v>
                </c:pt>
                <c:pt idx="4">
                  <c:v>61.896521739130428</c:v>
                </c:pt>
                <c:pt idx="5">
                  <c:v>79.544347826086948</c:v>
                </c:pt>
                <c:pt idx="6">
                  <c:v>85.139999999999986</c:v>
                </c:pt>
                <c:pt idx="7">
                  <c:v>89.530434782608694</c:v>
                </c:pt>
                <c:pt idx="8">
                  <c:v>99</c:v>
                </c:pt>
                <c:pt idx="9">
                  <c:v>139</c:v>
                </c:pt>
                <c:pt idx="10">
                  <c:v>124</c:v>
                </c:pt>
                <c:pt idx="11">
                  <c:v>131</c:v>
                </c:pt>
                <c:pt idx="12">
                  <c:v>142</c:v>
                </c:pt>
                <c:pt idx="13">
                  <c:v>154</c:v>
                </c:pt>
                <c:pt idx="14">
                  <c:v>210</c:v>
                </c:pt>
                <c:pt idx="15">
                  <c:v>256</c:v>
                </c:pt>
                <c:pt idx="16">
                  <c:v>193</c:v>
                </c:pt>
                <c:pt idx="17">
                  <c:v>165</c:v>
                </c:pt>
                <c:pt idx="18">
                  <c:v>197</c:v>
                </c:pt>
                <c:pt idx="19">
                  <c:v>208</c:v>
                </c:pt>
                <c:pt idx="20">
                  <c:v>194</c:v>
                </c:pt>
                <c:pt idx="21">
                  <c:v>155</c:v>
                </c:pt>
                <c:pt idx="22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08-D041-B54A-9DCA9DC99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0859384"/>
        <c:axId val="2081989592"/>
      </c:barChart>
      <c:dateAx>
        <c:axId val="213085938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81989592"/>
        <c:crosses val="autoZero"/>
        <c:auto val="1"/>
        <c:lblOffset val="100"/>
        <c:baseTimeUnit val="months"/>
      </c:dateAx>
      <c:valAx>
        <c:axId val="2081989592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213085938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4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916388018328801E-2"/>
          <c:y val="5.2480602877777701E-3"/>
          <c:w val="0.86816706585308101"/>
          <c:h val="0.99408403099500398"/>
        </c:manualLayout>
      </c:layout>
      <c:pieChart>
        <c:varyColors val="1"/>
        <c:ser>
          <c:idx val="0"/>
          <c:order val="0"/>
          <c:dLbls>
            <c:dLbl>
              <c:idx val="6"/>
              <c:layout>
                <c:manualLayout>
                  <c:x val="-0.18838544437476301"/>
                  <c:y val="0.13757395648476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9B-974C-9D41-5956698A01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'Archive Detailed Monthly'!$DQ$104:$DQ$114</c:f>
              <c:strCache>
                <c:ptCount val="11"/>
                <c:pt idx="0">
                  <c:v>Lottomatica/Totosì</c:v>
                </c:pt>
                <c:pt idx="1">
                  <c:v>Sisal</c:v>
                </c:pt>
                <c:pt idx="2">
                  <c:v>Gioco Digitale/Bwin</c:v>
                </c:pt>
                <c:pt idx="3">
                  <c:v>Microgame</c:v>
                </c:pt>
                <c:pt idx="4">
                  <c:v>Snai</c:v>
                </c:pt>
                <c:pt idx="5">
                  <c:v>Eurobet</c:v>
                </c:pt>
                <c:pt idx="6">
                  <c:v>Cogetech</c:v>
                </c:pt>
                <c:pt idx="7">
                  <c:v>Intralot</c:v>
                </c:pt>
                <c:pt idx="8">
                  <c:v>BetClic</c:v>
                </c:pt>
                <c:pt idx="9">
                  <c:v>Gbet</c:v>
                </c:pt>
                <c:pt idx="10">
                  <c:v>Others</c:v>
                </c:pt>
              </c:strCache>
            </c:strRef>
          </c:cat>
          <c:val>
            <c:numRef>
              <c:f>'Archive Detailed Monthly'!$ED$104:$ED$114</c:f>
              <c:numCache>
                <c:formatCode>0.0</c:formatCode>
                <c:ptCount val="11"/>
                <c:pt idx="0">
                  <c:v>12.371814000000001</c:v>
                </c:pt>
                <c:pt idx="1">
                  <c:v>7.0696080000000006</c:v>
                </c:pt>
                <c:pt idx="2">
                  <c:v>6.7329600000000003</c:v>
                </c:pt>
                <c:pt idx="3">
                  <c:v>5.7230160000000012</c:v>
                </c:pt>
                <c:pt idx="4">
                  <c:v>3.6189659999999999</c:v>
                </c:pt>
                <c:pt idx="5">
                  <c:v>3.0298319999999999</c:v>
                </c:pt>
                <c:pt idx="6">
                  <c:v>0.63121499999999997</c:v>
                </c:pt>
                <c:pt idx="7">
                  <c:v>0.29456700000000002</c:v>
                </c:pt>
                <c:pt idx="8">
                  <c:v>0.92578199999999999</c:v>
                </c:pt>
                <c:pt idx="9">
                  <c:v>8.4162000000000015E-2</c:v>
                </c:pt>
                <c:pt idx="10">
                  <c:v>1.556997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9B-974C-9D41-5956698A0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916388018328801E-2"/>
          <c:y val="5.2480602877777701E-3"/>
          <c:w val="0.86816706585308101"/>
          <c:h val="0.99408403099500398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'Archive Detailed Monthly'!$DQ$55:$DQ$60</c:f>
              <c:strCache>
                <c:ptCount val="6"/>
                <c:pt idx="0">
                  <c:v>Microgame</c:v>
                </c:pt>
                <c:pt idx="1">
                  <c:v>Ongame/Party</c:v>
                </c:pt>
                <c:pt idx="2">
                  <c:v>iPoker</c:v>
                </c:pt>
                <c:pt idx="3">
                  <c:v>Lottomatica/G2</c:v>
                </c:pt>
                <c:pt idx="4">
                  <c:v>PokerStars</c:v>
                </c:pt>
                <c:pt idx="5">
                  <c:v>Other</c:v>
                </c:pt>
              </c:strCache>
            </c:strRef>
          </c:cat>
          <c:val>
            <c:numRef>
              <c:f>'Archive Detailed Monthly'!$ET$55:$ET$60</c:f>
              <c:numCache>
                <c:formatCode>#,##0.0</c:formatCode>
                <c:ptCount val="6"/>
                <c:pt idx="0">
                  <c:v>8.6285000000000007</c:v>
                </c:pt>
                <c:pt idx="1">
                  <c:v>7.1968205000000012</c:v>
                </c:pt>
                <c:pt idx="2">
                  <c:v>5.5490624999999998</c:v>
                </c:pt>
                <c:pt idx="3">
                  <c:v>6.197000000000001</c:v>
                </c:pt>
                <c:pt idx="4">
                  <c:v>11.560500000000001</c:v>
                </c:pt>
                <c:pt idx="5">
                  <c:v>4.3136375000000005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E3-5B44-B828-4B7F8E063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916388018328801E-2"/>
          <c:y val="5.2480602877777701E-3"/>
          <c:w val="0.86816706585308101"/>
          <c:h val="0.99408403099500398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'Archive Detailed Monthly'!$DQ$55:$DQ$60</c:f>
              <c:strCache>
                <c:ptCount val="6"/>
                <c:pt idx="0">
                  <c:v>Microgame</c:v>
                </c:pt>
                <c:pt idx="1">
                  <c:v>Ongame/Party</c:v>
                </c:pt>
                <c:pt idx="2">
                  <c:v>iPoker</c:v>
                </c:pt>
                <c:pt idx="3">
                  <c:v>Lottomatica/G2</c:v>
                </c:pt>
                <c:pt idx="4">
                  <c:v>PokerStars</c:v>
                </c:pt>
                <c:pt idx="5">
                  <c:v>Other</c:v>
                </c:pt>
              </c:strCache>
            </c:strRef>
          </c:cat>
          <c:val>
            <c:numRef>
              <c:f>'Archive Detailed Monthly'!$EW$55:$EW$60</c:f>
              <c:numCache>
                <c:formatCode>0.0%</c:formatCode>
                <c:ptCount val="6"/>
                <c:pt idx="0">
                  <c:v>0.21128318584070799</c:v>
                </c:pt>
                <c:pt idx="1">
                  <c:v>0.16546460176991154</c:v>
                </c:pt>
                <c:pt idx="2">
                  <c:v>0.13903484513274336</c:v>
                </c:pt>
                <c:pt idx="3">
                  <c:v>0.14933628318584072</c:v>
                </c:pt>
                <c:pt idx="4">
                  <c:v>0.23053097345132745</c:v>
                </c:pt>
                <c:pt idx="5">
                  <c:v>0.10435011061946903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C8-AD4B-BB8B-CBAC83311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916388018328801E-2"/>
          <c:y val="5.2480602877777701E-3"/>
          <c:w val="0.86816706585308101"/>
          <c:h val="0.99408403099500398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'Archive Detailed Monthly'!$DQ$55:$DQ$60</c:f>
              <c:strCache>
                <c:ptCount val="6"/>
                <c:pt idx="0">
                  <c:v>Microgame</c:v>
                </c:pt>
                <c:pt idx="1">
                  <c:v>Ongame/Party</c:v>
                </c:pt>
                <c:pt idx="2">
                  <c:v>iPoker</c:v>
                </c:pt>
                <c:pt idx="3">
                  <c:v>Lottomatica/G2</c:v>
                </c:pt>
                <c:pt idx="4">
                  <c:v>PokerStars</c:v>
                </c:pt>
                <c:pt idx="5">
                  <c:v>Other</c:v>
                </c:pt>
              </c:strCache>
            </c:strRef>
          </c:cat>
          <c:val>
            <c:numRef>
              <c:f>'Archive Detailed Monthly'!$EU$55:$EU$60</c:f>
              <c:numCache>
                <c:formatCode>0.0%</c:formatCode>
                <c:ptCount val="6"/>
                <c:pt idx="0">
                  <c:v>0.19860505526686004</c:v>
                </c:pt>
                <c:pt idx="1">
                  <c:v>0.16565161188482022</c:v>
                </c:pt>
                <c:pt idx="2">
                  <c:v>0.12772461777733793</c:v>
                </c:pt>
                <c:pt idx="3">
                  <c:v>0.14263841078851849</c:v>
                </c:pt>
                <c:pt idx="4">
                  <c:v>0.26609187476531676</c:v>
                </c:pt>
                <c:pt idx="5">
                  <c:v>9.9288429517146656E-2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A9-BA4A-9DF7-982BB0A2E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916388018328801E-2"/>
          <c:y val="5.2480602877777701E-3"/>
          <c:w val="0.86816706585308101"/>
          <c:h val="0.99408403099500398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'Archive Detailed Monthly'!$DQ$55:$DQ$60</c:f>
              <c:strCache>
                <c:ptCount val="6"/>
                <c:pt idx="0">
                  <c:v>Microgame</c:v>
                </c:pt>
                <c:pt idx="1">
                  <c:v>Ongame/Party</c:v>
                </c:pt>
                <c:pt idx="2">
                  <c:v>iPoker</c:v>
                </c:pt>
                <c:pt idx="3">
                  <c:v>Lottomatica/G2</c:v>
                </c:pt>
                <c:pt idx="4">
                  <c:v>PokerStars</c:v>
                </c:pt>
                <c:pt idx="5">
                  <c:v>Other</c:v>
                </c:pt>
              </c:strCache>
            </c:strRef>
          </c:cat>
          <c:val>
            <c:numRef>
              <c:f>'Archive Detailed Monthly'!$EQ$55:$EQ$60</c:f>
              <c:numCache>
                <c:formatCode>0.0%</c:formatCode>
                <c:ptCount val="6"/>
                <c:pt idx="0">
                  <c:v>0.20652522354443179</c:v>
                </c:pt>
                <c:pt idx="1">
                  <c:v>0.16553478459935747</c:v>
                </c:pt>
                <c:pt idx="2">
                  <c:v>0.13479024179742707</c:v>
                </c:pt>
                <c:pt idx="3">
                  <c:v>0.14682264569440606</c:v>
                </c:pt>
                <c:pt idx="4">
                  <c:v>0.24387658672514673</c:v>
                </c:pt>
                <c:pt idx="5">
                  <c:v>0.10245051763923092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53-664F-B1F6-C75EF2AC0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r>
              <a:rPr lang="en-GB" sz="1680">
                <a:latin typeface="Apercu" panose="02000506040000020004" pitchFamily="2" charset="77"/>
              </a:rPr>
              <a:t>Total Land Gambling Market GGR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'Overview (Current € FX)'!$E$17</c:f>
              <c:strCache>
                <c:ptCount val="1"/>
                <c:pt idx="0">
                  <c:v>Land Betting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'Overview (Current € FX)'!$G$15:$AH$15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(Current € FX)'!$G$17:$AH$17</c:f>
              <c:numCache>
                <c:formatCode>_(* #,##0_);_(* \(#,##0\);_(* "-"??_);_(@_)</c:formatCode>
                <c:ptCount val="28"/>
                <c:pt idx="0">
                  <c:v>1317.6085443743816</c:v>
                </c:pt>
                <c:pt idx="1">
                  <c:v>1335.3899029606598</c:v>
                </c:pt>
                <c:pt idx="2">
                  <c:v>1328.4023065509689</c:v>
                </c:pt>
                <c:pt idx="3">
                  <c:v>1564.2094871387021</c:v>
                </c:pt>
                <c:pt idx="4">
                  <c:v>1506.213730910885</c:v>
                </c:pt>
                <c:pt idx="5">
                  <c:v>1557.8682199355528</c:v>
                </c:pt>
                <c:pt idx="6">
                  <c:v>1329.9451544665585</c:v>
                </c:pt>
                <c:pt idx="7">
                  <c:v>1266.330696959669</c:v>
                </c:pt>
                <c:pt idx="8">
                  <c:v>1092.0062328155623</c:v>
                </c:pt>
                <c:pt idx="9">
                  <c:v>814.00028532524573</c:v>
                </c:pt>
                <c:pt idx="10">
                  <c:v>818.80005469646096</c:v>
                </c:pt>
                <c:pt idx="11">
                  <c:v>959.00027240706982</c:v>
                </c:pt>
                <c:pt idx="12">
                  <c:v>854.99996212355757</c:v>
                </c:pt>
                <c:pt idx="13">
                  <c:v>924.00004778610526</c:v>
                </c:pt>
                <c:pt idx="14">
                  <c:v>1148.0003752229015</c:v>
                </c:pt>
                <c:pt idx="15">
                  <c:v>1217.1793540396725</c:v>
                </c:pt>
                <c:pt idx="16">
                  <c:v>1256.2501018609676</c:v>
                </c:pt>
                <c:pt idx="17">
                  <c:v>805.6608831624593</c:v>
                </c:pt>
                <c:pt idx="18">
                  <c:v>594.12550967267191</c:v>
                </c:pt>
                <c:pt idx="19">
                  <c:v>1298.4334204638967</c:v>
                </c:pt>
                <c:pt idx="20">
                  <c:v>1417.1432514539988</c:v>
                </c:pt>
                <c:pt idx="21">
                  <c:v>1490.3882190263362</c:v>
                </c:pt>
                <c:pt idx="22">
                  <c:v>1647.003660786876</c:v>
                </c:pt>
                <c:pt idx="23">
                  <c:v>1656.5541669034224</c:v>
                </c:pt>
                <c:pt idx="24">
                  <c:v>1710.3388528832506</c:v>
                </c:pt>
                <c:pt idx="25">
                  <c:v>1760.3590952298662</c:v>
                </c:pt>
                <c:pt idx="26">
                  <c:v>1804.2207171694899</c:v>
                </c:pt>
                <c:pt idx="27">
                  <c:v>1944.1652378811903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8E-6947-AC2C-D7EAB90CEB5A}"/>
            </c:ext>
          </c:extLst>
        </c:ser>
        <c:ser>
          <c:idx val="1"/>
          <c:order val="1"/>
          <c:tx>
            <c:strRef>
              <c:f>'Overview (Current € FX)'!$E$18</c:f>
              <c:strCache>
                <c:ptCount val="1"/>
                <c:pt idx="0">
                  <c:v>Land Gaming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(Current € FX)'!$G$15:$AH$15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(Current € FX)'!$G$18:$AH$18</c:f>
              <c:numCache>
                <c:formatCode>_(* #,##0_);_(* \(#,##0\);_(* "-"??_);_(@_)</c:formatCode>
                <c:ptCount val="28"/>
                <c:pt idx="0">
                  <c:v>1159.7593369620947</c:v>
                </c:pt>
                <c:pt idx="1">
                  <c:v>2340.8989685095721</c:v>
                </c:pt>
                <c:pt idx="2">
                  <c:v>4017.2613088375683</c:v>
                </c:pt>
                <c:pt idx="3">
                  <c:v>5155.6088241688494</c:v>
                </c:pt>
                <c:pt idx="4">
                  <c:v>5994.4029095553042</c:v>
                </c:pt>
                <c:pt idx="5">
                  <c:v>6637.8443388607866</c:v>
                </c:pt>
                <c:pt idx="6">
                  <c:v>7177.7778765046296</c:v>
                </c:pt>
                <c:pt idx="7">
                  <c:v>8760.2163257903758</c:v>
                </c:pt>
                <c:pt idx="8">
                  <c:v>10091.264564770867</c:v>
                </c:pt>
                <c:pt idx="9">
                  <c:v>11166.229765355245</c:v>
                </c:pt>
                <c:pt idx="10">
                  <c:v>10307.000688515416</c:v>
                </c:pt>
                <c:pt idx="11">
                  <c:v>10087.630928669576</c:v>
                </c:pt>
                <c:pt idx="12">
                  <c:v>10323.999542647496</c:v>
                </c:pt>
                <c:pt idx="13">
                  <c:v>11251.304332514808</c:v>
                </c:pt>
                <c:pt idx="14">
                  <c:v>11310.291971622508</c:v>
                </c:pt>
                <c:pt idx="15">
                  <c:v>11044.680734206333</c:v>
                </c:pt>
                <c:pt idx="16">
                  <c:v>11075.540649041443</c:v>
                </c:pt>
                <c:pt idx="17">
                  <c:v>5168.6406220456192</c:v>
                </c:pt>
                <c:pt idx="18">
                  <c:v>5027.2547405613705</c:v>
                </c:pt>
                <c:pt idx="19">
                  <c:v>9206.4835911609025</c:v>
                </c:pt>
                <c:pt idx="20">
                  <c:v>9161.2145712650654</c:v>
                </c:pt>
                <c:pt idx="21">
                  <c:v>8769.6653251955031</c:v>
                </c:pt>
                <c:pt idx="22">
                  <c:v>8323.4647411687656</c:v>
                </c:pt>
                <c:pt idx="23">
                  <c:v>8012.7235908191169</c:v>
                </c:pt>
                <c:pt idx="24">
                  <c:v>7777.2367125876517</c:v>
                </c:pt>
                <c:pt idx="25">
                  <c:v>7622.8974074562875</c:v>
                </c:pt>
                <c:pt idx="26">
                  <c:v>7526.2714317903783</c:v>
                </c:pt>
                <c:pt idx="27">
                  <c:v>7474.5561967718495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8E-6947-AC2C-D7EAB90CEB5A}"/>
            </c:ext>
          </c:extLst>
        </c:ser>
        <c:ser>
          <c:idx val="2"/>
          <c:order val="2"/>
          <c:tx>
            <c:strRef>
              <c:f>'Overview (Current € FX)'!$E$19</c:f>
              <c:strCache>
                <c:ptCount val="1"/>
                <c:pt idx="0">
                  <c:v>Land Lottery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(Current € FX)'!$G$15:$AH$15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(Current € FX)'!$G$19:$AH$19</c:f>
              <c:numCache>
                <c:formatCode>_(* #,##0_);_(* \(#,##0\);_(* "-"??_);_(@_)</c:formatCode>
                <c:ptCount val="28"/>
                <c:pt idx="0">
                  <c:v>4837.5837740031347</c:v>
                </c:pt>
                <c:pt idx="1">
                  <c:v>6972.3122436300882</c:v>
                </c:pt>
                <c:pt idx="2">
                  <c:v>5157.7048841017286</c:v>
                </c:pt>
                <c:pt idx="3">
                  <c:v>5547.2056034456646</c:v>
                </c:pt>
                <c:pt idx="4">
                  <c:v>6356.9977831065926</c:v>
                </c:pt>
                <c:pt idx="5">
                  <c:v>6961.9982577403571</c:v>
                </c:pt>
                <c:pt idx="6">
                  <c:v>7541.1888892507513</c:v>
                </c:pt>
                <c:pt idx="7">
                  <c:v>6878.4307152817537</c:v>
                </c:pt>
                <c:pt idx="8">
                  <c:v>6978.4118595559812</c:v>
                </c:pt>
                <c:pt idx="9">
                  <c:v>5923.0020761442629</c:v>
                </c:pt>
                <c:pt idx="10">
                  <c:v>5644.0003770234807</c:v>
                </c:pt>
                <c:pt idx="11">
                  <c:v>5419.0015392845789</c:v>
                </c:pt>
                <c:pt idx="12">
                  <c:v>5400.9997607360638</c:v>
                </c:pt>
                <c:pt idx="13">
                  <c:v>6199.0003205909816</c:v>
                </c:pt>
                <c:pt idx="14">
                  <c:v>5442.101778746126</c:v>
                </c:pt>
                <c:pt idx="15">
                  <c:v>5344.4702895322034</c:v>
                </c:pt>
                <c:pt idx="16">
                  <c:v>5496.1503922707434</c:v>
                </c:pt>
                <c:pt idx="17">
                  <c:v>4469.5516552728159</c:v>
                </c:pt>
                <c:pt idx="18">
                  <c:v>6219.5907773505269</c:v>
                </c:pt>
                <c:pt idx="19">
                  <c:v>6076.8587157392176</c:v>
                </c:pt>
                <c:pt idx="20">
                  <c:v>5824.6876422287623</c:v>
                </c:pt>
                <c:pt idx="21">
                  <c:v>6345.919374111204</c:v>
                </c:pt>
                <c:pt idx="22">
                  <c:v>6502.1393183113414</c:v>
                </c:pt>
                <c:pt idx="23">
                  <c:v>6676.8385102705142</c:v>
                </c:pt>
                <c:pt idx="24">
                  <c:v>6877.6641857094819</c:v>
                </c:pt>
                <c:pt idx="25">
                  <c:v>7080.1398833213007</c:v>
                </c:pt>
                <c:pt idx="26">
                  <c:v>7293.8588056342842</c:v>
                </c:pt>
                <c:pt idx="27">
                  <c:v>7520.7871459911967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8E-6947-AC2C-D7EAB90CE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04624"/>
        <c:axId val="73545040"/>
      </c:barChart>
      <c:catAx>
        <c:axId val="7380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545040"/>
        <c:crosses val="autoZero"/>
        <c:auto val="1"/>
        <c:lblAlgn val="ctr"/>
        <c:lblOffset val="100"/>
        <c:noMultiLvlLbl val="0"/>
      </c:catAx>
      <c:valAx>
        <c:axId val="7354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80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sz="1200"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'Archive Detailed Monthly'!$DQ$58</c:f>
              <c:strCache>
                <c:ptCount val="1"/>
                <c:pt idx="0">
                  <c:v>Lottomatica/G2</c:v>
                </c:pt>
              </c:strCache>
            </c:strRef>
          </c:tx>
          <c:marker>
            <c:symbol val="none"/>
          </c:marker>
          <c:cat>
            <c:numRef>
              <c:f>'Archive Detailed Monthly'!$DR$54:$EI$54</c:f>
              <c:numCache>
                <c:formatCode>mmm\-yy</c:formatCode>
                <c:ptCount val="18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</c:numCache>
            </c:numRef>
          </c:cat>
          <c:val>
            <c:numRef>
              <c:f>'Archive Detailed Monthly'!$DR$58:$EI$58</c:f>
              <c:numCache>
                <c:formatCode>0.0%</c:formatCode>
                <c:ptCount val="18"/>
                <c:pt idx="0">
                  <c:v>0.11600000000000001</c:v>
                </c:pt>
                <c:pt idx="1">
                  <c:v>0.111</c:v>
                </c:pt>
                <c:pt idx="2">
                  <c:v>0.11</c:v>
                </c:pt>
                <c:pt idx="3">
                  <c:v>0.112</c:v>
                </c:pt>
                <c:pt idx="4">
                  <c:v>0.105</c:v>
                </c:pt>
                <c:pt idx="5">
                  <c:v>0.108</c:v>
                </c:pt>
                <c:pt idx="6">
                  <c:v>0.113</c:v>
                </c:pt>
                <c:pt idx="7">
                  <c:v>0.112</c:v>
                </c:pt>
                <c:pt idx="8">
                  <c:v>0.109</c:v>
                </c:pt>
                <c:pt idx="9">
                  <c:v>0.10299999999999999</c:v>
                </c:pt>
                <c:pt idx="10">
                  <c:v>0.108</c:v>
                </c:pt>
                <c:pt idx="11">
                  <c:v>0.11700000000000001</c:v>
                </c:pt>
                <c:pt idx="12">
                  <c:v>0.11799999999999999</c:v>
                </c:pt>
                <c:pt idx="13">
                  <c:v>0.114</c:v>
                </c:pt>
                <c:pt idx="14">
                  <c:v>0.112</c:v>
                </c:pt>
                <c:pt idx="15">
                  <c:v>0.11252653927813164</c:v>
                </c:pt>
                <c:pt idx="16">
                  <c:v>0.13387165320866978</c:v>
                </c:pt>
                <c:pt idx="17">
                  <c:v>0.1276595744680851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2A-5247-B50A-FF4B4AD63456}"/>
            </c:ext>
          </c:extLst>
        </c:ser>
        <c:ser>
          <c:idx val="1"/>
          <c:order val="1"/>
          <c:tx>
            <c:strRef>
              <c:f>'Archive Detailed Monthly'!$DQ$57</c:f>
              <c:strCache>
                <c:ptCount val="1"/>
                <c:pt idx="0">
                  <c:v>iPoker</c:v>
                </c:pt>
              </c:strCache>
            </c:strRef>
          </c:tx>
          <c:marker>
            <c:symbol val="none"/>
          </c:marker>
          <c:val>
            <c:numRef>
              <c:f>'Archive Detailed Monthly'!$DR$57:$EI$57</c:f>
              <c:numCache>
                <c:formatCode>0.0%</c:formatCode>
                <c:ptCount val="18"/>
                <c:pt idx="0">
                  <c:v>0.158</c:v>
                </c:pt>
                <c:pt idx="1">
                  <c:v>0.154</c:v>
                </c:pt>
                <c:pt idx="2">
                  <c:v>0.14500000000000002</c:v>
                </c:pt>
                <c:pt idx="3">
                  <c:v>0.14400000000000002</c:v>
                </c:pt>
                <c:pt idx="4">
                  <c:v>0.13900000000000001</c:v>
                </c:pt>
                <c:pt idx="5">
                  <c:v>0.13600000000000001</c:v>
                </c:pt>
                <c:pt idx="6">
                  <c:v>0.14300000000000002</c:v>
                </c:pt>
                <c:pt idx="7">
                  <c:v>0.14100000000000001</c:v>
                </c:pt>
                <c:pt idx="8">
                  <c:v>0.13300000000000001</c:v>
                </c:pt>
                <c:pt idx="9">
                  <c:v>0.13400000000000001</c:v>
                </c:pt>
                <c:pt idx="10">
                  <c:v>0.13</c:v>
                </c:pt>
                <c:pt idx="11">
                  <c:v>0.13200000000000001</c:v>
                </c:pt>
                <c:pt idx="12">
                  <c:v>0.13</c:v>
                </c:pt>
                <c:pt idx="13">
                  <c:v>0.124</c:v>
                </c:pt>
                <c:pt idx="14">
                  <c:v>0.11899999999999999</c:v>
                </c:pt>
                <c:pt idx="15">
                  <c:v>0.12908704883227176</c:v>
                </c:pt>
                <c:pt idx="16">
                  <c:v>0.13302167445813856</c:v>
                </c:pt>
                <c:pt idx="17">
                  <c:v>0.11362607514712539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2A-5247-B50A-FF4B4AD63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1588728"/>
        <c:axId val="2131511320"/>
      </c:lineChart>
      <c:dateAx>
        <c:axId val="20815887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31511320"/>
        <c:crosses val="autoZero"/>
        <c:auto val="1"/>
        <c:lblOffset val="100"/>
        <c:baseTimeUnit val="months"/>
      </c:dateAx>
      <c:valAx>
        <c:axId val="213151132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20815887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916388018328801E-2"/>
          <c:y val="5.2480602877777701E-3"/>
          <c:w val="0.86816706585308101"/>
          <c:h val="0.99408403099500398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'Archive Detailed Monthly'!$DJ$10:$DJ$15</c:f>
              <c:strCache>
                <c:ptCount val="6"/>
                <c:pt idx="0">
                  <c:v>Bwin/GD</c:v>
                </c:pt>
                <c:pt idx="1">
                  <c:v>Lottomatica</c:v>
                </c:pt>
                <c:pt idx="2">
                  <c:v>Microgame</c:v>
                </c:pt>
                <c:pt idx="3">
                  <c:v>Sisal</c:v>
                </c:pt>
                <c:pt idx="4">
                  <c:v>Snai</c:v>
                </c:pt>
                <c:pt idx="5">
                  <c:v>Eurobet</c:v>
                </c:pt>
              </c:strCache>
            </c:strRef>
          </c:cat>
          <c:val>
            <c:numRef>
              <c:f>'Archive Detailed Monthly'!$DK$10:$DK$15</c:f>
              <c:numCache>
                <c:formatCode>0.0%</c:formatCode>
                <c:ptCount val="6"/>
                <c:pt idx="0">
                  <c:v>0.33600000000000002</c:v>
                </c:pt>
                <c:pt idx="1">
                  <c:v>0.24</c:v>
                </c:pt>
                <c:pt idx="2">
                  <c:v>0.16400000000000001</c:v>
                </c:pt>
                <c:pt idx="3">
                  <c:v>0.14399999999999999</c:v>
                </c:pt>
                <c:pt idx="4">
                  <c:v>8.2000000000000003E-2</c:v>
                </c:pt>
                <c:pt idx="5">
                  <c:v>3.4000000000000002E-2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DF-904E-A8E3-8401A77FD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916388018328801E-2"/>
          <c:y val="5.2480602877777701E-3"/>
          <c:w val="0.86816706585308101"/>
          <c:h val="0.99408403099500398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'Archive Detailed Monthly'!$EX$5:$EX$11</c:f>
              <c:strCache>
                <c:ptCount val="7"/>
                <c:pt idx="0">
                  <c:v>Lottomatica</c:v>
                </c:pt>
                <c:pt idx="1">
                  <c:v>Microgame</c:v>
                </c:pt>
                <c:pt idx="2">
                  <c:v>bwin.party</c:v>
                </c:pt>
                <c:pt idx="3">
                  <c:v>Poker Stars</c:v>
                </c:pt>
                <c:pt idx="4">
                  <c:v>Sisal</c:v>
                </c:pt>
                <c:pt idx="5">
                  <c:v>Snai</c:v>
                </c:pt>
                <c:pt idx="6">
                  <c:v>Others</c:v>
                </c:pt>
              </c:strCache>
            </c:strRef>
          </c:cat>
          <c:val>
            <c:numRef>
              <c:f>'Archive Detailed Monthly'!$EY$5:$EY$11</c:f>
              <c:numCache>
                <c:formatCode>0.0%</c:formatCode>
                <c:ptCount val="7"/>
                <c:pt idx="0">
                  <c:v>0.19433740780672121</c:v>
                </c:pt>
                <c:pt idx="1">
                  <c:v>0.17529874172873047</c:v>
                </c:pt>
                <c:pt idx="2">
                  <c:v>0.16584299931088342</c:v>
                </c:pt>
                <c:pt idx="3">
                  <c:v>0.16234066578911477</c:v>
                </c:pt>
                <c:pt idx="4">
                  <c:v>6.8158131805754321E-2</c:v>
                </c:pt>
                <c:pt idx="5">
                  <c:v>6.6895680072250441E-2</c:v>
                </c:pt>
                <c:pt idx="6">
                  <c:v>0.16712637348654533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A-0547-B6F0-2B91A7C93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'Archive Detailed Monthly'!$DJ$44:$DJ$48</c:f>
              <c:strCache>
                <c:ptCount val="5"/>
                <c:pt idx="0">
                  <c:v>Snai</c:v>
                </c:pt>
                <c:pt idx="1">
                  <c:v>Lottomatica</c:v>
                </c:pt>
                <c:pt idx="2">
                  <c:v>Sisal</c:v>
                </c:pt>
                <c:pt idx="3">
                  <c:v>Microgame</c:v>
                </c:pt>
                <c:pt idx="4">
                  <c:v>Eurobet</c:v>
                </c:pt>
              </c:strCache>
            </c:strRef>
          </c:cat>
          <c:val>
            <c:numRef>
              <c:f>'Archive Detailed Monthly'!$DK$44:$DK$48</c:f>
              <c:numCache>
                <c:formatCode>0.0%</c:formatCode>
                <c:ptCount val="5"/>
                <c:pt idx="0">
                  <c:v>0.19500000000000001</c:v>
                </c:pt>
                <c:pt idx="1">
                  <c:v>0.29299999999999998</c:v>
                </c:pt>
                <c:pt idx="2">
                  <c:v>0.15</c:v>
                </c:pt>
                <c:pt idx="3">
                  <c:v>0.1666</c:v>
                </c:pt>
                <c:pt idx="4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C-6B49-8667-BCD493EDF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r>
              <a:rPr lang="en-GB" sz="1680">
                <a:latin typeface="Apercu" panose="02000506040000020004" pitchFamily="2" charset="77"/>
              </a:rPr>
              <a:t>Total Online Gambling Market GGR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'Overview (Current € FX)'!$E$22</c:f>
              <c:strCache>
                <c:ptCount val="1"/>
                <c:pt idx="0">
                  <c:v>Online Betting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(Current € FX)'!$G$15:$AH$15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(Current € FX)'!$G$22:$AH$22</c:f>
              <c:numCache>
                <c:formatCode>_(* #,##0_);_(* \(#,##0\);_(* "-"??_);_(@_)</c:formatCode>
                <c:ptCount val="28"/>
                <c:pt idx="0">
                  <c:v>57.4079274223309</c:v>
                </c:pt>
                <c:pt idx="1">
                  <c:v>68.059494591508098</c:v>
                </c:pt>
                <c:pt idx="2">
                  <c:v>91.24798171717319</c:v>
                </c:pt>
                <c:pt idx="3">
                  <c:v>105.76938514152718</c:v>
                </c:pt>
                <c:pt idx="4">
                  <c:v>173.86141442203348</c:v>
                </c:pt>
                <c:pt idx="5">
                  <c:v>220.37344437479291</c:v>
                </c:pt>
                <c:pt idx="6">
                  <c:v>239.38757199485207</c:v>
                </c:pt>
                <c:pt idx="7">
                  <c:v>279.50180532467664</c:v>
                </c:pt>
                <c:pt idx="8">
                  <c:v>266.51125664722321</c:v>
                </c:pt>
                <c:pt idx="9">
                  <c:v>221.1602898348192</c:v>
                </c:pt>
                <c:pt idx="10">
                  <c:v>252.71463760976135</c:v>
                </c:pt>
                <c:pt idx="11">
                  <c:v>289.54944887737076</c:v>
                </c:pt>
                <c:pt idx="12">
                  <c:v>344.05633098375563</c:v>
                </c:pt>
                <c:pt idx="13">
                  <c:v>433.33525067726447</c:v>
                </c:pt>
                <c:pt idx="14">
                  <c:v>638.21589230420602</c:v>
                </c:pt>
                <c:pt idx="15">
                  <c:v>741.25472225202736</c:v>
                </c:pt>
                <c:pt idx="16">
                  <c:v>838.46304231185252</c:v>
                </c:pt>
                <c:pt idx="17">
                  <c:v>1146.1748396887042</c:v>
                </c:pt>
                <c:pt idx="18">
                  <c:v>1646.0130939392411</c:v>
                </c:pt>
                <c:pt idx="19">
                  <c:v>1554.7421984828966</c:v>
                </c:pt>
                <c:pt idx="20">
                  <c:v>1713.3251258493972</c:v>
                </c:pt>
                <c:pt idx="21">
                  <c:v>1898.871995830571</c:v>
                </c:pt>
                <c:pt idx="22">
                  <c:v>2128.4119469732868</c:v>
                </c:pt>
                <c:pt idx="23">
                  <c:v>2409.4586345678936</c:v>
                </c:pt>
                <c:pt idx="24">
                  <c:v>2654.4329231964148</c:v>
                </c:pt>
                <c:pt idx="25">
                  <c:v>2920.0152943084263</c:v>
                </c:pt>
                <c:pt idx="26">
                  <c:v>3204.9143604374244</c:v>
                </c:pt>
                <c:pt idx="27">
                  <c:v>3411.2475913157423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69-3B45-A14E-2BD6F1D81D38}"/>
            </c:ext>
          </c:extLst>
        </c:ser>
        <c:ser>
          <c:idx val="1"/>
          <c:order val="1"/>
          <c:tx>
            <c:strRef>
              <c:f>'Overview (Current € FX)'!$E$23</c:f>
              <c:strCache>
                <c:ptCount val="1"/>
                <c:pt idx="0">
                  <c:v>Online Gaming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(Current € FX)'!$G$15:$AH$15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(Current € FX)'!$G$23:$AH$23</c:f>
              <c:numCache>
                <c:formatCode>_(* #,##0_);_(* \(#,##0\);_(* "-"??_);_(@_)</c:formatCode>
                <c:ptCount val="28"/>
                <c:pt idx="0">
                  <c:v>19.657282662494033</c:v>
                </c:pt>
                <c:pt idx="1">
                  <c:v>70.651391404797081</c:v>
                </c:pt>
                <c:pt idx="2">
                  <c:v>139.45383761638098</c:v>
                </c:pt>
                <c:pt idx="3">
                  <c:v>175.61945487236105</c:v>
                </c:pt>
                <c:pt idx="4">
                  <c:v>259.61596558779706</c:v>
                </c:pt>
                <c:pt idx="5">
                  <c:v>349.40569721743026</c:v>
                </c:pt>
                <c:pt idx="6">
                  <c:v>626.74778726252009</c:v>
                </c:pt>
                <c:pt idx="7">
                  <c:v>768.95579681674781</c:v>
                </c:pt>
                <c:pt idx="8">
                  <c:v>829.17349053262035</c:v>
                </c:pt>
                <c:pt idx="9">
                  <c:v>834.58013871871719</c:v>
                </c:pt>
                <c:pt idx="10">
                  <c:v>775.39122695383151</c:v>
                </c:pt>
                <c:pt idx="11">
                  <c:v>704.9793708827209</c:v>
                </c:pt>
                <c:pt idx="12">
                  <c:v>700.62325128664452</c:v>
                </c:pt>
                <c:pt idx="13">
                  <c:v>775.45920988088494</c:v>
                </c:pt>
                <c:pt idx="14">
                  <c:v>903.51837487684566</c:v>
                </c:pt>
                <c:pt idx="15">
                  <c:v>1032.0653303458146</c:v>
                </c:pt>
                <c:pt idx="16">
                  <c:v>1140.8421243258922</c:v>
                </c:pt>
                <c:pt idx="17">
                  <c:v>1621.3350598198383</c:v>
                </c:pt>
                <c:pt idx="18">
                  <c:v>2143.4349544348479</c:v>
                </c:pt>
                <c:pt idx="19">
                  <c:v>2369.1537225315815</c:v>
                </c:pt>
                <c:pt idx="20">
                  <c:v>2733.725207919862</c:v>
                </c:pt>
                <c:pt idx="21">
                  <c:v>3146.7851130512618</c:v>
                </c:pt>
                <c:pt idx="22">
                  <c:v>3496.3559711609987</c:v>
                </c:pt>
                <c:pt idx="23">
                  <c:v>3849.8582938003788</c:v>
                </c:pt>
                <c:pt idx="24">
                  <c:v>4199.4929839044207</c:v>
                </c:pt>
                <c:pt idx="25">
                  <c:v>4560.2182543884037</c:v>
                </c:pt>
                <c:pt idx="26">
                  <c:v>4925.7690344390285</c:v>
                </c:pt>
                <c:pt idx="27">
                  <c:v>5295.7115270703016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9-3B45-A14E-2BD6F1D81D38}"/>
            </c:ext>
          </c:extLst>
        </c:ser>
        <c:ser>
          <c:idx val="2"/>
          <c:order val="2"/>
          <c:tx>
            <c:strRef>
              <c:f>'Overview (Current € FX)'!$E$24</c:f>
              <c:strCache>
                <c:ptCount val="1"/>
                <c:pt idx="0">
                  <c:v>Online Lottery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(Current € FX)'!$G$15:$AH$15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(Current € FX)'!$G$24:$AH$24</c:f>
              <c:numCache>
                <c:formatCode>_(* #,##0_);_(* \(#,##0\);_(* "-"??_);_(@_)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3.8088786144417011</c:v>
                </c:pt>
                <c:pt idx="7">
                  <c:v>10.569164816044978</c:v>
                </c:pt>
                <c:pt idx="8">
                  <c:v>7.5885314247021221</c:v>
                </c:pt>
                <c:pt idx="9">
                  <c:v>13.000004556791392</c:v>
                </c:pt>
                <c:pt idx="10">
                  <c:v>13.00000086840986</c:v>
                </c:pt>
                <c:pt idx="11">
                  <c:v>17.000004828905304</c:v>
                </c:pt>
                <c:pt idx="12">
                  <c:v>17.999999202601213</c:v>
                </c:pt>
                <c:pt idx="13">
                  <c:v>30.000001551496926</c:v>
                </c:pt>
                <c:pt idx="14">
                  <c:v>37.900012387585313</c:v>
                </c:pt>
                <c:pt idx="15">
                  <c:v>48.790002643157536</c:v>
                </c:pt>
                <c:pt idx="16">
                  <c:v>58.110004147421904</c:v>
                </c:pt>
                <c:pt idx="17">
                  <c:v>76.940028494298204</c:v>
                </c:pt>
                <c:pt idx="18">
                  <c:v>96.480012058476319</c:v>
                </c:pt>
                <c:pt idx="19">
                  <c:v>120.77997447480816</c:v>
                </c:pt>
                <c:pt idx="20">
                  <c:v>110.31176511716343</c:v>
                </c:pt>
                <c:pt idx="21">
                  <c:v>139.17964353984985</c:v>
                </c:pt>
                <c:pt idx="22">
                  <c:v>154.04979432892264</c:v>
                </c:pt>
                <c:pt idx="23">
                  <c:v>171.51984175692391</c:v>
                </c:pt>
                <c:pt idx="24">
                  <c:v>192.58770776639363</c:v>
                </c:pt>
                <c:pt idx="25">
                  <c:v>216.9432466736005</c:v>
                </c:pt>
                <c:pt idx="26">
                  <c:v>245.63058849558644</c:v>
                </c:pt>
                <c:pt idx="27">
                  <c:v>279.59042160769417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9-3B45-A14E-2BD6F1D81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04624"/>
        <c:axId val="73545040"/>
      </c:barChart>
      <c:catAx>
        <c:axId val="7380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545040"/>
        <c:crosses val="autoZero"/>
        <c:auto val="1"/>
        <c:lblAlgn val="ctr"/>
        <c:lblOffset val="100"/>
        <c:noMultiLvlLbl val="0"/>
      </c:catAx>
      <c:valAx>
        <c:axId val="7354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80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sz="1200"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r>
              <a:rPr lang="en-GB"/>
              <a:t>Total Gambling Market GGR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'Overview (Current € FX)'!$E$27</c:f>
              <c:strCache>
                <c:ptCount val="1"/>
                <c:pt idx="0">
                  <c:v>Total Betting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(Current € FX)'!$G$15:$AH$15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(Current € FX)'!$G$27:$AH$27</c:f>
              <c:numCache>
                <c:formatCode>_(* #,##0_);_(* \(#,##0\);_(* "-"??_);_(@_)</c:formatCode>
                <c:ptCount val="28"/>
                <c:pt idx="0">
                  <c:v>1375.0164717967125</c:v>
                </c:pt>
                <c:pt idx="1">
                  <c:v>1403.4493975521677</c:v>
                </c:pt>
                <c:pt idx="2">
                  <c:v>1419.650288268142</c:v>
                </c:pt>
                <c:pt idx="3">
                  <c:v>1669.9788722802296</c:v>
                </c:pt>
                <c:pt idx="4">
                  <c:v>1680.0751453329185</c:v>
                </c:pt>
                <c:pt idx="5">
                  <c:v>1778.2416643103459</c:v>
                </c:pt>
                <c:pt idx="6">
                  <c:v>1569.3327264614106</c:v>
                </c:pt>
                <c:pt idx="7">
                  <c:v>1545.8325022843455</c:v>
                </c:pt>
                <c:pt idx="8">
                  <c:v>1358.5174894627853</c:v>
                </c:pt>
                <c:pt idx="9">
                  <c:v>1035.1605751600648</c:v>
                </c:pt>
                <c:pt idx="10">
                  <c:v>1071.5146923062223</c:v>
                </c:pt>
                <c:pt idx="11">
                  <c:v>1248.5497212844407</c:v>
                </c:pt>
                <c:pt idx="12">
                  <c:v>1199.0562931073132</c:v>
                </c:pt>
                <c:pt idx="13">
                  <c:v>1357.3352984633698</c:v>
                </c:pt>
                <c:pt idx="14">
                  <c:v>1786.2162675271074</c:v>
                </c:pt>
                <c:pt idx="15">
                  <c:v>1958.4340762916997</c:v>
                </c:pt>
                <c:pt idx="16">
                  <c:v>2094.7131441728197</c:v>
                </c:pt>
                <c:pt idx="17">
                  <c:v>1951.8357228511634</c:v>
                </c:pt>
                <c:pt idx="18">
                  <c:v>2240.1386036119125</c:v>
                </c:pt>
                <c:pt idx="19">
                  <c:v>2853.1756189467933</c:v>
                </c:pt>
                <c:pt idx="20">
                  <c:v>3130.4683773033962</c:v>
                </c:pt>
                <c:pt idx="21">
                  <c:v>3389.2602148569072</c:v>
                </c:pt>
                <c:pt idx="22">
                  <c:v>3775.4156077601629</c:v>
                </c:pt>
                <c:pt idx="23">
                  <c:v>4066.0128014713155</c:v>
                </c:pt>
                <c:pt idx="24">
                  <c:v>4364.7717760796659</c:v>
                </c:pt>
                <c:pt idx="25">
                  <c:v>4680.3743895382922</c:v>
                </c:pt>
                <c:pt idx="26">
                  <c:v>5009.1350776069139</c:v>
                </c:pt>
                <c:pt idx="27">
                  <c:v>5355.4128291969328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2-A044-9054-218599F26C22}"/>
            </c:ext>
          </c:extLst>
        </c:ser>
        <c:ser>
          <c:idx val="1"/>
          <c:order val="1"/>
          <c:tx>
            <c:strRef>
              <c:f>'Overview (Current € FX)'!$E$28</c:f>
              <c:strCache>
                <c:ptCount val="1"/>
                <c:pt idx="0">
                  <c:v>Total Gaming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(Current € FX)'!$G$15:$AH$15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(Current € FX)'!$G$28:$AH$28</c:f>
              <c:numCache>
                <c:formatCode>_(* #,##0_);_(* \(#,##0\);_(* "-"??_);_(@_)</c:formatCode>
                <c:ptCount val="28"/>
                <c:pt idx="0">
                  <c:v>1179.4166196245887</c:v>
                </c:pt>
                <c:pt idx="1">
                  <c:v>2411.5503599143694</c:v>
                </c:pt>
                <c:pt idx="2">
                  <c:v>4156.7151464539493</c:v>
                </c:pt>
                <c:pt idx="3">
                  <c:v>5331.228279041211</c:v>
                </c:pt>
                <c:pt idx="4">
                  <c:v>6254.0188751431015</c:v>
                </c:pt>
                <c:pt idx="5">
                  <c:v>6987.2500360782169</c:v>
                </c:pt>
                <c:pt idx="6">
                  <c:v>7804.52566376715</c:v>
                </c:pt>
                <c:pt idx="7">
                  <c:v>9529.172122607124</c:v>
                </c:pt>
                <c:pt idx="8">
                  <c:v>10920.438055303488</c:v>
                </c:pt>
                <c:pt idx="9">
                  <c:v>12000.809904073963</c:v>
                </c:pt>
                <c:pt idx="10">
                  <c:v>11082.391915469247</c:v>
                </c:pt>
                <c:pt idx="11">
                  <c:v>10792.610299552296</c:v>
                </c:pt>
                <c:pt idx="12">
                  <c:v>11024.622793934139</c:v>
                </c:pt>
                <c:pt idx="13">
                  <c:v>12026.763542395693</c:v>
                </c:pt>
                <c:pt idx="14">
                  <c:v>12213.810346499355</c:v>
                </c:pt>
                <c:pt idx="15">
                  <c:v>12076.746064552146</c:v>
                </c:pt>
                <c:pt idx="16">
                  <c:v>12216.382773367335</c:v>
                </c:pt>
                <c:pt idx="17">
                  <c:v>6789.9756818654578</c:v>
                </c:pt>
                <c:pt idx="18">
                  <c:v>7170.6896949962183</c:v>
                </c:pt>
                <c:pt idx="19">
                  <c:v>11575.637313692485</c:v>
                </c:pt>
                <c:pt idx="20">
                  <c:v>11894.939779184928</c:v>
                </c:pt>
                <c:pt idx="21">
                  <c:v>11916.450438246764</c:v>
                </c:pt>
                <c:pt idx="22">
                  <c:v>11819.820712329765</c:v>
                </c:pt>
                <c:pt idx="23">
                  <c:v>11862.581884619496</c:v>
                </c:pt>
                <c:pt idx="24">
                  <c:v>11976.729696492072</c:v>
                </c:pt>
                <c:pt idx="25">
                  <c:v>12183.115661844689</c:v>
                </c:pt>
                <c:pt idx="26">
                  <c:v>12452.040466229406</c:v>
                </c:pt>
                <c:pt idx="27">
                  <c:v>12770.267723842151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A2-A044-9054-218599F26C22}"/>
            </c:ext>
          </c:extLst>
        </c:ser>
        <c:ser>
          <c:idx val="2"/>
          <c:order val="2"/>
          <c:tx>
            <c:strRef>
              <c:f>'Overview (Current € FX)'!$E$29</c:f>
              <c:strCache>
                <c:ptCount val="1"/>
                <c:pt idx="0">
                  <c:v>Total Lottery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'Overview (Current € FX)'!$G$15:$AH$15</c:f>
              <c:numCache>
                <c:formatCode>General</c:formatCode>
                <c:ptCount val="2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  <c:pt idx="23">
                  <c:v>2026</c:v>
                </c:pt>
                <c:pt idx="24">
                  <c:v>2027</c:v>
                </c:pt>
                <c:pt idx="25">
                  <c:v>2028</c:v>
                </c:pt>
                <c:pt idx="26">
                  <c:v>2029</c:v>
                </c:pt>
                <c:pt idx="27">
                  <c:v>2030</c:v>
                </c:pt>
              </c:numCache>
            </c:numRef>
          </c:cat>
          <c:val>
            <c:numRef>
              <c:f>'Overview (Current € FX)'!$G$29:$AH$29</c:f>
              <c:numCache>
                <c:formatCode>_(* #,##0_);_(* \(#,##0\);_(* "-"??_);_(@_)</c:formatCode>
                <c:ptCount val="28"/>
                <c:pt idx="0">
                  <c:v>4837.5837740031347</c:v>
                </c:pt>
                <c:pt idx="1">
                  <c:v>6972.3122436300882</c:v>
                </c:pt>
                <c:pt idx="2">
                  <c:v>5157.7048841017286</c:v>
                </c:pt>
                <c:pt idx="3">
                  <c:v>5547.2056034456646</c:v>
                </c:pt>
                <c:pt idx="4">
                  <c:v>6356.9977831065926</c:v>
                </c:pt>
                <c:pt idx="5">
                  <c:v>6961.9982577403571</c:v>
                </c:pt>
                <c:pt idx="6">
                  <c:v>7544.997767865194</c:v>
                </c:pt>
                <c:pt idx="7">
                  <c:v>6888.9998800977983</c:v>
                </c:pt>
                <c:pt idx="8">
                  <c:v>6986.0003909806837</c:v>
                </c:pt>
                <c:pt idx="9">
                  <c:v>5936.0020807010542</c:v>
                </c:pt>
                <c:pt idx="10">
                  <c:v>5657.0003778918899</c:v>
                </c:pt>
                <c:pt idx="11">
                  <c:v>5436.0015441134847</c:v>
                </c:pt>
                <c:pt idx="12">
                  <c:v>5418.9997599386652</c:v>
                </c:pt>
                <c:pt idx="13">
                  <c:v>6229.0003221424777</c:v>
                </c:pt>
                <c:pt idx="14">
                  <c:v>5480.0017911337109</c:v>
                </c:pt>
                <c:pt idx="15">
                  <c:v>5393.2602921753605</c:v>
                </c:pt>
                <c:pt idx="16">
                  <c:v>5554.2603964181644</c:v>
                </c:pt>
                <c:pt idx="17">
                  <c:v>4546.4916837671135</c:v>
                </c:pt>
                <c:pt idx="18">
                  <c:v>6316.0707894090028</c:v>
                </c:pt>
                <c:pt idx="19">
                  <c:v>6197.6386902140257</c:v>
                </c:pt>
                <c:pt idx="20">
                  <c:v>5934.9994073459266</c:v>
                </c:pt>
                <c:pt idx="21">
                  <c:v>6485.0990176510541</c:v>
                </c:pt>
                <c:pt idx="22">
                  <c:v>6656.1891126402643</c:v>
                </c:pt>
                <c:pt idx="23">
                  <c:v>6848.3583520274378</c:v>
                </c:pt>
                <c:pt idx="24">
                  <c:v>7070.2518934758755</c:v>
                </c:pt>
                <c:pt idx="25">
                  <c:v>7297.0831299949014</c:v>
                </c:pt>
                <c:pt idx="26">
                  <c:v>7539.4893941298715</c:v>
                </c:pt>
                <c:pt idx="27">
                  <c:v>7800.3775675988909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A2-A044-9054-218599F26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04624"/>
        <c:axId val="73545040"/>
      </c:barChart>
      <c:catAx>
        <c:axId val="7380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545040"/>
        <c:crosses val="autoZero"/>
        <c:auto val="1"/>
        <c:lblAlgn val="ctr"/>
        <c:lblOffset val="100"/>
        <c:noMultiLvlLbl val="0"/>
      </c:catAx>
      <c:valAx>
        <c:axId val="7354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80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sz="1400">
          <a:latin typeface="Apercu" panose="02000506040000020004" pitchFamily="2" charset="77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7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8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0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7" Type="http://schemas.openxmlformats.org/officeDocument/2006/relationships/image" Target="../media/image1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10" Type="http://schemas.openxmlformats.org/officeDocument/2006/relationships/chart" Target="../charts/chart22.xml"/><Relationship Id="rId4" Type="http://schemas.openxmlformats.org/officeDocument/2006/relationships/chart" Target="../charts/chart16.xml"/><Relationship Id="rId9" Type="http://schemas.openxmlformats.org/officeDocument/2006/relationships/chart" Target="../charts/chart2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13" Type="http://schemas.openxmlformats.org/officeDocument/2006/relationships/chart" Target="../charts/chart35.xml"/><Relationship Id="rId18" Type="http://schemas.openxmlformats.org/officeDocument/2006/relationships/chart" Target="../charts/chart40.xml"/><Relationship Id="rId3" Type="http://schemas.openxmlformats.org/officeDocument/2006/relationships/chart" Target="../charts/chart25.xml"/><Relationship Id="rId7" Type="http://schemas.openxmlformats.org/officeDocument/2006/relationships/chart" Target="../charts/chart29.xml"/><Relationship Id="rId12" Type="http://schemas.openxmlformats.org/officeDocument/2006/relationships/chart" Target="../charts/chart34.xml"/><Relationship Id="rId17" Type="http://schemas.openxmlformats.org/officeDocument/2006/relationships/chart" Target="../charts/chart39.xml"/><Relationship Id="rId2" Type="http://schemas.openxmlformats.org/officeDocument/2006/relationships/chart" Target="../charts/chart24.xml"/><Relationship Id="rId16" Type="http://schemas.openxmlformats.org/officeDocument/2006/relationships/chart" Target="../charts/chart38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11" Type="http://schemas.openxmlformats.org/officeDocument/2006/relationships/chart" Target="../charts/chart33.xml"/><Relationship Id="rId5" Type="http://schemas.openxmlformats.org/officeDocument/2006/relationships/chart" Target="../charts/chart27.xml"/><Relationship Id="rId15" Type="http://schemas.openxmlformats.org/officeDocument/2006/relationships/chart" Target="../charts/chart37.xml"/><Relationship Id="rId10" Type="http://schemas.openxmlformats.org/officeDocument/2006/relationships/chart" Target="../charts/chart32.xml"/><Relationship Id="rId19" Type="http://schemas.openxmlformats.org/officeDocument/2006/relationships/chart" Target="../charts/chart41.xml"/><Relationship Id="rId4" Type="http://schemas.openxmlformats.org/officeDocument/2006/relationships/chart" Target="../charts/chart26.xml"/><Relationship Id="rId9" Type="http://schemas.openxmlformats.org/officeDocument/2006/relationships/chart" Target="../charts/chart31.xml"/><Relationship Id="rId14" Type="http://schemas.openxmlformats.org/officeDocument/2006/relationships/chart" Target="../charts/chart36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9.xml"/><Relationship Id="rId3" Type="http://schemas.openxmlformats.org/officeDocument/2006/relationships/chart" Target="../charts/chart44.xml"/><Relationship Id="rId7" Type="http://schemas.openxmlformats.org/officeDocument/2006/relationships/chart" Target="../charts/chart48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7.xml"/><Relationship Id="rId13" Type="http://schemas.openxmlformats.org/officeDocument/2006/relationships/chart" Target="../charts/chart62.xml"/><Relationship Id="rId18" Type="http://schemas.openxmlformats.org/officeDocument/2006/relationships/chart" Target="../charts/chart67.xml"/><Relationship Id="rId3" Type="http://schemas.openxmlformats.org/officeDocument/2006/relationships/chart" Target="../charts/chart52.xml"/><Relationship Id="rId21" Type="http://schemas.openxmlformats.org/officeDocument/2006/relationships/chart" Target="../charts/chart70.xml"/><Relationship Id="rId7" Type="http://schemas.openxmlformats.org/officeDocument/2006/relationships/chart" Target="../charts/chart56.xml"/><Relationship Id="rId12" Type="http://schemas.openxmlformats.org/officeDocument/2006/relationships/chart" Target="../charts/chart61.xml"/><Relationship Id="rId17" Type="http://schemas.openxmlformats.org/officeDocument/2006/relationships/chart" Target="../charts/chart66.xml"/><Relationship Id="rId2" Type="http://schemas.openxmlformats.org/officeDocument/2006/relationships/chart" Target="../charts/chart51.xml"/><Relationship Id="rId16" Type="http://schemas.openxmlformats.org/officeDocument/2006/relationships/chart" Target="../charts/chart65.xml"/><Relationship Id="rId20" Type="http://schemas.openxmlformats.org/officeDocument/2006/relationships/chart" Target="../charts/chart69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11" Type="http://schemas.openxmlformats.org/officeDocument/2006/relationships/chart" Target="../charts/chart60.xml"/><Relationship Id="rId24" Type="http://schemas.openxmlformats.org/officeDocument/2006/relationships/chart" Target="../charts/chart73.xml"/><Relationship Id="rId5" Type="http://schemas.openxmlformats.org/officeDocument/2006/relationships/chart" Target="../charts/chart54.xml"/><Relationship Id="rId15" Type="http://schemas.openxmlformats.org/officeDocument/2006/relationships/chart" Target="../charts/chart64.xml"/><Relationship Id="rId23" Type="http://schemas.openxmlformats.org/officeDocument/2006/relationships/chart" Target="../charts/chart72.xml"/><Relationship Id="rId10" Type="http://schemas.openxmlformats.org/officeDocument/2006/relationships/chart" Target="../charts/chart59.xml"/><Relationship Id="rId19" Type="http://schemas.openxmlformats.org/officeDocument/2006/relationships/chart" Target="../charts/chart68.xml"/><Relationship Id="rId4" Type="http://schemas.openxmlformats.org/officeDocument/2006/relationships/chart" Target="../charts/chart53.xml"/><Relationship Id="rId9" Type="http://schemas.openxmlformats.org/officeDocument/2006/relationships/chart" Target="../charts/chart58.xml"/><Relationship Id="rId14" Type="http://schemas.openxmlformats.org/officeDocument/2006/relationships/chart" Target="../charts/chart63.xml"/><Relationship Id="rId22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17210</xdr:colOff>
      <xdr:row>52</xdr:row>
      <xdr:rowOff>15875</xdr:rowOff>
    </xdr:from>
    <xdr:to>
      <xdr:col>31</xdr:col>
      <xdr:colOff>0</xdr:colOff>
      <xdr:row>77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0A47A0-05A7-1743-B23D-E4F8E6265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15207</xdr:colOff>
      <xdr:row>80</xdr:row>
      <xdr:rowOff>186992</xdr:rowOff>
    </xdr:from>
    <xdr:to>
      <xdr:col>18</xdr:col>
      <xdr:colOff>63500</xdr:colOff>
      <xdr:row>106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795399F-4178-0D4B-9FE0-E7253D90E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12034</xdr:colOff>
      <xdr:row>52</xdr:row>
      <xdr:rowOff>15875</xdr:rowOff>
    </xdr:from>
    <xdr:to>
      <xdr:col>18</xdr:col>
      <xdr:colOff>63500</xdr:colOff>
      <xdr:row>77</xdr:row>
      <xdr:rowOff>31750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67E5A42-78E9-DB43-ABD4-0535EE587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815975</xdr:colOff>
      <xdr:row>80</xdr:row>
      <xdr:rowOff>177800</xdr:rowOff>
    </xdr:from>
    <xdr:to>
      <xdr:col>30</xdr:col>
      <xdr:colOff>777875</xdr:colOff>
      <xdr:row>106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D3DEB5B-57AA-124A-A1AD-60B062A8D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10193</xdr:colOff>
      <xdr:row>110</xdr:row>
      <xdr:rowOff>60324</xdr:rowOff>
    </xdr:from>
    <xdr:to>
      <xdr:col>18</xdr:col>
      <xdr:colOff>142875</xdr:colOff>
      <xdr:row>135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033DAFD-3EF7-1340-B225-6DE1DCE66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79374</xdr:colOff>
      <xdr:row>110</xdr:row>
      <xdr:rowOff>111124</xdr:rowOff>
    </xdr:from>
    <xdr:to>
      <xdr:col>30</xdr:col>
      <xdr:colOff>809625</xdr:colOff>
      <xdr:row>135</xdr:row>
      <xdr:rowOff>15875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8E2B2EC-0F4A-D54A-B84E-B01012586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79375</xdr:rowOff>
    </xdr:from>
    <xdr:to>
      <xdr:col>0</xdr:col>
      <xdr:colOff>1428750</xdr:colOff>
      <xdr:row>8</xdr:row>
      <xdr:rowOff>14552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AD50508-494A-6640-9E8A-60BD5C91C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7500" y="257175"/>
          <a:ext cx="1111250" cy="11797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17210</xdr:colOff>
      <xdr:row>50</xdr:row>
      <xdr:rowOff>15875</xdr:rowOff>
    </xdr:from>
    <xdr:to>
      <xdr:col>31</xdr:col>
      <xdr:colOff>0</xdr:colOff>
      <xdr:row>75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09C52C-6F38-034B-A2C8-1528F7A55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15207</xdr:colOff>
      <xdr:row>78</xdr:row>
      <xdr:rowOff>186992</xdr:rowOff>
    </xdr:from>
    <xdr:to>
      <xdr:col>18</xdr:col>
      <xdr:colOff>63500</xdr:colOff>
      <xdr:row>104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EFD55D0-9D9D-E54A-BA2C-0E8DE1F2F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12034</xdr:colOff>
      <xdr:row>50</xdr:row>
      <xdr:rowOff>15875</xdr:rowOff>
    </xdr:from>
    <xdr:to>
      <xdr:col>18</xdr:col>
      <xdr:colOff>63500</xdr:colOff>
      <xdr:row>75</xdr:row>
      <xdr:rowOff>31750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D8744E6-57D0-3242-8BB3-AB9DF0341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815975</xdr:colOff>
      <xdr:row>78</xdr:row>
      <xdr:rowOff>177800</xdr:rowOff>
    </xdr:from>
    <xdr:to>
      <xdr:col>30</xdr:col>
      <xdr:colOff>777875</xdr:colOff>
      <xdr:row>104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D640A70-5C5E-C147-8A78-444868EE81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10193</xdr:colOff>
      <xdr:row>108</xdr:row>
      <xdr:rowOff>60324</xdr:rowOff>
    </xdr:from>
    <xdr:to>
      <xdr:col>18</xdr:col>
      <xdr:colOff>142875</xdr:colOff>
      <xdr:row>133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335C33-EC25-2544-8073-505BEACF8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79374</xdr:colOff>
      <xdr:row>108</xdr:row>
      <xdr:rowOff>111124</xdr:rowOff>
    </xdr:from>
    <xdr:to>
      <xdr:col>30</xdr:col>
      <xdr:colOff>809625</xdr:colOff>
      <xdr:row>133</xdr:row>
      <xdr:rowOff>15875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62FDAEF-4450-FC43-AE6A-D33EA75A7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79375</xdr:rowOff>
    </xdr:from>
    <xdr:to>
      <xdr:col>0</xdr:col>
      <xdr:colOff>1428750</xdr:colOff>
      <xdr:row>8</xdr:row>
      <xdr:rowOff>14552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269A449-FCA6-E84F-BF87-DDCDF67BE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7500" y="257175"/>
          <a:ext cx="1111250" cy="11797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79375</xdr:rowOff>
    </xdr:from>
    <xdr:to>
      <xdr:col>1</xdr:col>
      <xdr:colOff>69850</xdr:colOff>
      <xdr:row>8</xdr:row>
      <xdr:rowOff>14552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0A83F9-A766-1443-B369-BE962890C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257175"/>
          <a:ext cx="1111250" cy="11797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79375</xdr:rowOff>
    </xdr:from>
    <xdr:to>
      <xdr:col>0</xdr:col>
      <xdr:colOff>1428750</xdr:colOff>
      <xdr:row>8</xdr:row>
      <xdr:rowOff>14552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8897BE-FBAA-1543-85FD-E5947A16F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257175"/>
          <a:ext cx="1111250" cy="11797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87</xdr:col>
      <xdr:colOff>21166</xdr:colOff>
      <xdr:row>11</xdr:row>
      <xdr:rowOff>25399</xdr:rowOff>
    </xdr:from>
    <xdr:to>
      <xdr:col>104</xdr:col>
      <xdr:colOff>719667</xdr:colOff>
      <xdr:row>40</xdr:row>
      <xdr:rowOff>174624</xdr:rowOff>
    </xdr:to>
    <xdr:graphicFrame macro="">
      <xdr:nvGraphicFramePr>
        <xdr:cNvPr id="1084" name="Chart 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87</xdr:col>
      <xdr:colOff>46564</xdr:colOff>
      <xdr:row>44</xdr:row>
      <xdr:rowOff>70907</xdr:rowOff>
    </xdr:from>
    <xdr:to>
      <xdr:col>104</xdr:col>
      <xdr:colOff>733778</xdr:colOff>
      <xdr:row>84</xdr:row>
      <xdr:rowOff>158750</xdr:rowOff>
    </xdr:to>
    <xdr:graphicFrame macro="">
      <xdr:nvGraphicFramePr>
        <xdr:cNvPr id="1085" name="Chart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87</xdr:col>
      <xdr:colOff>52915</xdr:colOff>
      <xdr:row>90</xdr:row>
      <xdr:rowOff>20108</xdr:rowOff>
    </xdr:from>
    <xdr:to>
      <xdr:col>104</xdr:col>
      <xdr:colOff>705556</xdr:colOff>
      <xdr:row>124</xdr:row>
      <xdr:rowOff>111125</xdr:rowOff>
    </xdr:to>
    <xdr:graphicFrame macro="">
      <xdr:nvGraphicFramePr>
        <xdr:cNvPr id="1086" name="Chart 3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52</xdr:col>
      <xdr:colOff>44446</xdr:colOff>
      <xdr:row>110</xdr:row>
      <xdr:rowOff>243418</xdr:rowOff>
    </xdr:from>
    <xdr:to>
      <xdr:col>64</xdr:col>
      <xdr:colOff>761999</xdr:colOff>
      <xdr:row>144</xdr:row>
      <xdr:rowOff>142875</xdr:rowOff>
    </xdr:to>
    <xdr:graphicFrame macro="">
      <xdr:nvGraphicFramePr>
        <xdr:cNvPr id="1087" name="Chart 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66</xdr:col>
      <xdr:colOff>79374</xdr:colOff>
      <xdr:row>111</xdr:row>
      <xdr:rowOff>31750</xdr:rowOff>
    </xdr:from>
    <xdr:to>
      <xdr:col>83</xdr:col>
      <xdr:colOff>777875</xdr:colOff>
      <xdr:row>144</xdr:row>
      <xdr:rowOff>95250</xdr:rowOff>
    </xdr:to>
    <xdr:graphicFrame macro="">
      <xdr:nvGraphicFramePr>
        <xdr:cNvPr id="1088" name="Chart 5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87</xdr:col>
      <xdr:colOff>68792</xdr:colOff>
      <xdr:row>127</xdr:row>
      <xdr:rowOff>114654</xdr:rowOff>
    </xdr:from>
    <xdr:to>
      <xdr:col>104</xdr:col>
      <xdr:colOff>746126</xdr:colOff>
      <xdr:row>161</xdr:row>
      <xdr:rowOff>137584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66694AA-2E06-DF42-9335-5C9BF86A2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108</xdr:col>
      <xdr:colOff>690563</xdr:colOff>
      <xdr:row>23</xdr:row>
      <xdr:rowOff>1589</xdr:rowOff>
    </xdr:from>
    <xdr:to>
      <xdr:col>118</xdr:col>
      <xdr:colOff>762000</xdr:colOff>
      <xdr:row>58</xdr:row>
      <xdr:rowOff>63501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3CD176-FF03-174B-A3D8-B2792EA43D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119</xdr:col>
      <xdr:colOff>777875</xdr:colOff>
      <xdr:row>22</xdr:row>
      <xdr:rowOff>127000</xdr:rowOff>
    </xdr:from>
    <xdr:to>
      <xdr:col>130</xdr:col>
      <xdr:colOff>23812</xdr:colOff>
      <xdr:row>57</xdr:row>
      <xdr:rowOff>188912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93F1B25-74F6-C045-B163-46D980E8B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119</xdr:col>
      <xdr:colOff>777875</xdr:colOff>
      <xdr:row>74</xdr:row>
      <xdr:rowOff>127000</xdr:rowOff>
    </xdr:from>
    <xdr:to>
      <xdr:col>130</xdr:col>
      <xdr:colOff>23812</xdr:colOff>
      <xdr:row>109</xdr:row>
      <xdr:rowOff>188912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3E1D3F0-D781-0240-800D-5054271F3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108</xdr:col>
      <xdr:colOff>777875</xdr:colOff>
      <xdr:row>74</xdr:row>
      <xdr:rowOff>127000</xdr:rowOff>
    </xdr:from>
    <xdr:to>
      <xdr:col>119</xdr:col>
      <xdr:colOff>23812</xdr:colOff>
      <xdr:row>109</xdr:row>
      <xdr:rowOff>188912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C159952-2573-CA48-B2C5-7C75EB66F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81</xdr:row>
      <xdr:rowOff>161470</xdr:rowOff>
    </xdr:from>
    <xdr:to>
      <xdr:col>37</xdr:col>
      <xdr:colOff>36285</xdr:colOff>
      <xdr:row>110</xdr:row>
      <xdr:rowOff>54428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DE7BCC-0BEA-484B-844A-5D3BF678F5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113</xdr:row>
      <xdr:rowOff>161470</xdr:rowOff>
    </xdr:from>
    <xdr:to>
      <xdr:col>37</xdr:col>
      <xdr:colOff>36285</xdr:colOff>
      <xdr:row>142</xdr:row>
      <xdr:rowOff>54428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4E04B87-72E8-1D46-A5E6-45D8F5DFC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186</xdr:row>
      <xdr:rowOff>0</xdr:rowOff>
    </xdr:from>
    <xdr:to>
      <xdr:col>37</xdr:col>
      <xdr:colOff>301625</xdr:colOff>
      <xdr:row>216</xdr:row>
      <xdr:rowOff>127000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110CCDF-C815-0A4F-9C91-7495AFAC0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</xdr:colOff>
      <xdr:row>253</xdr:row>
      <xdr:rowOff>190499</xdr:rowOff>
    </xdr:from>
    <xdr:to>
      <xdr:col>33</xdr:col>
      <xdr:colOff>56446</xdr:colOff>
      <xdr:row>285</xdr:row>
      <xdr:rowOff>42333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9C9155C-9995-114E-A387-DC4176814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38</xdr:col>
      <xdr:colOff>18143</xdr:colOff>
      <xdr:row>81</xdr:row>
      <xdr:rowOff>143326</xdr:rowOff>
    </xdr:from>
    <xdr:to>
      <xdr:col>50</xdr:col>
      <xdr:colOff>417285</xdr:colOff>
      <xdr:row>111</xdr:row>
      <xdr:rowOff>18142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82CB187-234B-9649-BF6A-583CADCC3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38</xdr:col>
      <xdr:colOff>18143</xdr:colOff>
      <xdr:row>113</xdr:row>
      <xdr:rowOff>181429</xdr:rowOff>
    </xdr:from>
    <xdr:to>
      <xdr:col>50</xdr:col>
      <xdr:colOff>707572</xdr:colOff>
      <xdr:row>144</xdr:row>
      <xdr:rowOff>36285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EAB49701-D80A-444B-A7DF-7BB7B14C6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78</xdr:col>
      <xdr:colOff>1</xdr:colOff>
      <xdr:row>81</xdr:row>
      <xdr:rowOff>36288</xdr:rowOff>
    </xdr:from>
    <xdr:to>
      <xdr:col>92</xdr:col>
      <xdr:colOff>108858</xdr:colOff>
      <xdr:row>111</xdr:row>
      <xdr:rowOff>127000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896241D5-1368-F248-84FA-33EF155BC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50</xdr:col>
      <xdr:colOff>816431</xdr:colOff>
      <xdr:row>113</xdr:row>
      <xdr:rowOff>181428</xdr:rowOff>
    </xdr:from>
    <xdr:to>
      <xdr:col>62</xdr:col>
      <xdr:colOff>158751</xdr:colOff>
      <xdr:row>143</xdr:row>
      <xdr:rowOff>90715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29829EE3-ADD2-7C4C-BF98-C49E40ED4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51</xdr:col>
      <xdr:colOff>41729</xdr:colOff>
      <xdr:row>81</xdr:row>
      <xdr:rowOff>72571</xdr:rowOff>
    </xdr:from>
    <xdr:to>
      <xdr:col>63</xdr:col>
      <xdr:colOff>18143</xdr:colOff>
      <xdr:row>111</xdr:row>
      <xdr:rowOff>126999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698AC463-ABBC-624A-87F3-81584EAD3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63</xdr:col>
      <xdr:colOff>170992</xdr:colOff>
      <xdr:row>81</xdr:row>
      <xdr:rowOff>126999</xdr:rowOff>
    </xdr:from>
    <xdr:to>
      <xdr:col>77</xdr:col>
      <xdr:colOff>571499</xdr:colOff>
      <xdr:row>111</xdr:row>
      <xdr:rowOff>174624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65F2AB67-0146-964C-A04B-592CF9FD6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63</xdr:col>
      <xdr:colOff>152400</xdr:colOff>
      <xdr:row>113</xdr:row>
      <xdr:rowOff>36167</xdr:rowOff>
    </xdr:from>
    <xdr:to>
      <xdr:col>77</xdr:col>
      <xdr:colOff>584200</xdr:colOff>
      <xdr:row>144</xdr:row>
      <xdr:rowOff>1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4820861-116C-504D-ACF5-9DF5D74C6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78</xdr:col>
      <xdr:colOff>72571</xdr:colOff>
      <xdr:row>113</xdr:row>
      <xdr:rowOff>31750</xdr:rowOff>
    </xdr:from>
    <xdr:to>
      <xdr:col>91</xdr:col>
      <xdr:colOff>809625</xdr:colOff>
      <xdr:row>143</xdr:row>
      <xdr:rowOff>127001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CAEA134D-A40B-9446-975E-CB854C8E8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92</xdr:col>
      <xdr:colOff>791482</xdr:colOff>
      <xdr:row>86</xdr:row>
      <xdr:rowOff>117928</xdr:rowOff>
    </xdr:from>
    <xdr:to>
      <xdr:col>111</xdr:col>
      <xdr:colOff>127000</xdr:colOff>
      <xdr:row>134</xdr:row>
      <xdr:rowOff>72571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ECBF5EA-2256-C547-A81C-8C70039ED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235857</xdr:colOff>
      <xdr:row>307</xdr:row>
      <xdr:rowOff>138339</xdr:rowOff>
    </xdr:from>
    <xdr:to>
      <xdr:col>17</xdr:col>
      <xdr:colOff>816429</xdr:colOff>
      <xdr:row>351</xdr:row>
      <xdr:rowOff>36285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E35965-6612-6D46-B056-9EB675309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19</xdr:col>
      <xdr:colOff>0</xdr:colOff>
      <xdr:row>307</xdr:row>
      <xdr:rowOff>0</xdr:rowOff>
    </xdr:from>
    <xdr:to>
      <xdr:col>37</xdr:col>
      <xdr:colOff>635000</xdr:colOff>
      <xdr:row>350</xdr:row>
      <xdr:rowOff>97517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9A7F3246-39DE-F24A-939B-C491294DD7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112</xdr:col>
      <xdr:colOff>14111</xdr:colOff>
      <xdr:row>85</xdr:row>
      <xdr:rowOff>112889</xdr:rowOff>
    </xdr:from>
    <xdr:to>
      <xdr:col>130</xdr:col>
      <xdr:colOff>166058</xdr:colOff>
      <xdr:row>133</xdr:row>
      <xdr:rowOff>27214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1162DE3A-12BC-A147-A466-6BAB0BB3E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373</xdr:row>
      <xdr:rowOff>42334</xdr:rowOff>
    </xdr:from>
    <xdr:to>
      <xdr:col>18</xdr:col>
      <xdr:colOff>740832</xdr:colOff>
      <xdr:row>425</xdr:row>
      <xdr:rowOff>105834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E6DA29D4-8EF3-2893-D2A6-2876181045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131</xdr:col>
      <xdr:colOff>52917</xdr:colOff>
      <xdr:row>109</xdr:row>
      <xdr:rowOff>63500</xdr:rowOff>
    </xdr:from>
    <xdr:to>
      <xdr:col>144</xdr:col>
      <xdr:colOff>815831</xdr:colOff>
      <xdr:row>143</xdr:row>
      <xdr:rowOff>21167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33BA8AE2-791A-273D-7FBD-D9A1BB58FE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145</xdr:col>
      <xdr:colOff>45355</xdr:colOff>
      <xdr:row>105</xdr:row>
      <xdr:rowOff>90715</xdr:rowOff>
    </xdr:from>
    <xdr:to>
      <xdr:col>161</xdr:col>
      <xdr:colOff>272142</xdr:colOff>
      <xdr:row>143</xdr:row>
      <xdr:rowOff>181429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19F1F7A3-0958-D017-CD64-5F448A6C76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25399</xdr:colOff>
      <xdr:row>10</xdr:row>
      <xdr:rowOff>53975</xdr:rowOff>
    </xdr:from>
    <xdr:to>
      <xdr:col>41</xdr:col>
      <xdr:colOff>555624</xdr:colOff>
      <xdr:row>43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AE82B0-0CB6-274F-B8A3-3E1F0E8B1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31750</xdr:colOff>
      <xdr:row>10</xdr:row>
      <xdr:rowOff>63499</xdr:rowOff>
    </xdr:from>
    <xdr:to>
      <xdr:col>55</xdr:col>
      <xdr:colOff>285750</xdr:colOff>
      <xdr:row>44</xdr:row>
      <xdr:rowOff>95249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B0B1D2B-A9F6-4742-89BC-FF4E938CA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803275</xdr:colOff>
      <xdr:row>46</xdr:row>
      <xdr:rowOff>44450</xdr:rowOff>
    </xdr:from>
    <xdr:to>
      <xdr:col>41</xdr:col>
      <xdr:colOff>555625</xdr:colOff>
      <xdr:row>78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FF379C2-F18C-0343-B871-98500252E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41</xdr:col>
      <xdr:colOff>676274</xdr:colOff>
      <xdr:row>46</xdr:row>
      <xdr:rowOff>60325</xdr:rowOff>
    </xdr:from>
    <xdr:to>
      <xdr:col>55</xdr:col>
      <xdr:colOff>63499</xdr:colOff>
      <xdr:row>78</xdr:row>
      <xdr:rowOff>31750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E6F8314-7C8A-9E46-A91B-4700A2A56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38099</xdr:colOff>
      <xdr:row>92</xdr:row>
      <xdr:rowOff>63499</xdr:rowOff>
    </xdr:from>
    <xdr:to>
      <xdr:col>24</xdr:col>
      <xdr:colOff>31750</xdr:colOff>
      <xdr:row>128</xdr:row>
      <xdr:rowOff>174625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BFDD710-95F0-6645-8E2E-7B9D60DEA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809623</xdr:colOff>
      <xdr:row>92</xdr:row>
      <xdr:rowOff>47624</xdr:rowOff>
    </xdr:from>
    <xdr:to>
      <xdr:col>40</xdr:col>
      <xdr:colOff>809624</xdr:colOff>
      <xdr:row>129</xdr:row>
      <xdr:rowOff>63499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0F0BEB0-C37F-E647-8E5B-0D8C2E1DE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809625</xdr:colOff>
      <xdr:row>10</xdr:row>
      <xdr:rowOff>47625</xdr:rowOff>
    </xdr:from>
    <xdr:to>
      <xdr:col>69</xdr:col>
      <xdr:colOff>238125</xdr:colOff>
      <xdr:row>44</xdr:row>
      <xdr:rowOff>79375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171B075-7F69-2043-B7EB-D9A06D23E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15874</xdr:colOff>
      <xdr:row>46</xdr:row>
      <xdr:rowOff>47625</xdr:rowOff>
    </xdr:from>
    <xdr:to>
      <xdr:col>70</xdr:col>
      <xdr:colOff>127000</xdr:colOff>
      <xdr:row>81</xdr:row>
      <xdr:rowOff>158750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1FCF3456-B7B6-064B-B34A-68412DC78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169333</xdr:colOff>
      <xdr:row>86</xdr:row>
      <xdr:rowOff>169333</xdr:rowOff>
    </xdr:from>
    <xdr:to>
      <xdr:col>38</xdr:col>
      <xdr:colOff>592667</xdr:colOff>
      <xdr:row>110</xdr:row>
      <xdr:rowOff>84666</xdr:rowOff>
    </xdr:to>
    <xdr:graphicFrame macro="">
      <xdr:nvGraphicFramePr>
        <xdr:cNvPr id="7290" name="Chart 1">
          <a:extLst>
            <a:ext uri="{FF2B5EF4-FFF2-40B4-BE49-F238E27FC236}">
              <a16:creationId xmlns:a16="http://schemas.microsoft.com/office/drawing/2014/main" id="{00000000-0008-0000-0100-00007A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71965</xdr:colOff>
      <xdr:row>86</xdr:row>
      <xdr:rowOff>110068</xdr:rowOff>
    </xdr:from>
    <xdr:to>
      <xdr:col>17</xdr:col>
      <xdr:colOff>592666</xdr:colOff>
      <xdr:row>110</xdr:row>
      <xdr:rowOff>152400</xdr:rowOff>
    </xdr:to>
    <xdr:graphicFrame macro="">
      <xdr:nvGraphicFramePr>
        <xdr:cNvPr id="7291" name="Chart 2">
          <a:extLst>
            <a:ext uri="{FF2B5EF4-FFF2-40B4-BE49-F238E27FC236}">
              <a16:creationId xmlns:a16="http://schemas.microsoft.com/office/drawing/2014/main" id="{00000000-0008-0000-0100-00007B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66</xdr:col>
      <xdr:colOff>93134</xdr:colOff>
      <xdr:row>32</xdr:row>
      <xdr:rowOff>135468</xdr:rowOff>
    </xdr:from>
    <xdr:to>
      <xdr:col>82</xdr:col>
      <xdr:colOff>575733</xdr:colOff>
      <xdr:row>61</xdr:row>
      <xdr:rowOff>16933</xdr:rowOff>
    </xdr:to>
    <xdr:graphicFrame macro="">
      <xdr:nvGraphicFramePr>
        <xdr:cNvPr id="7292" name="Chart 3">
          <a:extLst>
            <a:ext uri="{FF2B5EF4-FFF2-40B4-BE49-F238E27FC236}">
              <a16:creationId xmlns:a16="http://schemas.microsoft.com/office/drawing/2014/main" id="{00000000-0008-0000-0100-00007C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66</xdr:col>
      <xdr:colOff>220132</xdr:colOff>
      <xdr:row>6</xdr:row>
      <xdr:rowOff>105832</xdr:rowOff>
    </xdr:from>
    <xdr:to>
      <xdr:col>82</xdr:col>
      <xdr:colOff>592667</xdr:colOff>
      <xdr:row>29</xdr:row>
      <xdr:rowOff>16935</xdr:rowOff>
    </xdr:to>
    <xdr:graphicFrame macro="">
      <xdr:nvGraphicFramePr>
        <xdr:cNvPr id="7293" name="Chart 4">
          <a:extLst>
            <a:ext uri="{FF2B5EF4-FFF2-40B4-BE49-F238E27FC236}">
              <a16:creationId xmlns:a16="http://schemas.microsoft.com/office/drawing/2014/main" id="{00000000-0008-0000-0100-00007D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66</xdr:col>
      <xdr:colOff>224366</xdr:colOff>
      <xdr:row>64</xdr:row>
      <xdr:rowOff>152400</xdr:rowOff>
    </xdr:from>
    <xdr:to>
      <xdr:col>82</xdr:col>
      <xdr:colOff>795866</xdr:colOff>
      <xdr:row>88</xdr:row>
      <xdr:rowOff>152401</xdr:rowOff>
    </xdr:to>
    <xdr:graphicFrame macro="">
      <xdr:nvGraphicFramePr>
        <xdr:cNvPr id="7294" name="Chart 5">
          <a:extLst>
            <a:ext uri="{FF2B5EF4-FFF2-40B4-BE49-F238E27FC236}">
              <a16:creationId xmlns:a16="http://schemas.microsoft.com/office/drawing/2014/main" id="{00000000-0008-0000-0100-00007E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40</xdr:col>
      <xdr:colOff>101599</xdr:colOff>
      <xdr:row>86</xdr:row>
      <xdr:rowOff>101601</xdr:rowOff>
    </xdr:from>
    <xdr:to>
      <xdr:col>63</xdr:col>
      <xdr:colOff>389466</xdr:colOff>
      <xdr:row>110</xdr:row>
      <xdr:rowOff>169335</xdr:rowOff>
    </xdr:to>
    <xdr:graphicFrame macro="">
      <xdr:nvGraphicFramePr>
        <xdr:cNvPr id="7295" name="Chart 7">
          <a:extLst>
            <a:ext uri="{FF2B5EF4-FFF2-40B4-BE49-F238E27FC236}">
              <a16:creationId xmlns:a16="http://schemas.microsoft.com/office/drawing/2014/main" id="{00000000-0008-0000-0100-00007F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95</xdr:col>
      <xdr:colOff>25400</xdr:colOff>
      <xdr:row>6</xdr:row>
      <xdr:rowOff>165100</xdr:rowOff>
    </xdr:from>
    <xdr:to>
      <xdr:col>100</xdr:col>
      <xdr:colOff>469900</xdr:colOff>
      <xdr:row>23</xdr:row>
      <xdr:rowOff>63500</xdr:rowOff>
    </xdr:to>
    <xdr:graphicFrame macro="">
      <xdr:nvGraphicFramePr>
        <xdr:cNvPr id="7296" name="Chart 8">
          <a:extLst>
            <a:ext uri="{FF2B5EF4-FFF2-40B4-BE49-F238E27FC236}">
              <a16:creationId xmlns:a16="http://schemas.microsoft.com/office/drawing/2014/main" id="{00000000-0008-0000-0100-000080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95</xdr:col>
      <xdr:colOff>0</xdr:colOff>
      <xdr:row>25</xdr:row>
      <xdr:rowOff>0</xdr:rowOff>
    </xdr:from>
    <xdr:to>
      <xdr:col>100</xdr:col>
      <xdr:colOff>444500</xdr:colOff>
      <xdr:row>40</xdr:row>
      <xdr:rowOff>38100</xdr:rowOff>
    </xdr:to>
    <xdr:graphicFrame macro="">
      <xdr:nvGraphicFramePr>
        <xdr:cNvPr id="7297" name="Chart 9">
          <a:extLst>
            <a:ext uri="{FF2B5EF4-FFF2-40B4-BE49-F238E27FC236}">
              <a16:creationId xmlns:a16="http://schemas.microsoft.com/office/drawing/2014/main" id="{00000000-0008-0000-0100-00008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95</xdr:col>
      <xdr:colOff>0</xdr:colOff>
      <xdr:row>43</xdr:row>
      <xdr:rowOff>0</xdr:rowOff>
    </xdr:from>
    <xdr:to>
      <xdr:col>100</xdr:col>
      <xdr:colOff>444500</xdr:colOff>
      <xdr:row>60</xdr:row>
      <xdr:rowOff>50800</xdr:rowOff>
    </xdr:to>
    <xdr:graphicFrame macro="">
      <xdr:nvGraphicFramePr>
        <xdr:cNvPr id="7298" name="Chart 10">
          <a:extLst>
            <a:ext uri="{FF2B5EF4-FFF2-40B4-BE49-F238E27FC236}">
              <a16:creationId xmlns:a16="http://schemas.microsoft.com/office/drawing/2014/main" id="{00000000-0008-0000-0100-000082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95</xdr:col>
      <xdr:colOff>0</xdr:colOff>
      <xdr:row>62</xdr:row>
      <xdr:rowOff>0</xdr:rowOff>
    </xdr:from>
    <xdr:to>
      <xdr:col>100</xdr:col>
      <xdr:colOff>444500</xdr:colOff>
      <xdr:row>77</xdr:row>
      <xdr:rowOff>50800</xdr:rowOff>
    </xdr:to>
    <xdr:graphicFrame macro="">
      <xdr:nvGraphicFramePr>
        <xdr:cNvPr id="7299" name="Chart 11">
          <a:extLst>
            <a:ext uri="{FF2B5EF4-FFF2-40B4-BE49-F238E27FC236}">
              <a16:creationId xmlns:a16="http://schemas.microsoft.com/office/drawing/2014/main" id="{00000000-0008-0000-0100-000083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95</xdr:col>
      <xdr:colOff>0</xdr:colOff>
      <xdr:row>80</xdr:row>
      <xdr:rowOff>0</xdr:rowOff>
    </xdr:from>
    <xdr:to>
      <xdr:col>100</xdr:col>
      <xdr:colOff>444500</xdr:colOff>
      <xdr:row>95</xdr:row>
      <xdr:rowOff>50800</xdr:rowOff>
    </xdr:to>
    <xdr:graphicFrame macro="">
      <xdr:nvGraphicFramePr>
        <xdr:cNvPr id="7300" name="Chart 12">
          <a:extLst>
            <a:ext uri="{FF2B5EF4-FFF2-40B4-BE49-F238E27FC236}">
              <a16:creationId xmlns:a16="http://schemas.microsoft.com/office/drawing/2014/main" id="{00000000-0008-0000-0100-000084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119</xdr:col>
      <xdr:colOff>254000</xdr:colOff>
      <xdr:row>66</xdr:row>
      <xdr:rowOff>8468</xdr:rowOff>
    </xdr:from>
    <xdr:to>
      <xdr:col>127</xdr:col>
      <xdr:colOff>626533</xdr:colOff>
      <xdr:row>93</xdr:row>
      <xdr:rowOff>50801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128</xdr:col>
      <xdr:colOff>372532</xdr:colOff>
      <xdr:row>66</xdr:row>
      <xdr:rowOff>50800</xdr:rowOff>
    </xdr:from>
    <xdr:to>
      <xdr:col>137</xdr:col>
      <xdr:colOff>558799</xdr:colOff>
      <xdr:row>93</xdr:row>
      <xdr:rowOff>118534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138</xdr:col>
      <xdr:colOff>169333</xdr:colOff>
      <xdr:row>64</xdr:row>
      <xdr:rowOff>93132</xdr:rowOff>
    </xdr:from>
    <xdr:to>
      <xdr:col>147</xdr:col>
      <xdr:colOff>135466</xdr:colOff>
      <xdr:row>94</xdr:row>
      <xdr:rowOff>101600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66</xdr:col>
      <xdr:colOff>93134</xdr:colOff>
      <xdr:row>93</xdr:row>
      <xdr:rowOff>16933</xdr:rowOff>
    </xdr:from>
    <xdr:to>
      <xdr:col>82</xdr:col>
      <xdr:colOff>677333</xdr:colOff>
      <xdr:row>121</xdr:row>
      <xdr:rowOff>152400</xdr:rowOff>
    </xdr:to>
    <xdr:graphicFrame macro="">
      <xdr:nvGraphicFramePr>
        <xdr:cNvPr id="16" name="Chart 3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138</xdr:col>
      <xdr:colOff>0</xdr:colOff>
      <xdr:row>97</xdr:row>
      <xdr:rowOff>237065</xdr:rowOff>
    </xdr:from>
    <xdr:to>
      <xdr:col>147</xdr:col>
      <xdr:colOff>338667</xdr:colOff>
      <xdr:row>128</xdr:row>
      <xdr:rowOff>135466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149</xdr:col>
      <xdr:colOff>169333</xdr:colOff>
      <xdr:row>64</xdr:row>
      <xdr:rowOff>93132</xdr:rowOff>
    </xdr:from>
    <xdr:to>
      <xdr:col>158</xdr:col>
      <xdr:colOff>135466</xdr:colOff>
      <xdr:row>94</xdr:row>
      <xdr:rowOff>101600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160</xdr:col>
      <xdr:colOff>169333</xdr:colOff>
      <xdr:row>64</xdr:row>
      <xdr:rowOff>93132</xdr:rowOff>
    </xdr:from>
    <xdr:to>
      <xdr:col>169</xdr:col>
      <xdr:colOff>135466</xdr:colOff>
      <xdr:row>94</xdr:row>
      <xdr:rowOff>101600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171</xdr:col>
      <xdr:colOff>169333</xdr:colOff>
      <xdr:row>64</xdr:row>
      <xdr:rowOff>93132</xdr:rowOff>
    </xdr:from>
    <xdr:to>
      <xdr:col>180</xdr:col>
      <xdr:colOff>135466</xdr:colOff>
      <xdr:row>94</xdr:row>
      <xdr:rowOff>101600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171</xdr:col>
      <xdr:colOff>0</xdr:colOff>
      <xdr:row>99</xdr:row>
      <xdr:rowOff>0</xdr:rowOff>
    </xdr:from>
    <xdr:to>
      <xdr:col>179</xdr:col>
      <xdr:colOff>795866</xdr:colOff>
      <xdr:row>129</xdr:row>
      <xdr:rowOff>8468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149</xdr:col>
      <xdr:colOff>0</xdr:colOff>
      <xdr:row>99</xdr:row>
      <xdr:rowOff>0</xdr:rowOff>
    </xdr:from>
    <xdr:to>
      <xdr:col>158</xdr:col>
      <xdr:colOff>186267</xdr:colOff>
      <xdr:row>126</xdr:row>
      <xdr:rowOff>67734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136</xdr:col>
      <xdr:colOff>558800</xdr:colOff>
      <xdr:row>2</xdr:row>
      <xdr:rowOff>0</xdr:rowOff>
    </xdr:from>
    <xdr:to>
      <xdr:col>143</xdr:col>
      <xdr:colOff>999066</xdr:colOff>
      <xdr:row>24</xdr:row>
      <xdr:rowOff>169333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155</xdr:col>
      <xdr:colOff>169333</xdr:colOff>
      <xdr:row>5</xdr:row>
      <xdr:rowOff>93132</xdr:rowOff>
    </xdr:from>
    <xdr:to>
      <xdr:col>164</xdr:col>
      <xdr:colOff>135466</xdr:colOff>
      <xdr:row>35</xdr:row>
      <xdr:rowOff>101600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83</xdr:col>
      <xdr:colOff>1143001</xdr:colOff>
      <xdr:row>51</xdr:row>
      <xdr:rowOff>76199</xdr:rowOff>
    </xdr:from>
    <xdr:to>
      <xdr:col>112</xdr:col>
      <xdr:colOff>592667</xdr:colOff>
      <xdr:row>74</xdr:row>
      <xdr:rowOff>50799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E7BA6-DD73-BC4B-86CE-057969E85CF4}">
  <dimension ref="A1:BN53"/>
  <sheetViews>
    <sheetView tabSelected="1" zoomScale="80" zoomScaleNormal="80" workbookViewId="0">
      <selection activeCell="B12" sqref="B12"/>
    </sheetView>
  </sheetViews>
  <sheetFormatPr baseColWidth="10" defaultColWidth="10.83203125" defaultRowHeight="15"/>
  <cols>
    <col min="1" max="1" width="20.5" style="872" customWidth="1"/>
    <col min="2" max="2" width="11.5" style="872" bestFit="1" customWidth="1"/>
    <col min="3" max="4" width="10.83203125" style="872"/>
    <col min="5" max="5" width="33" style="872" customWidth="1"/>
    <col min="6" max="16384" width="10.83203125" style="872"/>
  </cols>
  <sheetData>
    <row r="1" spans="1:66" s="848" customFormat="1" ht="14" customHeight="1">
      <c r="A1" s="846"/>
      <c r="B1" s="846"/>
      <c r="C1" s="846"/>
      <c r="D1" s="846"/>
      <c r="E1" s="846"/>
      <c r="F1" s="846"/>
      <c r="G1" s="846"/>
      <c r="H1" s="846"/>
      <c r="I1" s="846"/>
      <c r="J1" s="846"/>
      <c r="K1" s="846"/>
      <c r="L1" s="846"/>
      <c r="M1" s="846"/>
      <c r="N1" s="846"/>
      <c r="O1" s="846"/>
      <c r="P1" s="846"/>
      <c r="Q1" s="846"/>
      <c r="R1" s="846"/>
      <c r="S1" s="846"/>
      <c r="T1" s="846"/>
      <c r="U1" s="847"/>
      <c r="V1" s="846"/>
      <c r="W1" s="846"/>
      <c r="X1" s="846"/>
      <c r="Y1" s="846"/>
      <c r="Z1" s="846"/>
      <c r="AA1" s="846"/>
      <c r="AB1" s="846"/>
      <c r="AC1" s="846"/>
      <c r="AD1" s="846"/>
      <c r="AE1" s="846"/>
      <c r="AF1" s="846"/>
      <c r="AG1" s="846"/>
      <c r="AH1" s="846"/>
    </row>
    <row r="2" spans="1:66" s="848" customFormat="1" ht="14" customHeight="1">
      <c r="A2" s="849"/>
      <c r="B2" s="850"/>
      <c r="C2" s="851"/>
      <c r="D2" s="851"/>
      <c r="E2" s="851"/>
      <c r="F2" s="851"/>
      <c r="G2" s="851"/>
      <c r="H2" s="851"/>
      <c r="I2" s="851"/>
      <c r="J2" s="851"/>
      <c r="K2" s="851"/>
      <c r="L2" s="851"/>
      <c r="M2" s="851"/>
      <c r="N2" s="851"/>
      <c r="O2" s="851"/>
      <c r="P2" s="851"/>
      <c r="Q2" s="851"/>
      <c r="R2" s="852"/>
      <c r="S2" s="852"/>
      <c r="T2" s="846"/>
      <c r="U2" s="852"/>
      <c r="V2" s="846"/>
      <c r="W2" s="853"/>
      <c r="X2" s="846"/>
      <c r="Y2" s="846"/>
      <c r="Z2" s="846"/>
      <c r="AA2" s="846"/>
      <c r="AB2" s="846"/>
      <c r="AC2" s="846"/>
      <c r="AD2" s="846"/>
      <c r="AE2" s="846"/>
      <c r="AF2" s="846"/>
      <c r="AG2" s="846"/>
      <c r="AH2" s="846"/>
    </row>
    <row r="3" spans="1:66" s="848" customFormat="1" ht="14" customHeight="1">
      <c r="A3" s="849"/>
      <c r="B3" s="850"/>
      <c r="C3" s="851"/>
      <c r="D3" s="851"/>
      <c r="E3" s="851"/>
      <c r="F3" s="851"/>
      <c r="G3" s="851"/>
      <c r="H3" s="851"/>
      <c r="I3" s="851"/>
      <c r="J3" s="851"/>
      <c r="K3" s="851"/>
      <c r="L3" s="851"/>
      <c r="M3" s="851"/>
      <c r="N3" s="851"/>
      <c r="O3" s="851"/>
      <c r="P3" s="851"/>
      <c r="Q3" s="851"/>
      <c r="R3" s="852"/>
      <c r="S3" s="852"/>
      <c r="T3" s="846"/>
      <c r="U3" s="852"/>
      <c r="V3" s="846"/>
      <c r="W3" s="853"/>
      <c r="X3" s="846"/>
      <c r="Y3" s="846"/>
      <c r="Z3" s="846"/>
      <c r="AA3" s="846"/>
      <c r="AB3" s="846"/>
      <c r="AC3" s="846"/>
      <c r="AD3" s="846"/>
      <c r="AE3" s="846"/>
      <c r="AF3" s="846"/>
      <c r="AG3" s="846"/>
      <c r="AH3" s="846"/>
    </row>
    <row r="4" spans="1:66" s="848" customFormat="1" ht="14" customHeight="1">
      <c r="A4" s="849"/>
      <c r="B4" s="850"/>
      <c r="C4" s="851"/>
      <c r="D4" s="851"/>
      <c r="E4" s="851"/>
      <c r="F4" s="851"/>
      <c r="G4" s="851"/>
      <c r="H4" s="851"/>
      <c r="I4" s="851"/>
      <c r="J4" s="851"/>
      <c r="K4" s="851"/>
      <c r="L4" s="851"/>
      <c r="M4" s="851"/>
      <c r="N4" s="851"/>
      <c r="O4" s="851"/>
      <c r="P4" s="851"/>
      <c r="Q4" s="851"/>
      <c r="R4" s="852"/>
      <c r="S4" s="852"/>
      <c r="T4" s="846"/>
      <c r="U4" s="852"/>
      <c r="V4" s="846"/>
      <c r="W4" s="853"/>
      <c r="X4" s="846"/>
      <c r="Y4" s="846"/>
      <c r="Z4" s="846"/>
      <c r="AA4" s="846"/>
      <c r="AB4" s="846"/>
      <c r="AC4" s="846"/>
      <c r="AD4" s="846"/>
      <c r="AE4" s="846"/>
      <c r="AF4" s="846"/>
      <c r="AG4" s="846"/>
      <c r="AH4" s="846"/>
    </row>
    <row r="5" spans="1:66" s="848" customFormat="1" ht="14" customHeight="1">
      <c r="A5" s="849"/>
      <c r="B5" s="850"/>
      <c r="C5" s="851"/>
      <c r="D5" s="851"/>
      <c r="E5" s="851"/>
      <c r="F5" s="851"/>
      <c r="G5" s="851"/>
      <c r="H5" s="851"/>
      <c r="I5" s="851"/>
      <c r="J5" s="851"/>
      <c r="K5" s="851"/>
      <c r="L5" s="851"/>
      <c r="M5" s="851"/>
      <c r="N5" s="851"/>
      <c r="O5" s="851"/>
      <c r="P5" s="851"/>
      <c r="Q5" s="851"/>
      <c r="R5" s="852"/>
      <c r="S5" s="852"/>
      <c r="T5" s="846"/>
      <c r="U5" s="852"/>
      <c r="V5" s="846"/>
      <c r="W5" s="853"/>
      <c r="X5" s="846"/>
      <c r="Y5" s="846"/>
      <c r="Z5" s="846"/>
      <c r="AA5" s="846"/>
      <c r="AB5" s="846"/>
      <c r="AC5" s="846"/>
      <c r="AD5" s="846"/>
      <c r="AE5" s="846"/>
      <c r="AF5" s="846"/>
      <c r="AG5" s="846"/>
      <c r="AH5" s="846"/>
    </row>
    <row r="6" spans="1:66" s="848" customFormat="1" ht="14" customHeight="1">
      <c r="A6" s="849"/>
      <c r="B6" s="850"/>
      <c r="C6" s="851"/>
      <c r="D6" s="851"/>
      <c r="E6" s="851"/>
      <c r="F6" s="851"/>
      <c r="G6" s="851"/>
      <c r="H6" s="851"/>
      <c r="I6" s="851"/>
      <c r="J6" s="851"/>
      <c r="K6" s="851"/>
      <c r="L6" s="851"/>
      <c r="M6" s="851"/>
      <c r="N6" s="851"/>
      <c r="O6" s="851"/>
      <c r="P6" s="854"/>
      <c r="Q6" s="854"/>
      <c r="R6" s="855"/>
      <c r="S6" s="852"/>
      <c r="T6" s="852"/>
      <c r="U6" s="856"/>
      <c r="V6" s="846"/>
      <c r="W6" s="846"/>
      <c r="X6" s="846"/>
      <c r="Y6" s="846"/>
      <c r="Z6" s="846"/>
      <c r="AA6" s="846"/>
      <c r="AB6" s="846"/>
      <c r="AC6" s="846"/>
      <c r="AD6" s="846"/>
      <c r="AE6" s="846"/>
      <c r="AF6" s="846"/>
      <c r="AG6" s="846"/>
      <c r="AH6" s="846"/>
    </row>
    <row r="7" spans="1:66" s="848" customFormat="1" ht="14" customHeight="1">
      <c r="A7" s="849"/>
      <c r="B7" s="850"/>
      <c r="C7" s="851"/>
      <c r="D7" s="851"/>
      <c r="E7" s="851"/>
      <c r="F7" s="851"/>
      <c r="G7" s="846"/>
      <c r="H7" s="846"/>
      <c r="I7" s="846"/>
      <c r="J7" s="846"/>
      <c r="K7" s="846"/>
      <c r="L7" s="846"/>
      <c r="M7" s="846"/>
      <c r="N7" s="846"/>
      <c r="O7" s="853"/>
      <c r="P7" s="853"/>
      <c r="Q7" s="857"/>
      <c r="R7" s="846"/>
      <c r="S7" s="853"/>
      <c r="T7" s="858"/>
      <c r="U7" s="858"/>
      <c r="V7" s="846"/>
      <c r="W7" s="846"/>
      <c r="X7" s="846"/>
      <c r="Y7" s="846"/>
      <c r="Z7" s="846"/>
      <c r="AA7" s="846"/>
      <c r="AB7" s="846"/>
      <c r="AC7" s="846"/>
      <c r="AD7" s="846"/>
      <c r="AE7" s="846"/>
      <c r="AF7" s="846"/>
      <c r="AG7" s="846"/>
      <c r="AH7" s="846"/>
    </row>
    <row r="8" spans="1:66" s="848" customFormat="1" ht="14" customHeight="1">
      <c r="A8" s="849"/>
      <c r="B8" s="850"/>
      <c r="C8" s="851"/>
      <c r="D8" s="851"/>
      <c r="E8" s="851"/>
      <c r="F8" s="851"/>
      <c r="G8" s="846"/>
      <c r="H8" s="846"/>
      <c r="I8" s="846"/>
      <c r="J8" s="846"/>
      <c r="K8" s="846"/>
      <c r="L8" s="846"/>
      <c r="M8" s="846"/>
      <c r="N8" s="846"/>
      <c r="O8" s="853"/>
      <c r="P8" s="853"/>
      <c r="Q8" s="857"/>
      <c r="R8" s="846"/>
      <c r="S8" s="853"/>
      <c r="T8" s="858"/>
      <c r="U8" s="858"/>
      <c r="V8" s="846"/>
      <c r="W8" s="846"/>
      <c r="X8" s="846"/>
      <c r="Y8" s="846"/>
      <c r="Z8" s="846"/>
      <c r="AA8" s="846"/>
      <c r="AB8" s="846"/>
      <c r="AC8" s="846"/>
      <c r="AD8" s="846"/>
      <c r="AE8" s="846"/>
      <c r="AF8" s="846"/>
      <c r="AG8" s="846"/>
      <c r="AH8" s="846"/>
    </row>
    <row r="9" spans="1:66" s="848" customFormat="1" ht="14" customHeight="1">
      <c r="A9" s="849"/>
      <c r="B9" s="850"/>
      <c r="C9" s="851"/>
      <c r="D9" s="851"/>
      <c r="E9" s="851"/>
      <c r="F9" s="851"/>
      <c r="G9" s="846"/>
      <c r="H9" s="846"/>
      <c r="I9" s="846"/>
      <c r="J9" s="846"/>
      <c r="K9" s="846"/>
      <c r="L9" s="846"/>
      <c r="M9" s="846"/>
      <c r="N9" s="846"/>
      <c r="O9" s="853"/>
      <c r="P9" s="853"/>
      <c r="Q9" s="857"/>
      <c r="R9" s="846"/>
      <c r="S9" s="853"/>
      <c r="T9" s="858"/>
      <c r="U9" s="858"/>
      <c r="V9" s="846"/>
      <c r="W9" s="846"/>
      <c r="X9" s="846"/>
      <c r="Y9" s="846"/>
      <c r="Z9" s="846"/>
      <c r="AA9" s="846"/>
      <c r="AB9" s="846"/>
      <c r="AC9" s="846"/>
      <c r="AD9" s="846"/>
      <c r="AE9" s="846"/>
      <c r="AF9" s="846"/>
      <c r="AG9" s="846"/>
      <c r="AH9" s="846"/>
    </row>
    <row r="10" spans="1:66" s="848" customFormat="1" ht="14" customHeight="1">
      <c r="A10" s="849"/>
      <c r="B10" s="859"/>
      <c r="C10" s="846"/>
      <c r="D10" s="846"/>
      <c r="E10" s="846"/>
      <c r="F10" s="846"/>
      <c r="G10" s="846"/>
      <c r="H10" s="846"/>
      <c r="I10" s="846"/>
      <c r="J10" s="846"/>
      <c r="K10" s="846"/>
      <c r="L10" s="846"/>
      <c r="M10" s="846"/>
      <c r="N10" s="846"/>
      <c r="O10" s="853"/>
      <c r="P10" s="853"/>
      <c r="Q10" s="857"/>
      <c r="R10" s="846"/>
      <c r="S10" s="853"/>
      <c r="T10" s="858"/>
      <c r="U10" s="858"/>
      <c r="V10" s="846"/>
      <c r="W10" s="846"/>
      <c r="X10" s="846"/>
      <c r="Y10" s="846"/>
      <c r="Z10" s="846"/>
      <c r="AA10" s="846"/>
      <c r="AB10" s="846"/>
      <c r="AC10" s="846"/>
      <c r="AD10" s="846"/>
      <c r="AE10" s="846"/>
      <c r="AF10" s="846"/>
      <c r="AG10" s="846"/>
      <c r="AH10" s="846"/>
    </row>
    <row r="11" spans="1:66" s="862" customFormat="1" ht="16">
      <c r="A11" s="860" t="s">
        <v>889</v>
      </c>
      <c r="B11" s="861">
        <v>45818</v>
      </c>
      <c r="O11" s="863"/>
      <c r="P11" s="863"/>
      <c r="Q11" s="863"/>
      <c r="R11" s="863"/>
      <c r="S11" s="863"/>
      <c r="T11" s="863"/>
    </row>
    <row r="12" spans="1:66" s="862" customFormat="1" ht="16" thickBot="1">
      <c r="A12" s="864"/>
      <c r="B12" s="864"/>
      <c r="C12" s="864"/>
      <c r="D12" s="864"/>
      <c r="E12" s="864"/>
      <c r="F12" s="864"/>
      <c r="G12" s="865"/>
      <c r="H12" s="864"/>
      <c r="I12" s="864"/>
      <c r="J12" s="864"/>
      <c r="K12" s="864"/>
      <c r="L12" s="864"/>
      <c r="M12" s="864"/>
      <c r="N12" s="864"/>
      <c r="O12" s="864"/>
      <c r="P12" s="865"/>
      <c r="Q12" s="865"/>
      <c r="R12" s="865"/>
      <c r="S12" s="865"/>
      <c r="T12" s="864"/>
      <c r="U12" s="864"/>
      <c r="V12" s="864"/>
      <c r="W12" s="864"/>
      <c r="X12" s="864"/>
      <c r="Y12" s="864"/>
      <c r="Z12" s="864"/>
      <c r="AA12" s="864"/>
      <c r="AB12" s="864"/>
      <c r="AC12" s="864"/>
      <c r="AD12" s="864"/>
      <c r="AE12" s="864"/>
      <c r="AF12" s="864"/>
      <c r="AG12" s="864"/>
      <c r="AH12" s="864"/>
      <c r="AS12" s="866"/>
      <c r="AT12" s="866"/>
      <c r="AU12" s="866"/>
      <c r="AV12" s="866"/>
      <c r="AW12" s="866"/>
      <c r="AX12" s="866"/>
      <c r="AY12" s="866"/>
      <c r="AZ12" s="866"/>
      <c r="BA12" s="866"/>
      <c r="BB12" s="866"/>
      <c r="BC12" s="866"/>
      <c r="BD12" s="866"/>
      <c r="BE12" s="866"/>
      <c r="BF12" s="866"/>
      <c r="BG12" s="866"/>
      <c r="BH12" s="866"/>
      <c r="BI12" s="866"/>
      <c r="BJ12" s="866"/>
      <c r="BK12" s="866"/>
      <c r="BL12" s="866"/>
      <c r="BM12" s="866"/>
      <c r="BN12" s="866"/>
    </row>
    <row r="13" spans="1:66" s="862" customFormat="1">
      <c r="A13" s="867"/>
      <c r="B13" s="867"/>
      <c r="C13" s="867"/>
      <c r="D13" s="867"/>
      <c r="E13" s="867"/>
      <c r="F13" s="867"/>
      <c r="G13" s="867"/>
      <c r="H13" s="867"/>
      <c r="I13" s="867"/>
      <c r="J13" s="867"/>
      <c r="K13" s="867"/>
      <c r="L13" s="867"/>
      <c r="M13" s="867"/>
      <c r="N13" s="867"/>
      <c r="O13" s="867"/>
      <c r="P13" s="867"/>
      <c r="Q13" s="867"/>
      <c r="R13" s="867"/>
      <c r="S13" s="867"/>
      <c r="T13" s="867"/>
      <c r="U13" s="867"/>
      <c r="V13" s="867"/>
      <c r="W13" s="867"/>
      <c r="X13" s="867"/>
      <c r="Y13" s="867"/>
      <c r="Z13" s="867"/>
      <c r="AA13" s="867"/>
      <c r="AB13" s="867"/>
      <c r="AC13" s="867"/>
      <c r="AD13" s="867"/>
      <c r="AE13" s="867"/>
      <c r="AF13" s="867"/>
      <c r="AG13" s="867"/>
      <c r="AH13" s="867"/>
      <c r="AS13" s="866"/>
      <c r="AT13" s="866"/>
      <c r="AU13" s="866"/>
      <c r="AV13" s="866"/>
      <c r="AW13" s="866"/>
      <c r="AX13" s="866"/>
      <c r="AY13" s="866"/>
      <c r="AZ13" s="866"/>
      <c r="BA13" s="866"/>
      <c r="BB13" s="866"/>
      <c r="BC13" s="866"/>
      <c r="BD13" s="866"/>
      <c r="BE13" s="866"/>
      <c r="BF13" s="866"/>
      <c r="BG13" s="866"/>
      <c r="BH13" s="866"/>
      <c r="BI13" s="866"/>
      <c r="BJ13" s="866"/>
      <c r="BK13" s="866"/>
      <c r="BL13" s="866"/>
      <c r="BM13" s="866"/>
      <c r="BN13" s="866"/>
    </row>
    <row r="14" spans="1:66" s="862" customFormat="1" ht="16" thickBot="1">
      <c r="A14" s="868"/>
      <c r="B14" s="868"/>
      <c r="C14" s="868"/>
      <c r="D14" s="868"/>
      <c r="E14" s="868"/>
      <c r="F14" s="868"/>
      <c r="G14" s="868"/>
      <c r="H14" s="868"/>
      <c r="I14" s="868"/>
      <c r="J14" s="868"/>
      <c r="K14" s="868"/>
      <c r="L14" s="868"/>
      <c r="M14" s="868"/>
      <c r="N14" s="868"/>
      <c r="O14" s="868"/>
      <c r="P14" s="868"/>
      <c r="Q14" s="868"/>
      <c r="R14" s="868"/>
      <c r="S14" s="868"/>
      <c r="T14" s="868"/>
      <c r="U14" s="868"/>
      <c r="V14" s="868"/>
      <c r="W14" s="868"/>
      <c r="X14" s="868"/>
      <c r="Y14" s="868"/>
      <c r="Z14" s="868"/>
      <c r="AA14" s="868"/>
      <c r="AB14" s="868"/>
      <c r="AC14" s="868"/>
      <c r="AD14" s="868"/>
      <c r="AE14" s="868"/>
      <c r="AF14" s="868"/>
      <c r="AG14" s="868"/>
      <c r="AH14" s="868"/>
      <c r="AS14" s="866"/>
      <c r="AT14" s="866"/>
      <c r="AU14" s="866"/>
      <c r="AV14" s="866"/>
      <c r="AW14" s="866"/>
      <c r="AX14" s="866"/>
      <c r="AY14" s="866"/>
      <c r="AZ14" s="866"/>
      <c r="BA14" s="866"/>
      <c r="BB14" s="866"/>
      <c r="BC14" s="866"/>
      <c r="BD14" s="866"/>
      <c r="BE14" s="866"/>
      <c r="BF14" s="866"/>
      <c r="BG14" s="866"/>
      <c r="BH14" s="866"/>
      <c r="BI14" s="866"/>
      <c r="BJ14" s="866"/>
      <c r="BK14" s="866"/>
      <c r="BL14" s="866"/>
      <c r="BM14" s="866"/>
      <c r="BN14" s="866"/>
    </row>
    <row r="15" spans="1:66" s="869" customFormat="1">
      <c r="AI15" s="862"/>
      <c r="AJ15" s="862"/>
      <c r="AK15" s="862"/>
      <c r="AL15" s="862"/>
      <c r="AM15" s="862"/>
      <c r="AN15" s="862"/>
      <c r="AO15" s="862"/>
      <c r="AP15" s="862"/>
      <c r="AQ15" s="862"/>
      <c r="AR15" s="862"/>
    </row>
    <row r="16" spans="1:66" s="869" customFormat="1">
      <c r="AI16" s="862"/>
      <c r="AJ16" s="862"/>
      <c r="AK16" s="862"/>
      <c r="AL16" s="862"/>
      <c r="AM16" s="862"/>
      <c r="AN16" s="862"/>
      <c r="AO16" s="862"/>
      <c r="AP16" s="862"/>
      <c r="AQ16" s="862"/>
      <c r="AR16" s="862"/>
    </row>
    <row r="17" spans="1:44">
      <c r="A17" s="870" t="str">
        <f>Summary!A67</f>
        <v>Region</v>
      </c>
      <c r="B17" s="870" t="str">
        <f>Summary!B67</f>
        <v>Country</v>
      </c>
      <c r="C17" s="870" t="s">
        <v>890</v>
      </c>
      <c r="D17" s="870" t="s">
        <v>891</v>
      </c>
      <c r="E17" s="870" t="s">
        <v>892</v>
      </c>
      <c r="F17" s="870"/>
      <c r="G17" s="871">
        <f>Summary!G67</f>
        <v>2003</v>
      </c>
      <c r="H17" s="871">
        <f>Summary!H67</f>
        <v>2004</v>
      </c>
      <c r="I17" s="871">
        <f>Summary!I67</f>
        <v>2005</v>
      </c>
      <c r="J17" s="871">
        <f>Summary!J67</f>
        <v>2006</v>
      </c>
      <c r="K17" s="871">
        <f>Summary!K67</f>
        <v>2007</v>
      </c>
      <c r="L17" s="871">
        <f>Summary!L67</f>
        <v>2008</v>
      </c>
      <c r="M17" s="871">
        <f>Summary!M67</f>
        <v>2009</v>
      </c>
      <c r="N17" s="871">
        <f>Summary!N67</f>
        <v>2010</v>
      </c>
      <c r="O17" s="871">
        <f>Summary!O67</f>
        <v>2011</v>
      </c>
      <c r="P17" s="871">
        <f>Summary!P67</f>
        <v>2012</v>
      </c>
      <c r="Q17" s="871">
        <f>Summary!Q67</f>
        <v>2013</v>
      </c>
      <c r="R17" s="871">
        <f>Summary!R67</f>
        <v>2014</v>
      </c>
      <c r="S17" s="871">
        <f>Summary!S67</f>
        <v>2015</v>
      </c>
      <c r="T17" s="871">
        <f>Summary!T67</f>
        <v>2016</v>
      </c>
      <c r="U17" s="871">
        <f>Summary!U67</f>
        <v>2017</v>
      </c>
      <c r="V17" s="871">
        <f>Summary!V67</f>
        <v>2018</v>
      </c>
      <c r="W17" s="871">
        <f>Summary!W67</f>
        <v>2019</v>
      </c>
      <c r="X17" s="871">
        <f>Summary!X67</f>
        <v>2020</v>
      </c>
      <c r="Y17" s="871">
        <f>Summary!Y67</f>
        <v>2021</v>
      </c>
      <c r="Z17" s="871">
        <f>Summary!Z67</f>
        <v>2022</v>
      </c>
      <c r="AA17" s="871">
        <f>Summary!AA67</f>
        <v>2023</v>
      </c>
      <c r="AB17" s="871">
        <f>Summary!AB67</f>
        <v>2024</v>
      </c>
      <c r="AC17" s="871">
        <f>Summary!AC67</f>
        <v>2025</v>
      </c>
      <c r="AD17" s="871">
        <f>Summary!AD67</f>
        <v>2026</v>
      </c>
      <c r="AE17" s="871">
        <f>Summary!AE67</f>
        <v>2027</v>
      </c>
      <c r="AF17" s="871">
        <f>Summary!AF67</f>
        <v>2028</v>
      </c>
      <c r="AG17" s="871">
        <f>Summary!AG67</f>
        <v>2029</v>
      </c>
      <c r="AH17" s="871">
        <f>Summary!AH67</f>
        <v>2030</v>
      </c>
      <c r="AI17" s="862"/>
      <c r="AJ17" s="862"/>
      <c r="AK17" s="862"/>
      <c r="AL17" s="862"/>
      <c r="AM17" s="862"/>
      <c r="AN17" s="862"/>
      <c r="AO17" s="862"/>
      <c r="AP17" s="862"/>
      <c r="AQ17" s="862"/>
      <c r="AR17" s="862"/>
    </row>
    <row r="18" spans="1:44">
      <c r="A18" s="873"/>
      <c r="B18" s="873"/>
      <c r="G18" s="874"/>
      <c r="H18" s="874"/>
      <c r="I18" s="874"/>
      <c r="J18" s="874"/>
      <c r="K18" s="874"/>
      <c r="L18" s="874"/>
      <c r="M18" s="874"/>
      <c r="N18" s="874"/>
      <c r="O18" s="874"/>
      <c r="P18" s="874"/>
      <c r="Q18" s="874"/>
      <c r="R18" s="874"/>
      <c r="S18" s="874"/>
      <c r="T18" s="874"/>
      <c r="U18" s="874"/>
      <c r="V18" s="874"/>
      <c r="W18" s="874"/>
      <c r="X18" s="874"/>
      <c r="Y18" s="874"/>
      <c r="Z18" s="874"/>
      <c r="AA18" s="874"/>
      <c r="AB18" s="874"/>
      <c r="AC18" s="874"/>
      <c r="AD18" s="874"/>
      <c r="AE18" s="874"/>
      <c r="AF18" s="874"/>
      <c r="AG18" s="874"/>
      <c r="AH18" s="874"/>
      <c r="AI18" s="862"/>
      <c r="AJ18" s="862"/>
      <c r="AK18" s="862"/>
      <c r="AL18" s="862"/>
      <c r="AM18" s="862"/>
      <c r="AN18" s="862"/>
      <c r="AO18" s="862"/>
      <c r="AP18" s="862"/>
      <c r="AQ18" s="862"/>
      <c r="AR18" s="862"/>
    </row>
    <row r="19" spans="1:44">
      <c r="A19" s="873" t="str">
        <f>Summary!A$68</f>
        <v>Europe</v>
      </c>
      <c r="B19" s="873" t="str">
        <f>Summary!B$68</f>
        <v>Italy</v>
      </c>
      <c r="C19" s="872" t="s">
        <v>893</v>
      </c>
      <c r="D19" s="872" t="str">
        <f>Summary!F32</f>
        <v>EUR (m)</v>
      </c>
      <c r="E19" s="872" t="s">
        <v>583</v>
      </c>
      <c r="G19" s="875">
        <f>SUM(Summary!G68:G69)</f>
        <v>1317.608468285237</v>
      </c>
      <c r="H19" s="875">
        <f>SUM(Summary!H68:H69)</f>
        <v>1335.389817144553</v>
      </c>
      <c r="I19" s="875">
        <f>SUM(Summary!I68:I69)</f>
        <v>1328.402016674426</v>
      </c>
      <c r="J19" s="875">
        <f>SUM(Summary!J68:J69)</f>
        <v>1564.2098938074255</v>
      </c>
      <c r="K19" s="875">
        <f>SUM(Summary!K68:K69)</f>
        <v>1506.2142561769626</v>
      </c>
      <c r="L19" s="875">
        <f>SUM(Summary!L68:L69)</f>
        <v>1557.868609796456</v>
      </c>
      <c r="M19" s="875">
        <f>SUM(Summary!M68:M69)</f>
        <v>1329.9455479215283</v>
      </c>
      <c r="N19" s="875">
        <f>SUM(Summary!N68:N69)</f>
        <v>1266.330719</v>
      </c>
      <c r="O19" s="875">
        <f>SUM(Summary!O68:O69)</f>
        <v>1092.0061716999999</v>
      </c>
      <c r="P19" s="875">
        <f>SUM(Summary!P68:P69)</f>
        <v>814</v>
      </c>
      <c r="Q19" s="875">
        <f>SUM(Summary!Q68:Q69)</f>
        <v>818.8</v>
      </c>
      <c r="R19" s="875">
        <f>SUM(Summary!R68:R69)</f>
        <v>959</v>
      </c>
      <c r="S19" s="875">
        <f>SUM(Summary!S68:S69)</f>
        <v>855</v>
      </c>
      <c r="T19" s="875">
        <f>SUM(Summary!T68:T69)</f>
        <v>924</v>
      </c>
      <c r="U19" s="875">
        <f>SUM(Summary!U68:U69)</f>
        <v>1148</v>
      </c>
      <c r="V19" s="875">
        <f>SUM(Summary!V68:V69)</f>
        <v>1217.1792881000001</v>
      </c>
      <c r="W19" s="875">
        <f>SUM(Summary!W68:W69)</f>
        <v>1256.2500122000001</v>
      </c>
      <c r="X19" s="875">
        <f>SUM(Summary!X68:X69)</f>
        <v>805.66058479057278</v>
      </c>
      <c r="Y19" s="875">
        <f>SUM(Summary!Y68:Y69)</f>
        <v>594.12543541637524</v>
      </c>
      <c r="Z19" s="875">
        <f>SUM(Summary!Z68:Z69)</f>
        <v>1298.4336948700002</v>
      </c>
      <c r="AA19" s="875">
        <f>SUM(Summary!AA68:AA69)</f>
        <v>1417.1433929663503</v>
      </c>
      <c r="AB19" s="875">
        <f>SUM(Summary!AB68:AB69)</f>
        <v>1490.3884447871599</v>
      </c>
      <c r="AC19" s="875">
        <f>SUM(Summary!AC68:AC69)</f>
        <v>1647.0037222782917</v>
      </c>
      <c r="AD19" s="875">
        <f>SUM(Summary!AD68:AD69)</f>
        <v>1656.5545495830095</v>
      </c>
      <c r="AE19" s="875">
        <f>SUM(Summary!AE68:AE69)</f>
        <v>1710.3392051760345</v>
      </c>
      <c r="AF19" s="875">
        <f>SUM(Summary!AF68:AF69)</f>
        <v>1760.3589908198819</v>
      </c>
      <c r="AG19" s="875">
        <f>SUM(Summary!AG68:AG69)</f>
        <v>1804.2206212923625</v>
      </c>
      <c r="AH19" s="875">
        <f>SUM(Summary!AH68:AH69)</f>
        <v>1944.1656404821888</v>
      </c>
      <c r="AI19" s="862"/>
      <c r="AJ19" s="862"/>
      <c r="AK19" s="862"/>
      <c r="AL19" s="862"/>
      <c r="AM19" s="862"/>
      <c r="AN19" s="862"/>
      <c r="AO19" s="862"/>
      <c r="AP19" s="862"/>
      <c r="AQ19" s="862"/>
      <c r="AR19" s="862"/>
    </row>
    <row r="20" spans="1:44">
      <c r="A20" s="873" t="str">
        <f>Summary!A$68</f>
        <v>Europe</v>
      </c>
      <c r="B20" s="873" t="str">
        <f>Summary!B$68</f>
        <v>Italy</v>
      </c>
      <c r="C20" s="872" t="s">
        <v>893</v>
      </c>
      <c r="D20" s="872" t="str">
        <f>$D$19</f>
        <v>EUR (m)</v>
      </c>
      <c r="E20" s="872" t="s">
        <v>584</v>
      </c>
      <c r="G20" s="875">
        <f>SUM(Summary!G70:G73)</f>
        <v>1159.7592699884126</v>
      </c>
      <c r="H20" s="875">
        <f>SUM(Summary!H70:H73)</f>
        <v>2340.8988180764777</v>
      </c>
      <c r="I20" s="875">
        <f>SUM(Summary!I70:I73)</f>
        <v>4017.2604322132097</v>
      </c>
      <c r="J20" s="875">
        <f>SUM(Summary!J70:J73)</f>
        <v>5155.6101645422941</v>
      </c>
      <c r="K20" s="875">
        <f>SUM(Summary!K70:K73)</f>
        <v>5994.4049999999997</v>
      </c>
      <c r="L20" s="875">
        <f>SUM(Summary!L70:L73)</f>
        <v>6637.8459999999995</v>
      </c>
      <c r="M20" s="875">
        <f>SUM(Summary!M70:M73)</f>
        <v>7177.78</v>
      </c>
      <c r="N20" s="875">
        <f>SUM(Summary!N70:N73)</f>
        <v>8760.2164782608706</v>
      </c>
      <c r="O20" s="875">
        <f>SUM(Summary!O70:O73)</f>
        <v>10091.263999999999</v>
      </c>
      <c r="P20" s="875">
        <f>SUM(Summary!P70:P73)</f>
        <v>11166.225851342795</v>
      </c>
      <c r="Q20" s="875">
        <f>SUM(Summary!Q70:Q73)</f>
        <v>10307</v>
      </c>
      <c r="R20" s="875">
        <f>SUM(Summary!R70:R73)</f>
        <v>10087.628063246008</v>
      </c>
      <c r="S20" s="875">
        <f>SUM(Summary!S70:S73)</f>
        <v>10324</v>
      </c>
      <c r="T20" s="875">
        <f>SUM(Summary!T70:T73)</f>
        <v>11251.303750636036</v>
      </c>
      <c r="U20" s="875">
        <f>SUM(Summary!U70:U73)</f>
        <v>11310.288274863637</v>
      </c>
      <c r="V20" s="875">
        <f>SUM(Summary!V70:V73)</f>
        <v>11044.680135870001</v>
      </c>
      <c r="W20" s="875">
        <f>SUM(Summary!W70:W73)</f>
        <v>11075.539858558968</v>
      </c>
      <c r="X20" s="875">
        <f>SUM(Summary!X70:X73)</f>
        <v>5168.6387078692142</v>
      </c>
      <c r="Y20" s="875">
        <f>SUM(Summary!Y70:Y73)</f>
        <v>5027.2541122339999</v>
      </c>
      <c r="Z20" s="875">
        <f>SUM(Summary!Z70:Z73)</f>
        <v>9206.4855368249991</v>
      </c>
      <c r="AA20" s="875">
        <f>SUM(Summary!AA70:AA73)</f>
        <v>9161.2154860808514</v>
      </c>
      <c r="AB20" s="875">
        <f>SUM(Summary!AB70:AB73)</f>
        <v>8769.6666536056728</v>
      </c>
      <c r="AC20" s="875">
        <f>SUM(Summary!AC70:AC73)</f>
        <v>8323.4650519280203</v>
      </c>
      <c r="AD20" s="875">
        <f>SUM(Summary!AD70:AD73)</f>
        <v>8012.7254418336006</v>
      </c>
      <c r="AE20" s="875">
        <f>SUM(Summary!AE70:AE73)</f>
        <v>7777.2383145300782</v>
      </c>
      <c r="AF20" s="875">
        <f>SUM(Summary!AF70:AF73)</f>
        <v>7622.8969553288771</v>
      </c>
      <c r="AG20" s="875">
        <f>SUM(Summary!AG70:AG73)</f>
        <v>7526.2710318408162</v>
      </c>
      <c r="AH20" s="875">
        <f>SUM(Summary!AH70:AH73)</f>
        <v>7474.5577446154839</v>
      </c>
      <c r="AI20" s="862"/>
      <c r="AJ20" s="862"/>
      <c r="AK20" s="862"/>
      <c r="AL20" s="862"/>
      <c r="AM20" s="862"/>
      <c r="AN20" s="862"/>
      <c r="AO20" s="862"/>
      <c r="AP20" s="862"/>
      <c r="AQ20" s="862"/>
      <c r="AR20" s="862"/>
    </row>
    <row r="21" spans="1:44">
      <c r="A21" s="873" t="str">
        <f>Summary!A$68</f>
        <v>Europe</v>
      </c>
      <c r="B21" s="873" t="str">
        <f>Summary!B$68</f>
        <v>Italy</v>
      </c>
      <c r="C21" s="872" t="s">
        <v>893</v>
      </c>
      <c r="D21" s="872" t="str">
        <f>$D$19</f>
        <v>EUR (m)</v>
      </c>
      <c r="E21" s="872" t="s">
        <v>586</v>
      </c>
      <c r="G21" s="875">
        <f>SUM(Summary!G74:G76)</f>
        <v>4837.583494642764</v>
      </c>
      <c r="H21" s="875">
        <f>SUM(Summary!H74:H76)</f>
        <v>6972.3117955686721</v>
      </c>
      <c r="I21" s="875">
        <f>SUM(Summary!I74:I76)</f>
        <v>5157.7037586161332</v>
      </c>
      <c r="J21" s="875">
        <f>SUM(Summary!J74:J76)</f>
        <v>5547.207045627827</v>
      </c>
      <c r="K21" s="875">
        <f>SUM(Summary!K74:K76)</f>
        <v>6357</v>
      </c>
      <c r="L21" s="875">
        <f>SUM(Summary!L74:L76)</f>
        <v>6962</v>
      </c>
      <c r="M21" s="875">
        <f>SUM(Summary!M74:M76)</f>
        <v>7541.1911202587271</v>
      </c>
      <c r="N21" s="875">
        <f>SUM(Summary!N74:N76)</f>
        <v>6878.4308349999992</v>
      </c>
      <c r="O21" s="875">
        <f>SUM(Summary!O74:O76)</f>
        <v>6978.4114690000006</v>
      </c>
      <c r="P21" s="875">
        <f>SUM(Summary!P74:P76)</f>
        <v>5923</v>
      </c>
      <c r="Q21" s="875">
        <f>SUM(Summary!Q74:Q76)</f>
        <v>5644</v>
      </c>
      <c r="R21" s="875">
        <f>SUM(Summary!R74:R76)</f>
        <v>5419</v>
      </c>
      <c r="S21" s="875">
        <f>SUM(Summary!S74:S76)</f>
        <v>5401</v>
      </c>
      <c r="T21" s="875">
        <f>SUM(Summary!T74:T76)</f>
        <v>6199</v>
      </c>
      <c r="U21" s="875">
        <f>SUM(Summary!U74:U76)</f>
        <v>5442.1</v>
      </c>
      <c r="V21" s="875">
        <f>SUM(Summary!V74:V76)</f>
        <v>5344.47</v>
      </c>
      <c r="W21" s="875">
        <f>SUM(Summary!W74:W76)</f>
        <v>5496.15</v>
      </c>
      <c r="X21" s="875">
        <f>SUM(Summary!X74:X76)</f>
        <v>4469.5499999999993</v>
      </c>
      <c r="Y21" s="875">
        <f>SUM(Summary!Y74:Y76)</f>
        <v>6219.59</v>
      </c>
      <c r="Z21" s="875">
        <f>SUM(Summary!Z74:Z76)</f>
        <v>6076.8600000000006</v>
      </c>
      <c r="AA21" s="875">
        <f>SUM(Summary!AA74:AA76)</f>
        <v>5824.6882238673825</v>
      </c>
      <c r="AB21" s="875">
        <f>SUM(Summary!AB74:AB76)</f>
        <v>6345.9203353775147</v>
      </c>
      <c r="AC21" s="875">
        <f>SUM(Summary!AC74:AC76)</f>
        <v>6502.1395610708205</v>
      </c>
      <c r="AD21" s="875">
        <f>SUM(Summary!AD74:AD76)</f>
        <v>6676.8400526829846</v>
      </c>
      <c r="AE21" s="875">
        <f>SUM(Summary!AE74:AE76)</f>
        <v>6877.6656023594387</v>
      </c>
      <c r="AF21" s="875">
        <f>SUM(Summary!AF74:AF76)</f>
        <v>7080.1394633857908</v>
      </c>
      <c r="AG21" s="875">
        <f>SUM(Summary!AG74:AG76)</f>
        <v>7293.8584180352373</v>
      </c>
      <c r="AH21" s="875">
        <f>SUM(Summary!AH74:AH76)</f>
        <v>7520.7887034084142</v>
      </c>
      <c r="AI21" s="862"/>
      <c r="AJ21" s="862"/>
      <c r="AK21" s="862"/>
      <c r="AL21" s="862"/>
      <c r="AM21" s="862"/>
      <c r="AN21" s="862"/>
      <c r="AO21" s="862"/>
      <c r="AP21" s="862"/>
      <c r="AQ21" s="862"/>
      <c r="AR21" s="862"/>
    </row>
    <row r="22" spans="1:44">
      <c r="A22" s="876" t="str">
        <f>Summary!A$68</f>
        <v>Europe</v>
      </c>
      <c r="B22" s="877" t="str">
        <f>Summary!B$68</f>
        <v>Italy</v>
      </c>
      <c r="C22" s="877" t="s">
        <v>893</v>
      </c>
      <c r="D22" s="877" t="str">
        <f>$D$19</f>
        <v>EUR (m)</v>
      </c>
      <c r="E22" s="877" t="s">
        <v>587</v>
      </c>
      <c r="F22" s="877"/>
      <c r="G22" s="878">
        <f t="shared" ref="G22:AG22" si="0">SUM(G19:G21)</f>
        <v>7314.9512329164136</v>
      </c>
      <c r="H22" s="878">
        <f t="shared" si="0"/>
        <v>10648.600430789702</v>
      </c>
      <c r="I22" s="878">
        <f t="shared" si="0"/>
        <v>10503.366207503768</v>
      </c>
      <c r="J22" s="878">
        <f t="shared" si="0"/>
        <v>12267.027103977547</v>
      </c>
      <c r="K22" s="878">
        <f t="shared" si="0"/>
        <v>13857.619256176962</v>
      </c>
      <c r="L22" s="878">
        <f t="shared" si="0"/>
        <v>15157.714609796456</v>
      </c>
      <c r="M22" s="878">
        <f t="shared" si="0"/>
        <v>16048.916668180254</v>
      </c>
      <c r="N22" s="878">
        <f t="shared" si="0"/>
        <v>16904.978032260871</v>
      </c>
      <c r="O22" s="878">
        <f t="shared" si="0"/>
        <v>18161.681640700001</v>
      </c>
      <c r="P22" s="878">
        <f t="shared" si="0"/>
        <v>17903.225851342795</v>
      </c>
      <c r="Q22" s="878">
        <f t="shared" si="0"/>
        <v>16769.8</v>
      </c>
      <c r="R22" s="878">
        <f t="shared" si="0"/>
        <v>16465.628063246008</v>
      </c>
      <c r="S22" s="878">
        <f t="shared" si="0"/>
        <v>16580</v>
      </c>
      <c r="T22" s="878">
        <f t="shared" si="0"/>
        <v>18374.303750636034</v>
      </c>
      <c r="U22" s="878">
        <f t="shared" si="0"/>
        <v>17900.388274863639</v>
      </c>
      <c r="V22" s="878">
        <f t="shared" si="0"/>
        <v>17606.329423970001</v>
      </c>
      <c r="W22" s="878">
        <f t="shared" si="0"/>
        <v>17827.939870758968</v>
      </c>
      <c r="X22" s="878">
        <f t="shared" si="0"/>
        <v>10443.849292659786</v>
      </c>
      <c r="Y22" s="878">
        <f t="shared" si="0"/>
        <v>11840.969547650375</v>
      </c>
      <c r="Z22" s="878">
        <f t="shared" si="0"/>
        <v>16581.779231695</v>
      </c>
      <c r="AA22" s="878">
        <f t="shared" si="0"/>
        <v>16403.047102914585</v>
      </c>
      <c r="AB22" s="878">
        <f t="shared" si="0"/>
        <v>16605.975433770349</v>
      </c>
      <c r="AC22" s="878">
        <f t="shared" si="0"/>
        <v>16472.608335277131</v>
      </c>
      <c r="AD22" s="878">
        <f t="shared" si="0"/>
        <v>16346.120044099594</v>
      </c>
      <c r="AE22" s="878">
        <f t="shared" si="0"/>
        <v>16365.243122065551</v>
      </c>
      <c r="AF22" s="878">
        <f t="shared" si="0"/>
        <v>16463.395409534547</v>
      </c>
      <c r="AG22" s="878">
        <f t="shared" si="0"/>
        <v>16624.350071168417</v>
      </c>
      <c r="AH22" s="878">
        <f t="shared" ref="AH22" si="1">SUM(AH19:AH21)</f>
        <v>16939.51208850609</v>
      </c>
      <c r="AI22" s="862"/>
      <c r="AJ22" s="862"/>
      <c r="AK22" s="862"/>
      <c r="AL22" s="862"/>
      <c r="AM22" s="862"/>
      <c r="AN22" s="862"/>
      <c r="AO22" s="862"/>
      <c r="AP22" s="862"/>
      <c r="AQ22" s="862"/>
      <c r="AR22" s="862"/>
    </row>
    <row r="23" spans="1:44">
      <c r="A23" s="873"/>
      <c r="B23" s="873"/>
      <c r="G23" s="875"/>
      <c r="H23" s="875"/>
      <c r="I23" s="875"/>
      <c r="J23" s="875"/>
      <c r="K23" s="875"/>
      <c r="L23" s="875"/>
      <c r="M23" s="875"/>
      <c r="N23" s="875"/>
      <c r="O23" s="875"/>
      <c r="P23" s="875"/>
      <c r="Q23" s="875"/>
      <c r="R23" s="875"/>
      <c r="S23" s="875"/>
      <c r="T23" s="875"/>
      <c r="U23" s="875"/>
      <c r="V23" s="875"/>
      <c r="W23" s="875"/>
      <c r="X23" s="875"/>
      <c r="Y23" s="875"/>
      <c r="Z23" s="875"/>
      <c r="AA23" s="875"/>
      <c r="AB23" s="875"/>
      <c r="AC23" s="875"/>
      <c r="AD23" s="875"/>
      <c r="AE23" s="875"/>
      <c r="AF23" s="875"/>
      <c r="AG23" s="875"/>
      <c r="AH23" s="875"/>
      <c r="AI23" s="862"/>
      <c r="AJ23" s="862"/>
      <c r="AK23" s="862"/>
      <c r="AL23" s="862"/>
      <c r="AM23" s="862"/>
      <c r="AN23" s="862"/>
      <c r="AO23" s="862"/>
      <c r="AP23" s="862"/>
      <c r="AQ23" s="862"/>
      <c r="AR23" s="862"/>
    </row>
    <row r="24" spans="1:44">
      <c r="A24" s="873" t="str">
        <f>Summary!A$68</f>
        <v>Europe</v>
      </c>
      <c r="B24" s="873" t="str">
        <f>Summary!B$68</f>
        <v>Italy</v>
      </c>
      <c r="C24" s="872" t="s">
        <v>893</v>
      </c>
      <c r="D24" s="872" t="str">
        <f>$D$19</f>
        <v>EUR (m)</v>
      </c>
      <c r="E24" s="872" t="s">
        <v>603</v>
      </c>
      <c r="G24" s="875">
        <f>SUM(Summary!G77:G78,Summary!G87:G88)</f>
        <v>57.407924107142854</v>
      </c>
      <c r="H24" s="875">
        <f>SUM(Summary!H77:H78,Summary!H87:H88)</f>
        <v>68.059490217803585</v>
      </c>
      <c r="I24" s="875">
        <f>SUM(Summary!I77:I78,Summary!I87:I88)</f>
        <v>91.247961805547504</v>
      </c>
      <c r="J24" s="875">
        <f>SUM(Summary!J77:J78,Summary!J87:J88)</f>
        <v>105.7694126398266</v>
      </c>
      <c r="K24" s="875">
        <f>SUM(Summary!K77:K78,Summary!K87:K88)</f>
        <v>173.86147505320508</v>
      </c>
      <c r="L24" s="875">
        <f>SUM(Summary!L77:L78,Summary!L87:L88)</f>
        <v>220.37349952386711</v>
      </c>
      <c r="M24" s="875">
        <f>SUM(Summary!M77:M78,Summary!M87:M88)</f>
        <v>239.38764281599052</v>
      </c>
      <c r="N24" s="875">
        <f>SUM(Summary!N77:N78,Summary!N87:N88)</f>
        <v>279.50181018937138</v>
      </c>
      <c r="O24" s="875">
        <f>SUM(Summary!O77:O78,Summary!O87:O88)</f>
        <v>266.51124173157086</v>
      </c>
      <c r="P24" s="875">
        <f>SUM(Summary!P77:P78,Summary!P87:P88)</f>
        <v>221.16021231320752</v>
      </c>
      <c r="Q24" s="875">
        <f>SUM(Summary!Q77:Q78,Summary!Q87:Q88)</f>
        <v>252.71462072823303</v>
      </c>
      <c r="R24" s="875">
        <f>SUM(Summary!R77:R78,Summary!R87:R88)</f>
        <v>289.54936662993123</v>
      </c>
      <c r="S24" s="875">
        <f>SUM(Summary!S77:S78,Summary!S87:S88)</f>
        <v>344.05634622542857</v>
      </c>
      <c r="T24" s="875">
        <f>SUM(Summary!T77:T78,Summary!T87:T88)</f>
        <v>433.33522826665535</v>
      </c>
      <c r="U24" s="875">
        <f>SUM(Summary!U77:U78,Summary!U87:U88)</f>
        <v>638.21568370390924</v>
      </c>
      <c r="V24" s="875">
        <f>SUM(Summary!V77:V78,Summary!V87:V88)</f>
        <v>741.25468209517339</v>
      </c>
      <c r="W24" s="875">
        <f>SUM(Summary!W77:W78,Summary!W87:W88)</f>
        <v>838.46298246914489</v>
      </c>
      <c r="X24" s="875">
        <f>SUM(Summary!X77:X78,Summary!X87:X88)</f>
        <v>1146.174415209427</v>
      </c>
      <c r="Y24" s="875">
        <f>SUM(Summary!Y77:Y78,Summary!Y87:Y88)</f>
        <v>1646.0128882136248</v>
      </c>
      <c r="Z24" s="875">
        <f>SUM(Summary!Z77:Z78,Summary!Z87:Z88)</f>
        <v>1554.7425270563465</v>
      </c>
      <c r="AA24" s="875">
        <f>SUM(Summary!AA77:AA78,Summary!AA87:AA88)</f>
        <v>1713.3252969377238</v>
      </c>
      <c r="AB24" s="875">
        <f>SUM(Summary!AB77:AB78,Summary!AB87:AB88)</f>
        <v>1898.8722834676446</v>
      </c>
      <c r="AC24" s="875">
        <f>SUM(Summary!AC77:AC78,Summary!AC87:AC88)</f>
        <v>2128.4120264382368</v>
      </c>
      <c r="AD24" s="875">
        <f>SUM(Summary!AD77:AD78,Summary!AD87:AD88)</f>
        <v>2409.4591911754915</v>
      </c>
      <c r="AE24" s="875">
        <f>SUM(Summary!AE77:AE78,Summary!AE87:AE88)</f>
        <v>2654.4334699521423</v>
      </c>
      <c r="AF24" s="875">
        <f>SUM(Summary!AF77:AF78,Summary!AF87:AF88)</f>
        <v>2920.0151211171997</v>
      </c>
      <c r="AG24" s="875">
        <f>SUM(Summary!AG77:AG78,Summary!AG87:AG88)</f>
        <v>3204.9141901267858</v>
      </c>
      <c r="AH24" s="875">
        <f>SUM(Summary!AH77:AH78,Summary!AH87:AH88)</f>
        <v>3411.2482977226155</v>
      </c>
      <c r="AI24" s="862"/>
      <c r="AJ24" s="862"/>
      <c r="AK24" s="862"/>
      <c r="AL24" s="862"/>
      <c r="AM24" s="862"/>
      <c r="AN24" s="862"/>
      <c r="AO24" s="862"/>
      <c r="AP24" s="862"/>
      <c r="AQ24" s="862"/>
      <c r="AR24" s="862"/>
    </row>
    <row r="25" spans="1:44">
      <c r="A25" s="873" t="str">
        <f>Summary!A$68</f>
        <v>Europe</v>
      </c>
      <c r="B25" s="873" t="str">
        <f>Summary!B$68</f>
        <v>Italy</v>
      </c>
      <c r="C25" s="872" t="s">
        <v>893</v>
      </c>
      <c r="D25" s="872" t="str">
        <f>$D$19</f>
        <v>EUR (m)</v>
      </c>
      <c r="E25" s="872" t="s">
        <v>604</v>
      </c>
      <c r="G25" s="875">
        <f>SUM(Summary!G79:G83,Summary!G89:G93)</f>
        <v>19.657281527326969</v>
      </c>
      <c r="H25" s="875">
        <f>SUM(Summary!H79:H83,Summary!H89:H93)</f>
        <v>70.651386864529613</v>
      </c>
      <c r="I25" s="875">
        <f>SUM(Summary!I79:I83,Summary!I89:I93)</f>
        <v>139.45380718554227</v>
      </c>
      <c r="J25" s="875">
        <f>SUM(Summary!J79:J83,Summary!J89:J93)</f>
        <v>175.61950053052902</v>
      </c>
      <c r="K25" s="875">
        <f>SUM(Summary!K79:K83,Summary!K89:K93)</f>
        <v>259.6160561243903</v>
      </c>
      <c r="L25" s="875">
        <f>SUM(Summary!L79:L83,Summary!L89:L93)</f>
        <v>349.40578465718858</v>
      </c>
      <c r="M25" s="875">
        <f>SUM(Summary!M79:M83,Summary!M89:M93)</f>
        <v>626.74797268146824</v>
      </c>
      <c r="N25" s="875">
        <f>SUM(Summary!N79:N83,Summary!N89:N93)</f>
        <v>768.95581020032944</v>
      </c>
      <c r="O25" s="875">
        <f>SUM(Summary!O79:O83,Summary!O89:O93)</f>
        <v>829.17344412683747</v>
      </c>
      <c r="P25" s="875">
        <f>SUM(Summary!P79:P83,Summary!P89:P93)</f>
        <v>834.57984617977411</v>
      </c>
      <c r="Q25" s="875">
        <f>SUM(Summary!Q79:Q83,Summary!Q89:Q93)</f>
        <v>775.39117515711291</v>
      </c>
      <c r="R25" s="875">
        <f>SUM(Summary!R79:R83,Summary!R89:R93)</f>
        <v>704.97917063109401</v>
      </c>
      <c r="S25" s="875">
        <f>SUM(Summary!S79:S83,Summary!S89:S93)</f>
        <v>700.62328232420873</v>
      </c>
      <c r="T25" s="875">
        <f>SUM(Summary!T79:T83,Summary!T89:T93)</f>
        <v>775.45916977680099</v>
      </c>
      <c r="U25" s="875">
        <f>SUM(Summary!U79:U83,Summary!U89:U93)</f>
        <v>903.5180795626685</v>
      </c>
      <c r="V25" s="875">
        <f>SUM(Summary!V79:V83,Summary!V89:V93)</f>
        <v>1032.0652744345393</v>
      </c>
      <c r="W25" s="875">
        <f>SUM(Summary!W79:W83,Summary!W89:W93)</f>
        <v>1140.8420429018124</v>
      </c>
      <c r="X25" s="875">
        <f>SUM(Summary!X79:X83,Summary!X89:X93)</f>
        <v>1621.3344593676993</v>
      </c>
      <c r="Y25" s="875">
        <f>SUM(Summary!Y79:Y83,Summary!Y89:Y93)</f>
        <v>2143.4346865393627</v>
      </c>
      <c r="Z25" s="875">
        <f>SUM(Summary!Z79:Z83,Summary!Z89:Z93)</f>
        <v>2369.1542232197421</v>
      </c>
      <c r="AA25" s="875">
        <f>SUM(Summary!AA79:AA83,Summary!AA89:AA93)</f>
        <v>2733.7254809027677</v>
      </c>
      <c r="AB25" s="875">
        <f>SUM(Summary!AB79:AB83,Summary!AB89:AB93)</f>
        <v>3146.7855897195486</v>
      </c>
      <c r="AC25" s="875">
        <f>SUM(Summary!AC79:AC83,Summary!AC89:AC93)</f>
        <v>3496.3561016985823</v>
      </c>
      <c r="AD25" s="875">
        <f>SUM(Summary!AD79:AD83,Summary!AD89:AD93)</f>
        <v>3849.8591831538401</v>
      </c>
      <c r="AE25" s="875">
        <f>SUM(Summary!AE79:AE83,Summary!AE89:AE93)</f>
        <v>4199.4938489090782</v>
      </c>
      <c r="AF25" s="875">
        <f>SUM(Summary!AF79:AF83,Summary!AF89:AF93)</f>
        <v>4560.2179839138635</v>
      </c>
      <c r="AG25" s="875">
        <f>SUM(Summary!AG79:AG83,Summary!AG89:AG93)</f>
        <v>4925.7687726813729</v>
      </c>
      <c r="AH25" s="875">
        <f>SUM(Summary!AH79:AH83,Summary!AH89:AH93)</f>
        <v>5295.7126237151278</v>
      </c>
      <c r="AI25" s="862"/>
      <c r="AJ25" s="862"/>
      <c r="AK25" s="862"/>
      <c r="AL25" s="862"/>
      <c r="AM25" s="862"/>
      <c r="AN25" s="862"/>
      <c r="AO25" s="862"/>
      <c r="AP25" s="862"/>
      <c r="AQ25" s="862"/>
      <c r="AR25" s="862"/>
    </row>
    <row r="26" spans="1:44">
      <c r="A26" s="873" t="str">
        <f>Summary!A$68</f>
        <v>Europe</v>
      </c>
      <c r="B26" s="873" t="str">
        <f>Summary!B$68</f>
        <v>Italy</v>
      </c>
      <c r="C26" s="872" t="s">
        <v>893</v>
      </c>
      <c r="D26" s="872" t="str">
        <f>$D$19</f>
        <v>EUR (m)</v>
      </c>
      <c r="E26" s="872" t="s">
        <v>606</v>
      </c>
      <c r="G26" s="875">
        <f>SUM(Summary!G84:G86,Summary!G94:G96)</f>
        <v>0</v>
      </c>
      <c r="H26" s="875">
        <f>SUM(Summary!H84:H86,Summary!H94:H96)</f>
        <v>0</v>
      </c>
      <c r="I26" s="875">
        <f>SUM(Summary!I84:I86,Summary!I94:I96)</f>
        <v>0</v>
      </c>
      <c r="J26" s="875">
        <f>SUM(Summary!J84:J86,Summary!J94:J96)</f>
        <v>0</v>
      </c>
      <c r="K26" s="875">
        <f>SUM(Summary!K84:K86,Summary!K94:K96)</f>
        <v>0</v>
      </c>
      <c r="L26" s="875">
        <f>SUM(Summary!L84:L86,Summary!L94:L96)</f>
        <v>0</v>
      </c>
      <c r="M26" s="875">
        <f>SUM(Summary!M84:M86,Summary!M94:M96)</f>
        <v>3.8088797412717925</v>
      </c>
      <c r="N26" s="875">
        <f>SUM(Summary!N84:N86,Summary!N94:N96)</f>
        <v>10.569165</v>
      </c>
      <c r="O26" s="875">
        <f>SUM(Summary!O84:O86,Summary!O94:O96)</f>
        <v>7.5885309999999997</v>
      </c>
      <c r="P26" s="875">
        <f>SUM(Summary!P84:P86,Summary!P94:P96)</f>
        <v>13</v>
      </c>
      <c r="Q26" s="875">
        <f>SUM(Summary!Q84:Q86,Summary!Q94:Q96)</f>
        <v>13</v>
      </c>
      <c r="R26" s="875">
        <f>SUM(Summary!R84:R86,Summary!R94:R96)</f>
        <v>17</v>
      </c>
      <c r="S26" s="875">
        <f>SUM(Summary!S84:S86,Summary!S94:S96)</f>
        <v>18</v>
      </c>
      <c r="T26" s="875">
        <f>SUM(Summary!T84:T86,Summary!T94:T96)</f>
        <v>30</v>
      </c>
      <c r="U26" s="875">
        <f>SUM(Summary!U84:U86,Summary!U94:U96)</f>
        <v>37.899999999999977</v>
      </c>
      <c r="V26" s="875">
        <f>SUM(Summary!V84:V86,Summary!V94:V96)</f>
        <v>48.789999999999992</v>
      </c>
      <c r="W26" s="875">
        <f>SUM(Summary!W84:W86,Summary!W94:W96)</f>
        <v>58.11</v>
      </c>
      <c r="X26" s="875">
        <f>SUM(Summary!X84:X86,Summary!X94:X96)</f>
        <v>76.94</v>
      </c>
      <c r="Y26" s="875">
        <f>SUM(Summary!Y84:Y86,Summary!Y94:Y96)</f>
        <v>96.47999999999999</v>
      </c>
      <c r="Z26" s="875">
        <f>SUM(Summary!Z84:Z86,Summary!Z94:Z96)</f>
        <v>120.78</v>
      </c>
      <c r="AA26" s="875">
        <f>SUM(Summary!AA84:AA86,Summary!AA94:AA96)</f>
        <v>110.31177613261812</v>
      </c>
      <c r="AB26" s="875">
        <f>SUM(Summary!AB84:AB86,Summary!AB94:AB96)</f>
        <v>139.17966462248495</v>
      </c>
      <c r="AC26" s="875">
        <f>SUM(Summary!AC84:AC86,Summary!AC94:AC96)</f>
        <v>154.04980008042165</v>
      </c>
      <c r="AD26" s="875">
        <f>SUM(Summary!AD84:AD86,Summary!AD94:AD96)</f>
        <v>171.51988137961996</v>
      </c>
      <c r="AE26" s="875">
        <f>SUM(Summary!AE84:AE86,Summary!AE94:AE96)</f>
        <v>192.58774743529293</v>
      </c>
      <c r="AF26" s="875">
        <f>SUM(Summary!AF84:AF86,Summary!AF94:AF96)</f>
        <v>216.94323380631619</v>
      </c>
      <c r="AG26" s="875">
        <f>SUM(Summary!AG84:AG86,Summary!AG94:AG96)</f>
        <v>245.6305754426628</v>
      </c>
      <c r="AH26" s="875">
        <f>SUM(Summary!AH84:AH86,Summary!AH94:AH96)</f>
        <v>279.59047950574762</v>
      </c>
      <c r="AI26" s="862"/>
      <c r="AJ26" s="862"/>
      <c r="AK26" s="862"/>
      <c r="AL26" s="862"/>
      <c r="AM26" s="862"/>
      <c r="AN26" s="862"/>
      <c r="AO26" s="862"/>
      <c r="AP26" s="862"/>
      <c r="AQ26" s="862"/>
      <c r="AR26" s="862"/>
    </row>
    <row r="27" spans="1:44">
      <c r="A27" s="876" t="str">
        <f>Summary!A$68</f>
        <v>Europe</v>
      </c>
      <c r="B27" s="877" t="str">
        <f>Summary!B$68</f>
        <v>Italy</v>
      </c>
      <c r="C27" s="877" t="s">
        <v>893</v>
      </c>
      <c r="D27" s="877" t="str">
        <f>$D$19</f>
        <v>EUR (m)</v>
      </c>
      <c r="E27" s="877" t="s">
        <v>607</v>
      </c>
      <c r="F27" s="877"/>
      <c r="G27" s="878">
        <f t="shared" ref="G27:AG27" si="2">SUM(G24:G26)</f>
        <v>77.06520563446982</v>
      </c>
      <c r="H27" s="878">
        <f t="shared" si="2"/>
        <v>138.71087708233318</v>
      </c>
      <c r="I27" s="878">
        <f t="shared" si="2"/>
        <v>230.70176899108978</v>
      </c>
      <c r="J27" s="878">
        <f t="shared" si="2"/>
        <v>281.38891317035564</v>
      </c>
      <c r="K27" s="878">
        <f t="shared" si="2"/>
        <v>433.47753117759538</v>
      </c>
      <c r="L27" s="878">
        <f t="shared" si="2"/>
        <v>569.77928418105569</v>
      </c>
      <c r="M27" s="878">
        <f t="shared" si="2"/>
        <v>869.9444952387305</v>
      </c>
      <c r="N27" s="878">
        <f t="shared" si="2"/>
        <v>1059.026785389701</v>
      </c>
      <c r="O27" s="878">
        <f t="shared" si="2"/>
        <v>1103.2732168584084</v>
      </c>
      <c r="P27" s="878">
        <f t="shared" si="2"/>
        <v>1068.7400584929817</v>
      </c>
      <c r="Q27" s="878">
        <f t="shared" si="2"/>
        <v>1041.105795885346</v>
      </c>
      <c r="R27" s="878">
        <f t="shared" si="2"/>
        <v>1011.5285372610252</v>
      </c>
      <c r="S27" s="878">
        <f t="shared" si="2"/>
        <v>1062.6796285496373</v>
      </c>
      <c r="T27" s="878">
        <f t="shared" si="2"/>
        <v>1238.7943980434563</v>
      </c>
      <c r="U27" s="878">
        <f t="shared" si="2"/>
        <v>1579.6337632665777</v>
      </c>
      <c r="V27" s="878">
        <f t="shared" si="2"/>
        <v>1822.1099565297127</v>
      </c>
      <c r="W27" s="878">
        <f t="shared" si="2"/>
        <v>2037.4150253709572</v>
      </c>
      <c r="X27" s="878">
        <f t="shared" si="2"/>
        <v>2844.4488745771264</v>
      </c>
      <c r="Y27" s="878">
        <f t="shared" si="2"/>
        <v>3885.9275747529878</v>
      </c>
      <c r="Z27" s="878">
        <f t="shared" si="2"/>
        <v>4044.676750276089</v>
      </c>
      <c r="AA27" s="878">
        <f t="shared" si="2"/>
        <v>4557.3625539731102</v>
      </c>
      <c r="AB27" s="878">
        <f t="shared" si="2"/>
        <v>5184.837537809678</v>
      </c>
      <c r="AC27" s="878">
        <f t="shared" si="2"/>
        <v>5778.8179282172405</v>
      </c>
      <c r="AD27" s="878">
        <f t="shared" si="2"/>
        <v>6430.8382557089517</v>
      </c>
      <c r="AE27" s="878">
        <f t="shared" si="2"/>
        <v>7046.5150662965134</v>
      </c>
      <c r="AF27" s="878">
        <f t="shared" si="2"/>
        <v>7697.1763388373793</v>
      </c>
      <c r="AG27" s="878">
        <f t="shared" si="2"/>
        <v>8376.3135382508208</v>
      </c>
      <c r="AH27" s="878">
        <f t="shared" ref="AH27" si="3">SUM(AH24:AH26)</f>
        <v>8986.5514009434901</v>
      </c>
      <c r="AI27" s="862"/>
      <c r="AJ27" s="862"/>
      <c r="AK27" s="862"/>
      <c r="AL27" s="862"/>
      <c r="AM27" s="862"/>
      <c r="AN27" s="862"/>
      <c r="AO27" s="862"/>
      <c r="AP27" s="862"/>
      <c r="AQ27" s="862"/>
      <c r="AR27" s="862"/>
    </row>
    <row r="28" spans="1:44">
      <c r="A28" s="873"/>
      <c r="B28" s="873"/>
      <c r="G28" s="875"/>
      <c r="H28" s="875"/>
      <c r="I28" s="875"/>
      <c r="J28" s="875"/>
      <c r="K28" s="875"/>
      <c r="L28" s="875"/>
      <c r="M28" s="875"/>
      <c r="N28" s="875"/>
      <c r="O28" s="875"/>
      <c r="P28" s="875"/>
      <c r="Q28" s="875"/>
      <c r="R28" s="875"/>
      <c r="S28" s="875"/>
      <c r="T28" s="875"/>
      <c r="U28" s="875"/>
      <c r="V28" s="875"/>
      <c r="W28" s="875"/>
      <c r="X28" s="875"/>
      <c r="Y28" s="875"/>
      <c r="Z28" s="875"/>
      <c r="AA28" s="875"/>
      <c r="AB28" s="875"/>
      <c r="AC28" s="875"/>
      <c r="AD28" s="875"/>
      <c r="AE28" s="875"/>
      <c r="AF28" s="875"/>
      <c r="AG28" s="875"/>
      <c r="AH28" s="875"/>
      <c r="AI28" s="862"/>
      <c r="AJ28" s="862"/>
      <c r="AK28" s="862"/>
      <c r="AL28" s="862"/>
      <c r="AM28" s="862"/>
      <c r="AN28" s="862"/>
      <c r="AO28" s="862"/>
      <c r="AP28" s="862"/>
      <c r="AQ28" s="862"/>
      <c r="AR28" s="862"/>
    </row>
    <row r="29" spans="1:44">
      <c r="A29" s="873" t="str">
        <f>Summary!A$68</f>
        <v>Europe</v>
      </c>
      <c r="B29" s="873" t="str">
        <f>Summary!B$68</f>
        <v>Italy</v>
      </c>
      <c r="C29" s="872" t="s">
        <v>893</v>
      </c>
      <c r="D29" s="872" t="str">
        <f>$D$19</f>
        <v>EUR (m)</v>
      </c>
      <c r="E29" s="872" t="s">
        <v>262</v>
      </c>
      <c r="G29" s="875">
        <f t="shared" ref="G29:AG31" si="4">G19+G24</f>
        <v>1375.0163923923799</v>
      </c>
      <c r="H29" s="875">
        <f t="shared" si="4"/>
        <v>1403.4493073623566</v>
      </c>
      <c r="I29" s="875">
        <f t="shared" si="4"/>
        <v>1419.6499784799735</v>
      </c>
      <c r="J29" s="875">
        <f t="shared" si="4"/>
        <v>1669.9793064472522</v>
      </c>
      <c r="K29" s="875">
        <f t="shared" si="4"/>
        <v>1680.0757312301678</v>
      </c>
      <c r="L29" s="875">
        <f t="shared" si="4"/>
        <v>1778.2421093203232</v>
      </c>
      <c r="M29" s="875">
        <f t="shared" si="4"/>
        <v>1569.3331907375189</v>
      </c>
      <c r="N29" s="875">
        <f t="shared" si="4"/>
        <v>1545.8325291893714</v>
      </c>
      <c r="O29" s="875">
        <f t="shared" si="4"/>
        <v>1358.5174134315707</v>
      </c>
      <c r="P29" s="875">
        <f t="shared" si="4"/>
        <v>1035.1602123132075</v>
      </c>
      <c r="Q29" s="875">
        <f t="shared" si="4"/>
        <v>1071.514620728233</v>
      </c>
      <c r="R29" s="875">
        <f t="shared" si="4"/>
        <v>1248.5493666299312</v>
      </c>
      <c r="S29" s="875">
        <f t="shared" si="4"/>
        <v>1199.0563462254286</v>
      </c>
      <c r="T29" s="875">
        <f t="shared" si="4"/>
        <v>1357.3352282666553</v>
      </c>
      <c r="U29" s="875">
        <f t="shared" si="4"/>
        <v>1786.2156837039092</v>
      </c>
      <c r="V29" s="875">
        <f t="shared" si="4"/>
        <v>1958.4339701951735</v>
      </c>
      <c r="W29" s="875">
        <f t="shared" si="4"/>
        <v>2094.7129946691448</v>
      </c>
      <c r="X29" s="875">
        <f t="shared" si="4"/>
        <v>1951.8349999999998</v>
      </c>
      <c r="Y29" s="875">
        <f t="shared" si="4"/>
        <v>2240.1383236299998</v>
      </c>
      <c r="Z29" s="875">
        <f t="shared" si="4"/>
        <v>2853.1762219263464</v>
      </c>
      <c r="AA29" s="875">
        <f t="shared" si="4"/>
        <v>3130.4686899040744</v>
      </c>
      <c r="AB29" s="875">
        <f t="shared" si="4"/>
        <v>3389.2607282548042</v>
      </c>
      <c r="AC29" s="875">
        <f t="shared" si="4"/>
        <v>3775.4157487165285</v>
      </c>
      <c r="AD29" s="875">
        <f t="shared" si="4"/>
        <v>4066.0137407585007</v>
      </c>
      <c r="AE29" s="875">
        <f t="shared" si="4"/>
        <v>4364.7726751281771</v>
      </c>
      <c r="AF29" s="875">
        <f t="shared" si="4"/>
        <v>4680.3741119370816</v>
      </c>
      <c r="AG29" s="875">
        <f t="shared" si="4"/>
        <v>5009.1348114191478</v>
      </c>
      <c r="AH29" s="875">
        <f t="shared" ref="AH29" si="5">AH19+AH24</f>
        <v>5355.4139382048043</v>
      </c>
      <c r="AI29" s="862"/>
      <c r="AJ29" s="862"/>
      <c r="AK29" s="862"/>
      <c r="AL29" s="862"/>
      <c r="AM29" s="862"/>
      <c r="AN29" s="862"/>
      <c r="AO29" s="862"/>
      <c r="AP29" s="862"/>
      <c r="AQ29" s="862"/>
      <c r="AR29" s="862"/>
    </row>
    <row r="30" spans="1:44">
      <c r="A30" s="873" t="str">
        <f>Summary!A$68</f>
        <v>Europe</v>
      </c>
      <c r="B30" s="873" t="str">
        <f>Summary!B$68</f>
        <v>Italy</v>
      </c>
      <c r="C30" s="872" t="s">
        <v>893</v>
      </c>
      <c r="D30" s="872" t="str">
        <f>$D$19</f>
        <v>EUR (m)</v>
      </c>
      <c r="E30" s="872" t="s">
        <v>301</v>
      </c>
      <c r="G30" s="875">
        <f t="shared" si="4"/>
        <v>1179.4165515157395</v>
      </c>
      <c r="H30" s="875">
        <f t="shared" si="4"/>
        <v>2411.5502049410075</v>
      </c>
      <c r="I30" s="875">
        <f t="shared" si="4"/>
        <v>4156.7142393987524</v>
      </c>
      <c r="J30" s="875">
        <f t="shared" si="4"/>
        <v>5331.2296650728231</v>
      </c>
      <c r="K30" s="875">
        <f t="shared" si="4"/>
        <v>6254.0210561243903</v>
      </c>
      <c r="L30" s="875">
        <f t="shared" si="4"/>
        <v>6987.2517846571882</v>
      </c>
      <c r="M30" s="875">
        <f t="shared" si="4"/>
        <v>7804.5279726814679</v>
      </c>
      <c r="N30" s="875">
        <f t="shared" si="4"/>
        <v>9529.1722884612009</v>
      </c>
      <c r="O30" s="875">
        <f t="shared" si="4"/>
        <v>10920.437444126837</v>
      </c>
      <c r="P30" s="875">
        <f t="shared" si="4"/>
        <v>12000.80569752257</v>
      </c>
      <c r="Q30" s="875">
        <f t="shared" si="4"/>
        <v>11082.391175157112</v>
      </c>
      <c r="R30" s="875">
        <f t="shared" si="4"/>
        <v>10792.607233877101</v>
      </c>
      <c r="S30" s="875">
        <f t="shared" si="4"/>
        <v>11024.623282324208</v>
      </c>
      <c r="T30" s="875">
        <f t="shared" si="4"/>
        <v>12026.762920412837</v>
      </c>
      <c r="U30" s="875">
        <f t="shared" si="4"/>
        <v>12213.806354426306</v>
      </c>
      <c r="V30" s="875">
        <f t="shared" si="4"/>
        <v>12076.74541030454</v>
      </c>
      <c r="W30" s="875">
        <f t="shared" si="4"/>
        <v>12216.38190146078</v>
      </c>
      <c r="X30" s="875">
        <f t="shared" si="4"/>
        <v>6789.9731672369135</v>
      </c>
      <c r="Y30" s="875">
        <f t="shared" si="4"/>
        <v>7170.6887987733626</v>
      </c>
      <c r="Z30" s="875">
        <f t="shared" si="4"/>
        <v>11575.639760044742</v>
      </c>
      <c r="AA30" s="875">
        <f t="shared" si="4"/>
        <v>11894.940966983619</v>
      </c>
      <c r="AB30" s="875">
        <f t="shared" si="4"/>
        <v>11916.45224332522</v>
      </c>
      <c r="AC30" s="875">
        <f t="shared" si="4"/>
        <v>11819.821153626603</v>
      </c>
      <c r="AD30" s="875">
        <f t="shared" si="4"/>
        <v>11862.584624987441</v>
      </c>
      <c r="AE30" s="875">
        <f t="shared" si="4"/>
        <v>11976.732163439156</v>
      </c>
      <c r="AF30" s="875">
        <f t="shared" si="4"/>
        <v>12183.11493924274</v>
      </c>
      <c r="AG30" s="875">
        <f t="shared" si="4"/>
        <v>12452.039804522188</v>
      </c>
      <c r="AH30" s="875">
        <f t="shared" ref="AH30" si="6">AH20+AH25</f>
        <v>12770.270368330612</v>
      </c>
      <c r="AI30" s="862"/>
      <c r="AJ30" s="862"/>
      <c r="AK30" s="862"/>
      <c r="AL30" s="862"/>
      <c r="AM30" s="862"/>
      <c r="AN30" s="862"/>
      <c r="AO30" s="862"/>
      <c r="AP30" s="862"/>
      <c r="AQ30" s="862"/>
      <c r="AR30" s="862"/>
    </row>
    <row r="31" spans="1:44">
      <c r="A31" s="873" t="str">
        <f>Summary!A$68</f>
        <v>Europe</v>
      </c>
      <c r="B31" s="873" t="str">
        <f>Summary!B$68</f>
        <v>Italy</v>
      </c>
      <c r="C31" s="872" t="s">
        <v>893</v>
      </c>
      <c r="D31" s="872" t="str">
        <f>$D$19</f>
        <v>EUR (m)</v>
      </c>
      <c r="E31" s="872" t="s">
        <v>894</v>
      </c>
      <c r="G31" s="875">
        <f t="shared" si="4"/>
        <v>4837.583494642764</v>
      </c>
      <c r="H31" s="875">
        <f t="shared" si="4"/>
        <v>6972.3117955686721</v>
      </c>
      <c r="I31" s="875">
        <f t="shared" si="4"/>
        <v>5157.7037586161332</v>
      </c>
      <c r="J31" s="875">
        <f t="shared" si="4"/>
        <v>5547.207045627827</v>
      </c>
      <c r="K31" s="875">
        <f t="shared" si="4"/>
        <v>6357</v>
      </c>
      <c r="L31" s="875">
        <f t="shared" si="4"/>
        <v>6962</v>
      </c>
      <c r="M31" s="875">
        <f t="shared" si="4"/>
        <v>7544.9999999999991</v>
      </c>
      <c r="N31" s="875">
        <f t="shared" si="4"/>
        <v>6888.9999999999991</v>
      </c>
      <c r="O31" s="875">
        <f t="shared" si="4"/>
        <v>6986.0000000000009</v>
      </c>
      <c r="P31" s="875">
        <f t="shared" si="4"/>
        <v>5936</v>
      </c>
      <c r="Q31" s="875">
        <f t="shared" si="4"/>
        <v>5657</v>
      </c>
      <c r="R31" s="875">
        <f t="shared" si="4"/>
        <v>5436</v>
      </c>
      <c r="S31" s="875">
        <f t="shared" si="4"/>
        <v>5419</v>
      </c>
      <c r="T31" s="875">
        <f t="shared" si="4"/>
        <v>6229</v>
      </c>
      <c r="U31" s="875">
        <f t="shared" si="4"/>
        <v>5480</v>
      </c>
      <c r="V31" s="875">
        <f t="shared" si="4"/>
        <v>5393.26</v>
      </c>
      <c r="W31" s="875">
        <f t="shared" si="4"/>
        <v>5554.2599999999993</v>
      </c>
      <c r="X31" s="875">
        <f t="shared" si="4"/>
        <v>4546.4899999999989</v>
      </c>
      <c r="Y31" s="875">
        <f t="shared" si="4"/>
        <v>6316.07</v>
      </c>
      <c r="Z31" s="875">
        <f t="shared" si="4"/>
        <v>6197.64</v>
      </c>
      <c r="AA31" s="875">
        <f t="shared" si="4"/>
        <v>5935.0000000000009</v>
      </c>
      <c r="AB31" s="875">
        <f t="shared" si="4"/>
        <v>6485.0999999999995</v>
      </c>
      <c r="AC31" s="875">
        <f t="shared" si="4"/>
        <v>6656.1893611512423</v>
      </c>
      <c r="AD31" s="875">
        <f t="shared" si="4"/>
        <v>6848.3599340626042</v>
      </c>
      <c r="AE31" s="875">
        <f t="shared" si="4"/>
        <v>7070.2533497947315</v>
      </c>
      <c r="AF31" s="875">
        <f t="shared" si="4"/>
        <v>7297.0826971921069</v>
      </c>
      <c r="AG31" s="875">
        <f t="shared" si="4"/>
        <v>7539.4889934779003</v>
      </c>
      <c r="AH31" s="875">
        <f t="shared" ref="AH31" si="7">AH21+AH26</f>
        <v>7800.3791829141619</v>
      </c>
      <c r="AI31" s="862"/>
      <c r="AJ31" s="862"/>
      <c r="AK31" s="862"/>
      <c r="AL31" s="862"/>
      <c r="AM31" s="862"/>
      <c r="AN31" s="862"/>
      <c r="AO31" s="862"/>
      <c r="AP31" s="862"/>
      <c r="AQ31" s="862"/>
      <c r="AR31" s="862"/>
    </row>
    <row r="32" spans="1:44">
      <c r="A32" s="876" t="str">
        <f>Summary!A$68</f>
        <v>Europe</v>
      </c>
      <c r="B32" s="877" t="str">
        <f>Summary!B$68</f>
        <v>Italy</v>
      </c>
      <c r="C32" s="877" t="s">
        <v>893</v>
      </c>
      <c r="D32" s="877" t="str">
        <f>$D$19</f>
        <v>EUR (m)</v>
      </c>
      <c r="E32" s="877" t="s">
        <v>895</v>
      </c>
      <c r="F32" s="877"/>
      <c r="G32" s="878">
        <f t="shared" ref="G32:AG32" si="8">SUM(G29:G31)</f>
        <v>7392.0164385508833</v>
      </c>
      <c r="H32" s="878">
        <f t="shared" si="8"/>
        <v>10787.311307872036</v>
      </c>
      <c r="I32" s="878">
        <f t="shared" si="8"/>
        <v>10734.067976494858</v>
      </c>
      <c r="J32" s="878">
        <f t="shared" si="8"/>
        <v>12548.416017147902</v>
      </c>
      <c r="K32" s="878">
        <f t="shared" si="8"/>
        <v>14291.096787354558</v>
      </c>
      <c r="L32" s="878">
        <f t="shared" si="8"/>
        <v>15727.493893977511</v>
      </c>
      <c r="M32" s="878">
        <f t="shared" si="8"/>
        <v>16918.861163418987</v>
      </c>
      <c r="N32" s="878">
        <f t="shared" si="8"/>
        <v>17964.00481765057</v>
      </c>
      <c r="O32" s="878">
        <f t="shared" si="8"/>
        <v>19264.954857558409</v>
      </c>
      <c r="P32" s="878">
        <f t="shared" si="8"/>
        <v>18971.965909835777</v>
      </c>
      <c r="Q32" s="878">
        <f t="shared" si="8"/>
        <v>17810.905795885345</v>
      </c>
      <c r="R32" s="878">
        <f t="shared" si="8"/>
        <v>17477.156600507034</v>
      </c>
      <c r="S32" s="878">
        <f t="shared" si="8"/>
        <v>17642.679628549638</v>
      </c>
      <c r="T32" s="878">
        <f t="shared" si="8"/>
        <v>19613.098148679492</v>
      </c>
      <c r="U32" s="878">
        <f t="shared" si="8"/>
        <v>19480.022038130213</v>
      </c>
      <c r="V32" s="878">
        <f t="shared" si="8"/>
        <v>19428.439380499716</v>
      </c>
      <c r="W32" s="878">
        <f t="shared" si="8"/>
        <v>19865.354896129924</v>
      </c>
      <c r="X32" s="878">
        <f t="shared" si="8"/>
        <v>13288.298167236913</v>
      </c>
      <c r="Y32" s="878">
        <f t="shared" si="8"/>
        <v>15726.897122403363</v>
      </c>
      <c r="Z32" s="878">
        <f t="shared" si="8"/>
        <v>20626.455981971088</v>
      </c>
      <c r="AA32" s="878">
        <f t="shared" si="8"/>
        <v>20960.409656887692</v>
      </c>
      <c r="AB32" s="878">
        <f t="shared" si="8"/>
        <v>21790.812971580024</v>
      </c>
      <c r="AC32" s="878">
        <f t="shared" si="8"/>
        <v>22251.426263494373</v>
      </c>
      <c r="AD32" s="878">
        <f t="shared" si="8"/>
        <v>22776.958299808546</v>
      </c>
      <c r="AE32" s="878">
        <f t="shared" si="8"/>
        <v>23411.758188362066</v>
      </c>
      <c r="AF32" s="878">
        <f t="shared" si="8"/>
        <v>24160.571748371927</v>
      </c>
      <c r="AG32" s="878">
        <f t="shared" si="8"/>
        <v>25000.663609419236</v>
      </c>
      <c r="AH32" s="878">
        <f t="shared" ref="AH32" si="9">SUM(AH29:AH31)</f>
        <v>25926.063489449578</v>
      </c>
      <c r="AI32" s="862"/>
      <c r="AJ32" s="862"/>
      <c r="AK32" s="862"/>
      <c r="AL32" s="862"/>
      <c r="AM32" s="862"/>
      <c r="AN32" s="862"/>
      <c r="AO32" s="862"/>
      <c r="AP32" s="862"/>
      <c r="AQ32" s="862"/>
      <c r="AR32" s="862"/>
    </row>
    <row r="33" spans="1:44">
      <c r="A33" s="873"/>
      <c r="B33" s="873"/>
      <c r="G33" s="875"/>
      <c r="H33" s="875"/>
      <c r="I33" s="875"/>
      <c r="J33" s="875"/>
      <c r="K33" s="875"/>
      <c r="L33" s="875"/>
      <c r="M33" s="875"/>
      <c r="N33" s="875"/>
      <c r="O33" s="875"/>
      <c r="P33" s="875"/>
      <c r="Q33" s="875"/>
      <c r="R33" s="875"/>
      <c r="S33" s="875"/>
      <c r="T33" s="879"/>
      <c r="U33" s="875"/>
      <c r="V33" s="875"/>
      <c r="W33" s="875"/>
      <c r="X33" s="875"/>
      <c r="Y33" s="875"/>
      <c r="Z33" s="875"/>
      <c r="AA33" s="875"/>
      <c r="AB33" s="875"/>
      <c r="AC33" s="875"/>
      <c r="AD33" s="875"/>
      <c r="AE33" s="875"/>
      <c r="AF33" s="875"/>
      <c r="AG33" s="875"/>
      <c r="AH33" s="875"/>
      <c r="AI33" s="862"/>
      <c r="AJ33" s="862"/>
      <c r="AK33" s="862"/>
      <c r="AL33" s="862"/>
      <c r="AM33" s="862"/>
      <c r="AN33" s="862"/>
      <c r="AO33" s="862"/>
      <c r="AP33" s="862"/>
      <c r="AQ33" s="862"/>
      <c r="AR33" s="862"/>
    </row>
    <row r="34" spans="1:44">
      <c r="A34" s="873" t="str">
        <f>Summary!A$68</f>
        <v>Europe</v>
      </c>
      <c r="B34" s="873" t="str">
        <f>Summary!B$68</f>
        <v>Italy</v>
      </c>
      <c r="C34" s="872" t="s">
        <v>893</v>
      </c>
      <c r="D34" s="872" t="str">
        <f>$D$19</f>
        <v>EUR (m)</v>
      </c>
      <c r="E34" s="872" t="s">
        <v>896</v>
      </c>
      <c r="G34" s="875">
        <f>SUM(Summary!G77:G83)</f>
        <v>0</v>
      </c>
      <c r="H34" s="875">
        <f>SUM(Summary!H77:H83)</f>
        <v>0</v>
      </c>
      <c r="I34" s="875">
        <f>SUM(Summary!I77:I83)</f>
        <v>0</v>
      </c>
      <c r="J34" s="875">
        <f>SUM(Summary!J77:J83)</f>
        <v>0</v>
      </c>
      <c r="K34" s="875">
        <f>SUM(Summary!K77:K83)</f>
        <v>72.78574382303735</v>
      </c>
      <c r="L34" s="875">
        <f>SUM(Summary!L77:L83)</f>
        <v>207.77063668902628</v>
      </c>
      <c r="M34" s="875">
        <f>SUM(Summary!M77:M83)</f>
        <v>491.09246983889233</v>
      </c>
      <c r="N34" s="875">
        <f>SUM(Summary!N77:N83)</f>
        <v>662.359599</v>
      </c>
      <c r="O34" s="875">
        <f>SUM(Summary!O77:O83)</f>
        <v>717.88084600000002</v>
      </c>
      <c r="P34" s="875">
        <f>SUM(Summary!P77:P83)</f>
        <v>730.7541486572045</v>
      </c>
      <c r="Q34" s="875">
        <f>SUM(Summary!Q77:Q83)</f>
        <v>713.19999999999993</v>
      </c>
      <c r="R34" s="875">
        <f>SUM(Summary!R77:R83)</f>
        <v>711</v>
      </c>
      <c r="S34" s="875">
        <f>SUM(Summary!S77:S83)</f>
        <v>803.99999999999989</v>
      </c>
      <c r="T34" s="875">
        <f>SUM(Summary!T77:T83)</f>
        <v>989.99999999999989</v>
      </c>
      <c r="U34" s="875">
        <f>SUM(Summary!U77:U83)</f>
        <v>1338.8800000000003</v>
      </c>
      <c r="V34" s="875">
        <f>SUM(Summary!V77:V83)</f>
        <v>1572.9299667099999</v>
      </c>
      <c r="W34" s="875">
        <f>SUM(Summary!W77:W83)</f>
        <v>1789.102127960761</v>
      </c>
      <c r="X34" s="875">
        <f>SUM(Summary!X77:X83)</f>
        <v>2594.3199962187077</v>
      </c>
      <c r="Y34" s="875">
        <f>SUM(Summary!Y77:Y83)</f>
        <v>3620.9414585596246</v>
      </c>
      <c r="Z34" s="875">
        <f>SUM(Summary!Z77:Z83)</f>
        <v>3759.3875785649998</v>
      </c>
      <c r="AA34" s="875">
        <f>SUM(Summary!AA77:AA83)</f>
        <v>4282.841549131067</v>
      </c>
      <c r="AB34" s="875">
        <f>SUM(Summary!AB77:AB83)</f>
        <v>4898.2190561722191</v>
      </c>
      <c r="AC34" s="875">
        <f>SUM(Summary!AC77:AC83)</f>
        <v>5489.6124016498225</v>
      </c>
      <c r="AD34" s="875">
        <f>SUM(Summary!AD77:AD83)</f>
        <v>6135.6352759139254</v>
      </c>
      <c r="AE34" s="875">
        <f>SUM(Summary!AE77:AE83)</f>
        <v>6743.9872871900052</v>
      </c>
      <c r="AF34" s="875">
        <f>SUM(Summary!AF77:AF83)</f>
        <v>7384.7078237017222</v>
      </c>
      <c r="AG34" s="875">
        <f>SUM(Summary!AG77:AG83)</f>
        <v>8051.6557526119668</v>
      </c>
      <c r="AH34" s="875">
        <f>SUM(Summary!AH77:AH83)</f>
        <v>8639.117635728966</v>
      </c>
      <c r="AI34" s="862"/>
      <c r="AJ34" s="862"/>
      <c r="AK34" s="862"/>
      <c r="AL34" s="862"/>
      <c r="AM34" s="862"/>
      <c r="AN34" s="862"/>
      <c r="AO34" s="862"/>
      <c r="AP34" s="862"/>
      <c r="AQ34" s="862"/>
      <c r="AR34" s="862"/>
    </row>
    <row r="35" spans="1:44">
      <c r="A35" s="873" t="str">
        <f>Summary!A$68</f>
        <v>Europe</v>
      </c>
      <c r="B35" s="873" t="str">
        <f>Summary!B$68</f>
        <v>Italy</v>
      </c>
      <c r="C35" s="872" t="s">
        <v>893</v>
      </c>
      <c r="D35" s="872" t="str">
        <f>$D$19</f>
        <v>EUR (m)</v>
      </c>
      <c r="E35" s="872" t="s">
        <v>897</v>
      </c>
      <c r="G35" s="875">
        <f>SUM(Summary!G87:G93)</f>
        <v>77.06520563446982</v>
      </c>
      <c r="H35" s="875">
        <f>SUM(Summary!H87:H93)</f>
        <v>138.71087708233316</v>
      </c>
      <c r="I35" s="875">
        <f>SUM(Summary!I87:I93)</f>
        <v>230.70176899108978</v>
      </c>
      <c r="J35" s="875">
        <f>SUM(Summary!J87:J93)</f>
        <v>281.38891317035564</v>
      </c>
      <c r="K35" s="875">
        <f>SUM(Summary!K87:K93)</f>
        <v>360.69178735455796</v>
      </c>
      <c r="L35" s="875">
        <f>SUM(Summary!L87:L93)</f>
        <v>362.00864749202941</v>
      </c>
      <c r="M35" s="875">
        <f>SUM(Summary!M87:M93)</f>
        <v>375.04314565856646</v>
      </c>
      <c r="N35" s="875">
        <f>SUM(Summary!N87:N93)</f>
        <v>386.09802138970076</v>
      </c>
      <c r="O35" s="875">
        <f>SUM(Summary!O87:O93)</f>
        <v>377.80383985840831</v>
      </c>
      <c r="P35" s="875">
        <f>SUM(Summary!P87:P93)</f>
        <v>324.98590983577714</v>
      </c>
      <c r="Q35" s="875">
        <f>SUM(Summary!Q87:Q93)</f>
        <v>314.90579588534604</v>
      </c>
      <c r="R35" s="875">
        <f>SUM(Summary!R87:R93)</f>
        <v>283.52853726102535</v>
      </c>
      <c r="S35" s="875">
        <f>SUM(Summary!S87:S93)</f>
        <v>240.67962854963724</v>
      </c>
      <c r="T35" s="875">
        <f>SUM(Summary!T87:T93)</f>
        <v>218.79439804345623</v>
      </c>
      <c r="U35" s="875">
        <f>SUM(Summary!U87:U93)</f>
        <v>202.85376326657772</v>
      </c>
      <c r="V35" s="875">
        <f>SUM(Summary!V87:V93)</f>
        <v>200.38998981971272</v>
      </c>
      <c r="W35" s="875">
        <f>SUM(Summary!W87:W93)</f>
        <v>190.2028974101963</v>
      </c>
      <c r="X35" s="875">
        <f>SUM(Summary!X87:X93)</f>
        <v>173.18887835841861</v>
      </c>
      <c r="Y35" s="875">
        <f>SUM(Summary!Y87:Y93)</f>
        <v>168.50611619336297</v>
      </c>
      <c r="Z35" s="875">
        <f>SUM(Summary!Z87:Z93)</f>
        <v>164.5091717110887</v>
      </c>
      <c r="AA35" s="875">
        <f>SUM(Summary!AA87:AA93)</f>
        <v>164.20922870942462</v>
      </c>
      <c r="AB35" s="875">
        <f>SUM(Summary!AB87:AB93)</f>
        <v>147.43881701497398</v>
      </c>
      <c r="AC35" s="875">
        <f>SUM(Summary!AC87:AC93)</f>
        <v>135.15572648699643</v>
      </c>
      <c r="AD35" s="875">
        <f>SUM(Summary!AD87:AD93)</f>
        <v>123.68309841540623</v>
      </c>
      <c r="AE35" s="875">
        <f>SUM(Summary!AE87:AE93)</f>
        <v>109.94003167121519</v>
      </c>
      <c r="AF35" s="875">
        <f>SUM(Summary!AF87:AF93)</f>
        <v>95.525281329340757</v>
      </c>
      <c r="AG35" s="875">
        <f>SUM(Summary!AG87:AG93)</f>
        <v>79.027210196191973</v>
      </c>
      <c r="AH35" s="875">
        <f>SUM(Summary!AH87:AH93)</f>
        <v>67.843285708778808</v>
      </c>
      <c r="AI35" s="862"/>
      <c r="AJ35" s="862"/>
      <c r="AK35" s="862"/>
      <c r="AL35" s="862"/>
      <c r="AM35" s="862"/>
      <c r="AN35" s="862"/>
      <c r="AO35" s="862"/>
      <c r="AP35" s="862"/>
      <c r="AQ35" s="862"/>
      <c r="AR35" s="862"/>
    </row>
    <row r="36" spans="1:44">
      <c r="A36" s="876" t="str">
        <f>Summary!A$68</f>
        <v>Europe</v>
      </c>
      <c r="B36" s="877" t="str">
        <f>Summary!B$68</f>
        <v>Italy</v>
      </c>
      <c r="C36" s="877" t="s">
        <v>893</v>
      </c>
      <c r="D36" s="877" t="str">
        <f>$D$19</f>
        <v>EUR (m)</v>
      </c>
      <c r="E36" s="877" t="s">
        <v>898</v>
      </c>
      <c r="F36" s="877"/>
      <c r="G36" s="878">
        <f t="shared" ref="G36:AG36" si="10">G34+G35</f>
        <v>77.06520563446982</v>
      </c>
      <c r="H36" s="878">
        <f t="shared" si="10"/>
        <v>138.71087708233316</v>
      </c>
      <c r="I36" s="878">
        <f t="shared" si="10"/>
        <v>230.70176899108978</v>
      </c>
      <c r="J36" s="878">
        <f t="shared" si="10"/>
        <v>281.38891317035564</v>
      </c>
      <c r="K36" s="878">
        <f t="shared" si="10"/>
        <v>433.47753117759532</v>
      </c>
      <c r="L36" s="878">
        <f t="shared" si="10"/>
        <v>569.77928418105569</v>
      </c>
      <c r="M36" s="878">
        <f t="shared" si="10"/>
        <v>866.13561549745873</v>
      </c>
      <c r="N36" s="878">
        <f t="shared" si="10"/>
        <v>1048.4576203897009</v>
      </c>
      <c r="O36" s="878">
        <f t="shared" si="10"/>
        <v>1095.6846858584083</v>
      </c>
      <c r="P36" s="878">
        <f t="shared" si="10"/>
        <v>1055.7400584929817</v>
      </c>
      <c r="Q36" s="878">
        <f t="shared" si="10"/>
        <v>1028.105795885346</v>
      </c>
      <c r="R36" s="878">
        <f t="shared" si="10"/>
        <v>994.52853726102535</v>
      </c>
      <c r="S36" s="878">
        <f t="shared" si="10"/>
        <v>1044.6796285496371</v>
      </c>
      <c r="T36" s="878">
        <f t="shared" si="10"/>
        <v>1208.7943980434561</v>
      </c>
      <c r="U36" s="878">
        <f t="shared" si="10"/>
        <v>1541.7337632665781</v>
      </c>
      <c r="V36" s="878">
        <f t="shared" si="10"/>
        <v>1773.3199565297127</v>
      </c>
      <c r="W36" s="878">
        <f t="shared" si="10"/>
        <v>1979.3050253709573</v>
      </c>
      <c r="X36" s="878">
        <f t="shared" si="10"/>
        <v>2767.5088745771263</v>
      </c>
      <c r="Y36" s="878">
        <f t="shared" si="10"/>
        <v>3789.4475747529877</v>
      </c>
      <c r="Z36" s="878">
        <f t="shared" si="10"/>
        <v>3923.8967502760884</v>
      </c>
      <c r="AA36" s="878">
        <f t="shared" si="10"/>
        <v>4447.0507778404917</v>
      </c>
      <c r="AB36" s="878">
        <f t="shared" si="10"/>
        <v>5045.6578731871932</v>
      </c>
      <c r="AC36" s="878">
        <f t="shared" si="10"/>
        <v>5624.7681281368186</v>
      </c>
      <c r="AD36" s="878">
        <f t="shared" si="10"/>
        <v>6259.3183743293321</v>
      </c>
      <c r="AE36" s="878">
        <f t="shared" si="10"/>
        <v>6853.9273188612206</v>
      </c>
      <c r="AF36" s="878">
        <f t="shared" si="10"/>
        <v>7480.2331050310631</v>
      </c>
      <c r="AG36" s="878">
        <f t="shared" si="10"/>
        <v>8130.6829628081587</v>
      </c>
      <c r="AH36" s="878">
        <f t="shared" ref="AH36" si="11">AH34+AH35</f>
        <v>8706.9609214377451</v>
      </c>
      <c r="AI36" s="862"/>
      <c r="AJ36" s="862"/>
      <c r="AK36" s="862"/>
      <c r="AL36" s="862"/>
      <c r="AM36" s="862"/>
      <c r="AN36" s="862"/>
      <c r="AO36" s="862"/>
      <c r="AP36" s="862"/>
      <c r="AQ36" s="862"/>
      <c r="AR36" s="862"/>
    </row>
    <row r="37" spans="1:44">
      <c r="A37" s="873" t="str">
        <f>Summary!A$68</f>
        <v>Europe</v>
      </c>
      <c r="B37" s="873" t="str">
        <f>Summary!B$68</f>
        <v>Italy</v>
      </c>
      <c r="E37" s="872" t="s">
        <v>899</v>
      </c>
      <c r="G37" s="880" t="str">
        <f t="shared" ref="G37:AG37" si="12">IF(G34/G36=0,"-",G34/G36)</f>
        <v>-</v>
      </c>
      <c r="H37" s="880" t="str">
        <f t="shared" si="12"/>
        <v>-</v>
      </c>
      <c r="I37" s="880" t="str">
        <f t="shared" si="12"/>
        <v>-</v>
      </c>
      <c r="J37" s="880" t="str">
        <f t="shared" si="12"/>
        <v>-</v>
      </c>
      <c r="K37" s="880">
        <f t="shared" si="12"/>
        <v>0.16791122627580229</v>
      </c>
      <c r="L37" s="880">
        <f t="shared" si="12"/>
        <v>0.36465108939096513</v>
      </c>
      <c r="M37" s="880">
        <f t="shared" si="12"/>
        <v>0.56699258297655486</v>
      </c>
      <c r="N37" s="880">
        <f t="shared" si="12"/>
        <v>0.63174665920574624</v>
      </c>
      <c r="O37" s="880">
        <f t="shared" si="12"/>
        <v>0.65518926682595746</v>
      </c>
      <c r="P37" s="880">
        <f t="shared" si="12"/>
        <v>0.69217241761226811</v>
      </c>
      <c r="Q37" s="880">
        <f t="shared" si="12"/>
        <v>0.69370292712515336</v>
      </c>
      <c r="R37" s="880">
        <f t="shared" si="12"/>
        <v>0.71491161224807565</v>
      </c>
      <c r="S37" s="880">
        <f t="shared" si="12"/>
        <v>0.76961393524655919</v>
      </c>
      <c r="T37" s="880">
        <f t="shared" si="12"/>
        <v>0.81899783917133062</v>
      </c>
      <c r="U37" s="880">
        <f t="shared" si="12"/>
        <v>0.86842490701067776</v>
      </c>
      <c r="V37" s="880">
        <f t="shared" si="12"/>
        <v>0.88699727362688419</v>
      </c>
      <c r="W37" s="880">
        <f t="shared" si="12"/>
        <v>0.90390420123621473</v>
      </c>
      <c r="X37" s="880">
        <f t="shared" si="12"/>
        <v>0.937420660165044</v>
      </c>
      <c r="Y37" s="880">
        <f t="shared" si="12"/>
        <v>0.95553280184794553</v>
      </c>
      <c r="Z37" s="880">
        <f t="shared" si="12"/>
        <v>0.95807505085359002</v>
      </c>
      <c r="AA37" s="880">
        <f t="shared" si="12"/>
        <v>0.96307457753177139</v>
      </c>
      <c r="AB37" s="880">
        <f t="shared" si="12"/>
        <v>0.97077906970298777</v>
      </c>
      <c r="AC37" s="880">
        <f t="shared" si="12"/>
        <v>0.97597132478921123</v>
      </c>
      <c r="AD37" s="880">
        <f t="shared" si="12"/>
        <v>0.98024016497983957</v>
      </c>
      <c r="AE37" s="880">
        <f t="shared" si="12"/>
        <v>0.98395955682683223</v>
      </c>
      <c r="AF37" s="880">
        <f t="shared" si="12"/>
        <v>0.98722963843665612</v>
      </c>
      <c r="AG37" s="880">
        <f t="shared" si="12"/>
        <v>0.99028037244132106</v>
      </c>
      <c r="AH37" s="880">
        <f t="shared" ref="AH37" si="13">IF(AH34/AH36=0,"-",AH34/AH36)</f>
        <v>0.99220815548376473</v>
      </c>
      <c r="AI37" s="862"/>
      <c r="AJ37" s="862"/>
      <c r="AK37" s="862"/>
      <c r="AL37" s="862"/>
      <c r="AM37" s="862"/>
      <c r="AN37" s="862"/>
      <c r="AO37" s="862"/>
      <c r="AP37" s="862"/>
      <c r="AQ37" s="862"/>
      <c r="AR37" s="862"/>
    </row>
    <row r="38" spans="1:44">
      <c r="A38" s="873"/>
      <c r="B38" s="873"/>
      <c r="T38" s="881"/>
      <c r="AI38" s="862"/>
      <c r="AJ38" s="862"/>
      <c r="AK38" s="862"/>
      <c r="AL38" s="862"/>
      <c r="AM38" s="862"/>
      <c r="AN38" s="862"/>
      <c r="AO38" s="862"/>
      <c r="AP38" s="862"/>
      <c r="AQ38" s="862"/>
      <c r="AR38" s="862"/>
    </row>
    <row r="39" spans="1:44">
      <c r="A39" s="873" t="str">
        <f>Summary!A$68</f>
        <v>Europe</v>
      </c>
      <c r="B39" s="873" t="str">
        <f>Summary!B$68</f>
        <v>Italy</v>
      </c>
      <c r="C39" s="872" t="s">
        <v>893</v>
      </c>
      <c r="D39" s="872" t="s">
        <v>89</v>
      </c>
      <c r="E39" s="872" t="s">
        <v>603</v>
      </c>
      <c r="G39" s="880">
        <f t="shared" ref="G39:AG42" si="14">IF(G24/G29=0,"-",G24/G29)</f>
        <v>4.1750719791245013E-2</v>
      </c>
      <c r="H39" s="880">
        <f t="shared" si="14"/>
        <v>4.8494441417135777E-2</v>
      </c>
      <c r="I39" s="880">
        <f t="shared" si="14"/>
        <v>6.4274971428694816E-2</v>
      </c>
      <c r="J39" s="880">
        <f t="shared" si="14"/>
        <v>6.3335762444172189E-2</v>
      </c>
      <c r="K39" s="880">
        <f t="shared" si="14"/>
        <v>0.10348430836858885</v>
      </c>
      <c r="L39" s="880">
        <f t="shared" si="14"/>
        <v>0.12392772523427528</v>
      </c>
      <c r="M39" s="880">
        <f t="shared" si="14"/>
        <v>0.1525409927151854</v>
      </c>
      <c r="N39" s="880">
        <f t="shared" si="14"/>
        <v>0.18080989040639547</v>
      </c>
      <c r="O39" s="880">
        <f t="shared" si="14"/>
        <v>0.19617800927436929</v>
      </c>
      <c r="P39" s="880">
        <f t="shared" si="14"/>
        <v>0.21364829297195909</v>
      </c>
      <c r="Q39" s="880">
        <f t="shared" si="14"/>
        <v>0.23584803775844021</v>
      </c>
      <c r="R39" s="880">
        <f t="shared" si="14"/>
        <v>0.23190862481591676</v>
      </c>
      <c r="S39" s="880">
        <f t="shared" si="14"/>
        <v>0.28693926462130098</v>
      </c>
      <c r="T39" s="880">
        <f t="shared" si="14"/>
        <v>0.31925438848296395</v>
      </c>
      <c r="U39" s="880">
        <f t="shared" si="14"/>
        <v>0.3573004590243552</v>
      </c>
      <c r="V39" s="880">
        <f t="shared" si="14"/>
        <v>0.37849357873490186</v>
      </c>
      <c r="W39" s="880">
        <f t="shared" si="14"/>
        <v>0.40027582995997896</v>
      </c>
      <c r="X39" s="880">
        <f t="shared" si="14"/>
        <v>0.58722915369866158</v>
      </c>
      <c r="Y39" s="880">
        <f t="shared" si="14"/>
        <v>0.73478180827082451</v>
      </c>
      <c r="Z39" s="880">
        <f t="shared" si="14"/>
        <v>0.54491640407918751</v>
      </c>
      <c r="AA39" s="880">
        <f t="shared" si="14"/>
        <v>0.54730631948605257</v>
      </c>
      <c r="AB39" s="880">
        <f t="shared" si="14"/>
        <v>0.56026149526873681</v>
      </c>
      <c r="AC39" s="880">
        <f t="shared" si="14"/>
        <v>0.56375566774647301</v>
      </c>
      <c r="AD39" s="880">
        <f t="shared" si="14"/>
        <v>0.59258510787177399</v>
      </c>
      <c r="AE39" s="880">
        <f t="shared" si="14"/>
        <v>0.60814930524971533</v>
      </c>
      <c r="AF39" s="880">
        <f t="shared" si="14"/>
        <v>0.62388498254227875</v>
      </c>
      <c r="AG39" s="880">
        <f t="shared" si="14"/>
        <v>0.6398139221209731</v>
      </c>
      <c r="AH39" s="880">
        <f t="shared" ref="AH39" si="15">IF(AH24/AH29=0,"-",AH24/AH29)</f>
        <v>0.63697191983372714</v>
      </c>
      <c r="AI39" s="862"/>
      <c r="AJ39" s="862"/>
      <c r="AK39" s="862"/>
      <c r="AL39" s="862"/>
      <c r="AM39" s="862"/>
      <c r="AN39" s="862"/>
      <c r="AO39" s="862"/>
      <c r="AP39" s="862"/>
      <c r="AQ39" s="862"/>
      <c r="AR39" s="862"/>
    </row>
    <row r="40" spans="1:44">
      <c r="A40" s="873" t="str">
        <f>Summary!A$68</f>
        <v>Europe</v>
      </c>
      <c r="B40" s="873" t="str">
        <f>Summary!B$68</f>
        <v>Italy</v>
      </c>
      <c r="C40" s="872" t="s">
        <v>893</v>
      </c>
      <c r="D40" s="872" t="s">
        <v>89</v>
      </c>
      <c r="E40" s="872" t="s">
        <v>604</v>
      </c>
      <c r="G40" s="880">
        <f t="shared" si="14"/>
        <v>1.6666954098672099E-2</v>
      </c>
      <c r="H40" s="880">
        <f t="shared" si="14"/>
        <v>2.929708314584225E-2</v>
      </c>
      <c r="I40" s="880">
        <f t="shared" si="14"/>
        <v>3.3549048395906465E-2</v>
      </c>
      <c r="J40" s="880">
        <f t="shared" si="14"/>
        <v>3.2941649781304275E-2</v>
      </c>
      <c r="K40" s="880">
        <f t="shared" si="14"/>
        <v>4.1511861535892251E-2</v>
      </c>
      <c r="L40" s="880">
        <f t="shared" si="14"/>
        <v>5.0006182033460425E-2</v>
      </c>
      <c r="M40" s="880">
        <f t="shared" si="14"/>
        <v>8.0305685990914727E-2</v>
      </c>
      <c r="N40" s="880">
        <f t="shared" si="14"/>
        <v>8.0694921544387635E-2</v>
      </c>
      <c r="O40" s="880">
        <f t="shared" si="14"/>
        <v>7.5928592455129021E-2</v>
      </c>
      <c r="P40" s="880">
        <f t="shared" si="14"/>
        <v>6.9543651252687452E-2</v>
      </c>
      <c r="Q40" s="880">
        <f t="shared" si="14"/>
        <v>6.9966053616233273E-2</v>
      </c>
      <c r="R40" s="880">
        <f t="shared" si="14"/>
        <v>6.532056206198468E-2</v>
      </c>
      <c r="S40" s="880">
        <f t="shared" si="14"/>
        <v>6.3550768528074689E-2</v>
      </c>
      <c r="T40" s="880">
        <f t="shared" si="14"/>
        <v>6.4477796303827217E-2</v>
      </c>
      <c r="U40" s="880">
        <f t="shared" si="14"/>
        <v>7.3975143648419797E-2</v>
      </c>
      <c r="V40" s="880">
        <f t="shared" si="14"/>
        <v>8.5458891395849473E-2</v>
      </c>
      <c r="W40" s="880">
        <f t="shared" si="14"/>
        <v>9.3386245788975836E-2</v>
      </c>
      <c r="X40" s="880">
        <f t="shared" si="14"/>
        <v>0.23878363278237802</v>
      </c>
      <c r="Y40" s="880">
        <f t="shared" si="14"/>
        <v>0.29891614971577407</v>
      </c>
      <c r="Z40" s="880">
        <f t="shared" si="14"/>
        <v>0.20466723847067828</v>
      </c>
      <c r="AA40" s="880">
        <f t="shared" si="14"/>
        <v>0.22982253451199766</v>
      </c>
      <c r="AB40" s="880">
        <f t="shared" si="14"/>
        <v>0.26407067518624616</v>
      </c>
      <c r="AC40" s="880">
        <f t="shared" si="14"/>
        <v>0.29580448437037621</v>
      </c>
      <c r="AD40" s="880">
        <f t="shared" si="14"/>
        <v>0.32453797421554037</v>
      </c>
      <c r="AE40" s="880">
        <f t="shared" si="14"/>
        <v>0.35063770247185527</v>
      </c>
      <c r="AF40" s="880">
        <f t="shared" si="14"/>
        <v>0.37430640740530607</v>
      </c>
      <c r="AG40" s="880">
        <f t="shared" si="14"/>
        <v>0.39557926653049158</v>
      </c>
      <c r="AH40" s="880">
        <f t="shared" ref="AH40" si="16">IF(AH25/AH30=0,"-",AH25/AH30)</f>
        <v>0.41469072078913294</v>
      </c>
      <c r="AI40" s="862"/>
      <c r="AJ40" s="862"/>
      <c r="AK40" s="862"/>
      <c r="AL40" s="862"/>
      <c r="AM40" s="862"/>
      <c r="AN40" s="862"/>
      <c r="AO40" s="862"/>
      <c r="AP40" s="862"/>
      <c r="AQ40" s="862"/>
      <c r="AR40" s="862"/>
    </row>
    <row r="41" spans="1:44">
      <c r="A41" s="873" t="str">
        <f>Summary!A$68</f>
        <v>Europe</v>
      </c>
      <c r="B41" s="873" t="str">
        <f>Summary!B$68</f>
        <v>Italy</v>
      </c>
      <c r="C41" s="872" t="s">
        <v>893</v>
      </c>
      <c r="D41" s="872" t="s">
        <v>89</v>
      </c>
      <c r="E41" s="872" t="s">
        <v>606</v>
      </c>
      <c r="G41" s="880" t="str">
        <f t="shared" si="14"/>
        <v>-</v>
      </c>
      <c r="H41" s="880" t="str">
        <f t="shared" si="14"/>
        <v>-</v>
      </c>
      <c r="I41" s="880" t="str">
        <f t="shared" si="14"/>
        <v>-</v>
      </c>
      <c r="J41" s="880" t="str">
        <f t="shared" si="14"/>
        <v>-</v>
      </c>
      <c r="K41" s="880" t="str">
        <f t="shared" si="14"/>
        <v>-</v>
      </c>
      <c r="L41" s="880" t="str">
        <f t="shared" si="14"/>
        <v>-</v>
      </c>
      <c r="M41" s="880">
        <f t="shared" si="14"/>
        <v>5.0482170195782544E-4</v>
      </c>
      <c r="N41" s="880">
        <f t="shared" si="14"/>
        <v>1.534208883727682E-3</v>
      </c>
      <c r="O41" s="880">
        <f t="shared" si="14"/>
        <v>1.0862483538505582E-3</v>
      </c>
      <c r="P41" s="880">
        <f t="shared" si="14"/>
        <v>2.1900269541778976E-3</v>
      </c>
      <c r="Q41" s="880">
        <f t="shared" si="14"/>
        <v>2.2980378292381119E-3</v>
      </c>
      <c r="R41" s="880">
        <f t="shared" si="14"/>
        <v>3.1272994849153792E-3</v>
      </c>
      <c r="S41" s="880">
        <f t="shared" si="14"/>
        <v>3.3216460601587007E-3</v>
      </c>
      <c r="T41" s="880">
        <f t="shared" si="14"/>
        <v>4.8161823727725156E-3</v>
      </c>
      <c r="U41" s="880">
        <f t="shared" si="14"/>
        <v>6.9160583941605801E-3</v>
      </c>
      <c r="V41" s="880">
        <f t="shared" si="14"/>
        <v>9.046476528111011E-3</v>
      </c>
      <c r="W41" s="880">
        <f t="shared" si="14"/>
        <v>1.0462239794320037E-2</v>
      </c>
      <c r="X41" s="880">
        <f t="shared" si="14"/>
        <v>1.6922944953139677E-2</v>
      </c>
      <c r="Y41" s="880">
        <f t="shared" si="14"/>
        <v>1.5275321521135768E-2</v>
      </c>
      <c r="Z41" s="880">
        <f t="shared" si="14"/>
        <v>1.9488063198249656E-2</v>
      </c>
      <c r="AA41" s="880">
        <f t="shared" si="14"/>
        <v>1.8586651412404061E-2</v>
      </c>
      <c r="AB41" s="880">
        <f t="shared" si="14"/>
        <v>2.14614523480725E-2</v>
      </c>
      <c r="AC41" s="880">
        <f t="shared" si="14"/>
        <v>2.3143842778802416E-2</v>
      </c>
      <c r="AD41" s="880">
        <f t="shared" si="14"/>
        <v>2.5045395252447023E-2</v>
      </c>
      <c r="AE41" s="880">
        <f t="shared" si="14"/>
        <v>2.7239157906680144E-2</v>
      </c>
      <c r="AF41" s="880">
        <f t="shared" si="14"/>
        <v>2.9730132274613692E-2</v>
      </c>
      <c r="AG41" s="880">
        <f t="shared" si="14"/>
        <v>3.2579207377999707E-2</v>
      </c>
      <c r="AH41" s="880">
        <f t="shared" ref="AH41" si="17">IF(AH26/AH31=0,"-",AH26/AH31)</f>
        <v>3.5843190817974407E-2</v>
      </c>
      <c r="AI41" s="862"/>
      <c r="AJ41" s="862"/>
      <c r="AK41" s="862"/>
      <c r="AL41" s="862"/>
      <c r="AM41" s="862"/>
      <c r="AN41" s="862"/>
      <c r="AO41" s="862"/>
      <c r="AP41" s="862"/>
      <c r="AQ41" s="862"/>
      <c r="AR41" s="862"/>
    </row>
    <row r="42" spans="1:44">
      <c r="A42" s="876" t="str">
        <f>Summary!A$68</f>
        <v>Europe</v>
      </c>
      <c r="B42" s="877" t="str">
        <f>Summary!B$68</f>
        <v>Italy</v>
      </c>
      <c r="C42" s="877" t="s">
        <v>893</v>
      </c>
      <c r="D42" s="877" t="s">
        <v>89</v>
      </c>
      <c r="E42" s="877" t="s">
        <v>607</v>
      </c>
      <c r="F42" s="877"/>
      <c r="G42" s="882">
        <f t="shared" si="14"/>
        <v>1.0425464590765647E-2</v>
      </c>
      <c r="H42" s="882">
        <f t="shared" si="14"/>
        <v>1.2858707153571156E-2</v>
      </c>
      <c r="I42" s="882">
        <f t="shared" si="14"/>
        <v>2.149248257941664E-2</v>
      </c>
      <c r="J42" s="882">
        <f t="shared" si="14"/>
        <v>2.2424257594410853E-2</v>
      </c>
      <c r="K42" s="882">
        <f t="shared" si="14"/>
        <v>3.0331998840086014E-2</v>
      </c>
      <c r="L42" s="882">
        <f t="shared" si="14"/>
        <v>3.6228231148717205E-2</v>
      </c>
      <c r="M42" s="882">
        <f t="shared" si="14"/>
        <v>5.1418620132640827E-2</v>
      </c>
      <c r="N42" s="882">
        <f t="shared" si="14"/>
        <v>5.8952711054115953E-2</v>
      </c>
      <c r="O42" s="882">
        <f t="shared" si="14"/>
        <v>5.7268403949856668E-2</v>
      </c>
      <c r="P42" s="882">
        <f t="shared" si="14"/>
        <v>5.6332594290553033E-2</v>
      </c>
      <c r="Q42" s="882">
        <f t="shared" si="14"/>
        <v>5.8453276201475453E-2</v>
      </c>
      <c r="R42" s="882">
        <f t="shared" si="14"/>
        <v>5.7877179931641716E-2</v>
      </c>
      <c r="S42" s="882">
        <f t="shared" si="14"/>
        <v>6.0233459481404052E-2</v>
      </c>
      <c r="T42" s="882">
        <f t="shared" si="14"/>
        <v>6.316158664238683E-2</v>
      </c>
      <c r="U42" s="882">
        <f t="shared" si="14"/>
        <v>8.1089937176385171E-2</v>
      </c>
      <c r="V42" s="882">
        <f t="shared" si="14"/>
        <v>9.3785708715161162E-2</v>
      </c>
      <c r="W42" s="882">
        <f t="shared" si="14"/>
        <v>0.10256121957166126</v>
      </c>
      <c r="X42" s="882">
        <f t="shared" si="14"/>
        <v>0.2140566714246587</v>
      </c>
      <c r="Y42" s="882">
        <f t="shared" si="14"/>
        <v>0.24708800118094404</v>
      </c>
      <c r="Z42" s="882">
        <f t="shared" si="14"/>
        <v>0.19609169669338294</v>
      </c>
      <c r="AA42" s="882">
        <f t="shared" si="14"/>
        <v>0.21742717001122822</v>
      </c>
      <c r="AB42" s="882">
        <f t="shared" si="14"/>
        <v>0.23793685644366908</v>
      </c>
      <c r="AC42" s="882">
        <f t="shared" si="14"/>
        <v>0.25970550650489999</v>
      </c>
      <c r="AD42" s="882">
        <f t="shared" si="14"/>
        <v>0.28233964215331625</v>
      </c>
      <c r="AE42" s="882">
        <f t="shared" si="14"/>
        <v>0.30098188310347923</v>
      </c>
      <c r="AF42" s="882">
        <f t="shared" si="14"/>
        <v>0.31858419655801634</v>
      </c>
      <c r="AG42" s="882">
        <f t="shared" si="14"/>
        <v>0.33504364800520597</v>
      </c>
      <c r="AH42" s="882">
        <f t="shared" ref="AH42" si="18">IF(AH27/AH32=0,"-",AH27/AH32)</f>
        <v>0.34662228627961594</v>
      </c>
      <c r="AI42" s="862"/>
      <c r="AJ42" s="862"/>
      <c r="AK42" s="862"/>
      <c r="AL42" s="862"/>
      <c r="AM42" s="862"/>
      <c r="AN42" s="862"/>
      <c r="AO42" s="862"/>
      <c r="AP42" s="862"/>
      <c r="AQ42" s="862"/>
      <c r="AR42" s="862"/>
    </row>
    <row r="43" spans="1:44">
      <c r="A43" s="873"/>
      <c r="B43" s="873"/>
      <c r="G43" s="874"/>
      <c r="H43" s="874"/>
      <c r="I43" s="874"/>
      <c r="J43" s="874"/>
      <c r="K43" s="874"/>
      <c r="L43" s="874"/>
      <c r="M43" s="874"/>
      <c r="N43" s="874"/>
      <c r="O43" s="874"/>
      <c r="P43" s="874"/>
      <c r="Q43" s="874"/>
      <c r="R43" s="874"/>
      <c r="S43" s="874"/>
      <c r="T43" s="874"/>
      <c r="U43" s="874"/>
      <c r="V43" s="874"/>
      <c r="W43" s="874"/>
      <c r="X43" s="874"/>
      <c r="Y43" s="874"/>
      <c r="Z43" s="874"/>
      <c r="AA43" s="874"/>
      <c r="AB43" s="874"/>
      <c r="AC43" s="874"/>
      <c r="AD43" s="874"/>
      <c r="AE43" s="874"/>
      <c r="AF43" s="874"/>
      <c r="AG43" s="874"/>
      <c r="AH43" s="874"/>
      <c r="AI43" s="862"/>
      <c r="AJ43" s="862"/>
      <c r="AK43" s="862"/>
      <c r="AL43" s="862"/>
      <c r="AM43" s="862"/>
      <c r="AN43" s="862"/>
      <c r="AO43" s="862"/>
      <c r="AP43" s="862"/>
      <c r="AQ43" s="862"/>
      <c r="AR43" s="862"/>
    </row>
    <row r="44" spans="1:44">
      <c r="A44" s="873" t="str">
        <f>Summary!A$21</f>
        <v>Europe</v>
      </c>
      <c r="B44" s="873" t="str">
        <f>Summary!B$21</f>
        <v>Italy</v>
      </c>
      <c r="C44" s="873" t="str">
        <f>Summary!C$21</f>
        <v>Adult Population</v>
      </c>
      <c r="D44" s="873"/>
      <c r="E44" s="873"/>
      <c r="G44" s="973">
        <f>Summary!G$21</f>
        <v>47.468538794231222</v>
      </c>
      <c r="H44" s="973">
        <f>Summary!H$21</f>
        <v>47.823310596511838</v>
      </c>
      <c r="I44" s="973">
        <f>Summary!I$21</f>
        <v>48.074149426197671</v>
      </c>
      <c r="J44" s="973">
        <f>Summary!J$21</f>
        <v>48.216926244728803</v>
      </c>
      <c r="K44" s="973">
        <f>Summary!K$21</f>
        <v>48.461154443087345</v>
      </c>
      <c r="L44" s="973">
        <f>Summary!L$21</f>
        <v>48.787865020472857</v>
      </c>
      <c r="M44" s="973">
        <f>Summary!M$21</f>
        <v>49.014974100193278</v>
      </c>
      <c r="N44" s="973">
        <f>Summary!N$21</f>
        <v>49.184951621250953</v>
      </c>
      <c r="O44" s="973">
        <f>Summary!O$21</f>
        <v>49.307839026836035</v>
      </c>
      <c r="P44" s="973">
        <f>Summary!P$21</f>
        <v>49.486173466698453</v>
      </c>
      <c r="Q44" s="973">
        <f>Summary!Q$21</f>
        <v>50.117039135765388</v>
      </c>
      <c r="R44" s="973">
        <f>Summary!R$21</f>
        <v>50.641601276360703</v>
      </c>
      <c r="S44" s="973">
        <f>Summary!S$21</f>
        <v>50.660625644385576</v>
      </c>
      <c r="T44" s="973">
        <f>Summary!T$21</f>
        <v>50.654198090078211</v>
      </c>
      <c r="U44" s="973">
        <f>Summary!U$21</f>
        <v>50.665563823740598</v>
      </c>
      <c r="V44" s="973">
        <f>Summary!V$21</f>
        <v>50.670555018347606</v>
      </c>
      <c r="W44" s="973">
        <f>Summary!W$21</f>
        <v>50.205637800934326</v>
      </c>
      <c r="X44" s="973">
        <f>Summary!X$21</f>
        <v>50.082011676992209</v>
      </c>
      <c r="Y44" s="973">
        <f>Summary!Y$21</f>
        <v>49.946632824304345</v>
      </c>
      <c r="Z44" s="973">
        <f>Summary!Z$21</f>
        <v>49.90742310078457</v>
      </c>
      <c r="AA44" s="973">
        <f>Summary!AA$21</f>
        <v>49.883252191753044</v>
      </c>
      <c r="AB44" s="973">
        <f>Summary!AB$21</f>
        <v>49.844083966644689</v>
      </c>
      <c r="AC44" s="973">
        <f>Summary!AC$21</f>
        <v>49.800628411018266</v>
      </c>
      <c r="AD44" s="973">
        <f>Summary!AD$21</f>
        <v>49.749045703823477</v>
      </c>
      <c r="AE44" s="973">
        <f>Summary!AE$21</f>
        <v>49.691519247844056</v>
      </c>
      <c r="AF44" s="973">
        <f>Summary!AF$21</f>
        <v>49.623764381695494</v>
      </c>
      <c r="AG44" s="973">
        <f>Summary!AG$21</f>
        <v>49.54660369854021</v>
      </c>
      <c r="AH44" s="973">
        <f>Summary!AH$21</f>
        <v>49.458179029086949</v>
      </c>
      <c r="AI44" s="862"/>
      <c r="AJ44" s="862"/>
      <c r="AK44" s="862"/>
      <c r="AL44" s="862"/>
      <c r="AM44" s="862"/>
      <c r="AN44" s="862"/>
      <c r="AO44" s="862"/>
      <c r="AP44" s="862"/>
      <c r="AQ44" s="862"/>
      <c r="AR44" s="862"/>
    </row>
    <row r="45" spans="1:44">
      <c r="A45" s="876" t="str">
        <f>A44</f>
        <v>Europe</v>
      </c>
      <c r="B45" s="877" t="str">
        <f>B44</f>
        <v>Italy</v>
      </c>
      <c r="C45" s="877" t="s">
        <v>926</v>
      </c>
      <c r="D45" s="877"/>
      <c r="E45" s="877" t="s">
        <v>895</v>
      </c>
      <c r="F45" s="877"/>
      <c r="G45" s="888">
        <f>G32/G44</f>
        <v>155.72454148197255</v>
      </c>
      <c r="H45" s="888">
        <f t="shared" ref="H45:AG45" si="19">H32/H44</f>
        <v>225.56596716787831</v>
      </c>
      <c r="I45" s="888">
        <f t="shared" si="19"/>
        <v>223.28149545263514</v>
      </c>
      <c r="J45" s="888">
        <f t="shared" si="19"/>
        <v>260.24919036641671</v>
      </c>
      <c r="K45" s="888">
        <f t="shared" si="19"/>
        <v>294.89798482076992</v>
      </c>
      <c r="L45" s="888">
        <f t="shared" si="19"/>
        <v>322.36487264564215</v>
      </c>
      <c r="M45" s="888">
        <f t="shared" si="19"/>
        <v>345.17739678561355</v>
      </c>
      <c r="N45" s="888">
        <f t="shared" si="19"/>
        <v>365.23376003259102</v>
      </c>
      <c r="O45" s="888">
        <f t="shared" si="19"/>
        <v>390.70775028435867</v>
      </c>
      <c r="P45" s="888">
        <f t="shared" si="19"/>
        <v>383.37912553701278</v>
      </c>
      <c r="Q45" s="888">
        <f t="shared" si="19"/>
        <v>355.38623396398566</v>
      </c>
      <c r="R45" s="888">
        <f t="shared" si="19"/>
        <v>345.11461249281825</v>
      </c>
      <c r="S45" s="888">
        <f t="shared" si="19"/>
        <v>348.25230450948595</v>
      </c>
      <c r="T45" s="888">
        <f t="shared" si="19"/>
        <v>387.19590652292192</v>
      </c>
      <c r="U45" s="888">
        <f t="shared" si="19"/>
        <v>384.48248806425732</v>
      </c>
      <c r="V45" s="888">
        <f t="shared" si="19"/>
        <v>383.42661479560974</v>
      </c>
      <c r="W45" s="888">
        <f t="shared" si="19"/>
        <v>395.67976359340724</v>
      </c>
      <c r="X45" s="888">
        <f t="shared" si="19"/>
        <v>265.3307589347811</v>
      </c>
      <c r="Y45" s="888">
        <f t="shared" si="19"/>
        <v>314.87402119228659</v>
      </c>
      <c r="Z45" s="888">
        <f t="shared" si="19"/>
        <v>413.29434982682625</v>
      </c>
      <c r="AA45" s="888">
        <f t="shared" si="19"/>
        <v>420.18931677339543</v>
      </c>
      <c r="AB45" s="888">
        <f t="shared" si="19"/>
        <v>437.17952538083119</v>
      </c>
      <c r="AC45" s="888">
        <f t="shared" si="19"/>
        <v>446.81015026250753</v>
      </c>
      <c r="AD45" s="888">
        <f t="shared" si="19"/>
        <v>457.83708968829558</v>
      </c>
      <c r="AE45" s="888">
        <f t="shared" si="19"/>
        <v>471.14192809425566</v>
      </c>
      <c r="AF45" s="888">
        <f t="shared" si="19"/>
        <v>486.87502952282949</v>
      </c>
      <c r="AG45" s="888">
        <f t="shared" si="19"/>
        <v>504.58884652381994</v>
      </c>
      <c r="AH45" s="888">
        <f t="shared" ref="AH45" si="20">AH32/AH44</f>
        <v>524.20173970016458</v>
      </c>
      <c r="AI45" s="862"/>
      <c r="AJ45" s="862"/>
      <c r="AK45" s="862"/>
      <c r="AL45" s="862"/>
      <c r="AM45" s="862"/>
      <c r="AN45" s="862"/>
      <c r="AO45" s="862"/>
      <c r="AP45" s="862"/>
      <c r="AQ45" s="862"/>
      <c r="AR45" s="862"/>
    </row>
    <row r="46" spans="1:44">
      <c r="A46" s="873"/>
      <c r="B46" s="873"/>
      <c r="G46" s="874"/>
      <c r="H46" s="874"/>
      <c r="I46" s="874"/>
      <c r="J46" s="874"/>
      <c r="K46" s="874"/>
      <c r="L46" s="874"/>
      <c r="M46" s="874"/>
      <c r="N46" s="874"/>
      <c r="O46" s="874"/>
      <c r="P46" s="874"/>
      <c r="Q46" s="874"/>
      <c r="R46" s="874"/>
      <c r="S46" s="874"/>
      <c r="T46" s="874"/>
      <c r="U46" s="874"/>
      <c r="V46" s="874"/>
      <c r="W46" s="874"/>
      <c r="X46" s="874"/>
      <c r="Y46" s="874"/>
      <c r="Z46" s="874"/>
      <c r="AA46" s="874"/>
      <c r="AB46" s="874"/>
      <c r="AC46" s="874"/>
      <c r="AD46" s="874"/>
      <c r="AE46" s="874"/>
      <c r="AF46" s="874"/>
      <c r="AG46" s="874"/>
      <c r="AH46" s="874"/>
      <c r="AI46" s="862"/>
      <c r="AJ46" s="862"/>
      <c r="AK46" s="862"/>
      <c r="AL46" s="862"/>
      <c r="AM46" s="862"/>
      <c r="AN46" s="862"/>
      <c r="AO46" s="862"/>
      <c r="AP46" s="862"/>
      <c r="AQ46" s="862"/>
      <c r="AR46" s="862"/>
    </row>
    <row r="47" spans="1:44">
      <c r="A47" s="873" t="str">
        <f>Summary!A$19</f>
        <v>Europe</v>
      </c>
      <c r="B47" s="873" t="str">
        <f>Summary!B$19</f>
        <v>Italy</v>
      </c>
      <c r="C47" s="873" t="str">
        <f>Summary!C$19</f>
        <v>GDP - Local Currency</v>
      </c>
      <c r="D47" s="873"/>
      <c r="E47" s="873"/>
      <c r="G47" s="974">
        <f>Summary!G$19</f>
        <v>1399.386</v>
      </c>
      <c r="H47" s="974">
        <f>Summary!H$19</f>
        <v>1457.357</v>
      </c>
      <c r="I47" s="974">
        <f>Summary!I$19</f>
        <v>1499.0730000000001</v>
      </c>
      <c r="J47" s="974">
        <f>Summary!J$19</f>
        <v>1559.864</v>
      </c>
      <c r="K47" s="974">
        <f>Summary!K$19</f>
        <v>1621.7139999999999</v>
      </c>
      <c r="L47" s="974">
        <f>Summary!L$19</f>
        <v>1643.7180000000001</v>
      </c>
      <c r="M47" s="974">
        <f>Summary!M$19</f>
        <v>1584.107</v>
      </c>
      <c r="N47" s="974">
        <f>Summary!N$19</f>
        <v>1617.944</v>
      </c>
      <c r="O47" s="974">
        <f>Summary!O$19</f>
        <v>1657.3620000000001</v>
      </c>
      <c r="P47" s="974">
        <f>Summary!P$19</f>
        <v>1632.8989999999999</v>
      </c>
      <c r="Q47" s="974">
        <f>Summary!Q$19</f>
        <v>1621.2619999999999</v>
      </c>
      <c r="R47" s="974">
        <f>Summary!R$19</f>
        <v>1635.87</v>
      </c>
      <c r="S47" s="974">
        <f>Summary!S$19</f>
        <v>1663.278</v>
      </c>
      <c r="T47" s="974">
        <f>Summary!T$19</f>
        <v>1704.856</v>
      </c>
      <c r="U47" s="974">
        <f>Summary!U$19</f>
        <v>1744.4939999999999</v>
      </c>
      <c r="V47" s="974">
        <f>Summary!V$19</f>
        <v>1777.7439999999999</v>
      </c>
      <c r="W47" s="974">
        <f>Summary!W$19</f>
        <v>1804.068</v>
      </c>
      <c r="X47" s="974">
        <f>Summary!X$19</f>
        <v>1670.0129999999999</v>
      </c>
      <c r="Y47" s="974">
        <f>Summary!Y$19</f>
        <v>1842.5070000000001</v>
      </c>
      <c r="Z47" s="974">
        <f>Summary!Z$19</f>
        <v>1998.0719999999999</v>
      </c>
      <c r="AA47" s="974">
        <f>Summary!AA$19</f>
        <v>2131.3910000000001</v>
      </c>
      <c r="AB47" s="974">
        <f>Summary!AB$19</f>
        <v>2192.181</v>
      </c>
      <c r="AC47" s="974">
        <f>Summary!AC$19</f>
        <v>2249.8339999999998</v>
      </c>
      <c r="AD47" s="974">
        <f>Summary!AD$19</f>
        <v>2313.078</v>
      </c>
      <c r="AE47" s="974">
        <f>Summary!AE$19</f>
        <v>2372.759</v>
      </c>
      <c r="AF47" s="974">
        <f>Summary!AF$19</f>
        <v>2436.672</v>
      </c>
      <c r="AG47" s="974">
        <f>Summary!AG$19</f>
        <v>2502.8029999999999</v>
      </c>
      <c r="AH47" s="974">
        <f>Summary!AH$19</f>
        <v>2570.7289999999998</v>
      </c>
      <c r="AI47" s="862"/>
      <c r="AJ47" s="862"/>
      <c r="AK47" s="862"/>
      <c r="AL47" s="862"/>
      <c r="AM47" s="862"/>
      <c r="AN47" s="862"/>
      <c r="AO47" s="862"/>
      <c r="AP47" s="862"/>
      <c r="AQ47" s="862"/>
      <c r="AR47" s="862"/>
    </row>
    <row r="48" spans="1:44">
      <c r="A48" s="876" t="str">
        <f>A47</f>
        <v>Europe</v>
      </c>
      <c r="B48" s="877" t="str">
        <f>B47</f>
        <v>Italy</v>
      </c>
      <c r="C48" s="877" t="s">
        <v>927</v>
      </c>
      <c r="D48" s="877"/>
      <c r="E48" s="877" t="s">
        <v>895</v>
      </c>
      <c r="F48" s="877"/>
      <c r="G48" s="975">
        <f>G32/(G47*1000)</f>
        <v>5.2823284201434654E-3</v>
      </c>
      <c r="H48" s="975">
        <f t="shared" ref="H48:AG48" si="21">H32/(H47*1000)</f>
        <v>7.4019689807453054E-3</v>
      </c>
      <c r="I48" s="975">
        <f t="shared" si="21"/>
        <v>7.1604704884250855E-3</v>
      </c>
      <c r="J48" s="975">
        <f t="shared" si="21"/>
        <v>8.044557741667159E-3</v>
      </c>
      <c r="K48" s="975">
        <f t="shared" si="21"/>
        <v>8.8123410091758211E-3</v>
      </c>
      <c r="L48" s="975">
        <f t="shared" si="21"/>
        <v>9.5682433933177782E-3</v>
      </c>
      <c r="M48" s="975">
        <f t="shared" si="21"/>
        <v>1.0680377754418728E-2</v>
      </c>
      <c r="N48" s="975">
        <f t="shared" si="21"/>
        <v>1.1102983056057917E-2</v>
      </c>
      <c r="O48" s="975">
        <f t="shared" si="21"/>
        <v>1.1623866637197189E-2</v>
      </c>
      <c r="P48" s="975">
        <f t="shared" si="21"/>
        <v>1.1618578926091434E-2</v>
      </c>
      <c r="Q48" s="975">
        <f t="shared" si="21"/>
        <v>1.0985828197962663E-2</v>
      </c>
      <c r="R48" s="975">
        <f t="shared" si="21"/>
        <v>1.0683707507630211E-2</v>
      </c>
      <c r="S48" s="975">
        <f t="shared" si="21"/>
        <v>1.0607174283883776E-2</v>
      </c>
      <c r="T48" s="975">
        <f t="shared" si="21"/>
        <v>1.1504254992022489E-2</v>
      </c>
      <c r="U48" s="975">
        <f t="shared" si="21"/>
        <v>1.1166574398152251E-2</v>
      </c>
      <c r="V48" s="975">
        <f t="shared" si="21"/>
        <v>1.0928704796922232E-2</v>
      </c>
      <c r="W48" s="975">
        <f t="shared" si="21"/>
        <v>1.1011422460866178E-2</v>
      </c>
      <c r="X48" s="975">
        <f t="shared" si="21"/>
        <v>7.9570028300599543E-3</v>
      </c>
      <c r="Y48" s="975">
        <f t="shared" si="21"/>
        <v>8.5355969461192623E-3</v>
      </c>
      <c r="Z48" s="975">
        <f t="shared" si="21"/>
        <v>1.0323179536058304E-2</v>
      </c>
      <c r="AA48" s="975">
        <f t="shared" si="21"/>
        <v>9.8341457090171131E-3</v>
      </c>
      <c r="AB48" s="975">
        <f t="shared" si="21"/>
        <v>9.9402435161968939E-3</v>
      </c>
      <c r="AC48" s="975">
        <f t="shared" si="21"/>
        <v>9.8902524646237774E-3</v>
      </c>
      <c r="AD48" s="975">
        <f t="shared" si="21"/>
        <v>9.8470342547067359E-3</v>
      </c>
      <c r="AE48" s="975">
        <f t="shared" si="21"/>
        <v>9.8668925872210638E-3</v>
      </c>
      <c r="AF48" s="975">
        <f t="shared" si="21"/>
        <v>9.9153976195285737E-3</v>
      </c>
      <c r="AG48" s="975">
        <f t="shared" si="21"/>
        <v>9.9890657033011535E-3</v>
      </c>
      <c r="AH48" s="975">
        <f t="shared" ref="AH48" si="22">AH32/(AH47*1000)</f>
        <v>1.0085101731629268E-2</v>
      </c>
      <c r="AI48" s="862"/>
      <c r="AJ48" s="862"/>
      <c r="AK48" s="862"/>
      <c r="AL48" s="862"/>
      <c r="AM48" s="862"/>
      <c r="AN48" s="862"/>
      <c r="AO48" s="862"/>
      <c r="AP48" s="862"/>
      <c r="AQ48" s="862"/>
      <c r="AR48" s="862"/>
    </row>
    <row r="49" spans="6:44" s="976" customFormat="1">
      <c r="F49" s="977"/>
      <c r="G49" s="978"/>
      <c r="H49" s="978"/>
      <c r="I49" s="978"/>
      <c r="J49" s="978"/>
      <c r="K49" s="978"/>
      <c r="L49" s="978"/>
      <c r="M49" s="978"/>
      <c r="N49" s="978"/>
      <c r="O49" s="978"/>
      <c r="P49" s="978"/>
      <c r="Q49" s="978"/>
      <c r="R49" s="978"/>
      <c r="S49" s="978"/>
      <c r="T49" s="978"/>
      <c r="U49" s="978"/>
      <c r="V49" s="978"/>
      <c r="W49" s="978"/>
      <c r="X49" s="978"/>
      <c r="Y49" s="978"/>
      <c r="AI49" s="862"/>
      <c r="AJ49" s="862"/>
      <c r="AK49" s="862"/>
      <c r="AL49" s="862"/>
      <c r="AM49" s="862"/>
      <c r="AN49" s="862"/>
      <c r="AO49" s="862"/>
      <c r="AP49" s="862"/>
      <c r="AQ49" s="862"/>
      <c r="AR49" s="862"/>
    </row>
    <row r="50" spans="6:44">
      <c r="F50" s="883"/>
      <c r="G50" s="884"/>
      <c r="H50" s="884"/>
      <c r="I50" s="884"/>
      <c r="J50" s="884"/>
      <c r="K50" s="884"/>
      <c r="L50" s="884"/>
      <c r="M50" s="884"/>
      <c r="N50" s="884"/>
      <c r="O50" s="884"/>
      <c r="P50" s="884"/>
      <c r="Q50" s="884"/>
      <c r="R50" s="884"/>
      <c r="S50" s="884"/>
      <c r="T50" s="884"/>
      <c r="U50" s="884"/>
      <c r="V50" s="884"/>
      <c r="W50" s="884"/>
      <c r="X50" s="884"/>
      <c r="Y50" s="884"/>
      <c r="AI50" s="862"/>
      <c r="AJ50" s="862"/>
      <c r="AK50" s="862"/>
      <c r="AL50" s="862"/>
      <c r="AM50" s="862"/>
      <c r="AN50" s="862"/>
      <c r="AO50" s="862"/>
      <c r="AP50" s="862"/>
      <c r="AQ50" s="862"/>
      <c r="AR50" s="862"/>
    </row>
    <row r="51" spans="6:44">
      <c r="F51" s="883"/>
      <c r="G51" s="885"/>
      <c r="H51" s="885"/>
      <c r="I51" s="885"/>
      <c r="J51" s="885"/>
      <c r="K51" s="885"/>
      <c r="L51" s="885"/>
      <c r="M51" s="885"/>
      <c r="N51" s="885"/>
      <c r="O51" s="885"/>
      <c r="P51" s="885"/>
      <c r="Q51" s="885"/>
      <c r="R51" s="885"/>
      <c r="S51" s="885"/>
      <c r="T51" s="885"/>
      <c r="U51" s="885"/>
      <c r="V51" s="885"/>
      <c r="W51" s="885"/>
      <c r="X51" s="885"/>
      <c r="Y51" s="885"/>
    </row>
    <row r="52" spans="6:44">
      <c r="F52" s="883"/>
      <c r="G52" s="885"/>
      <c r="H52" s="885"/>
      <c r="I52" s="885"/>
      <c r="J52" s="885"/>
      <c r="K52" s="885"/>
      <c r="L52" s="885"/>
      <c r="M52" s="885"/>
      <c r="N52" s="885"/>
      <c r="O52" s="885"/>
      <c r="P52" s="885"/>
      <c r="Q52" s="885"/>
      <c r="R52" s="885"/>
      <c r="S52" s="885"/>
      <c r="T52" s="885"/>
      <c r="U52" s="885"/>
      <c r="V52" s="885"/>
      <c r="W52" s="885"/>
      <c r="X52" s="885"/>
      <c r="Y52" s="885"/>
    </row>
    <row r="53" spans="6:44">
      <c r="G53" s="885"/>
      <c r="H53" s="885"/>
      <c r="I53" s="885"/>
      <c r="J53" s="885"/>
      <c r="K53" s="885"/>
      <c r="L53" s="885"/>
      <c r="M53" s="885"/>
      <c r="N53" s="885"/>
      <c r="O53" s="885"/>
      <c r="P53" s="885"/>
      <c r="Q53" s="885"/>
      <c r="R53" s="885"/>
      <c r="S53" s="885"/>
      <c r="T53" s="885"/>
      <c r="U53" s="885"/>
      <c r="V53" s="885"/>
      <c r="W53" s="885"/>
      <c r="X53" s="885"/>
      <c r="Y53" s="885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7EE71-8645-B04D-82A8-A7301CFF3424}">
  <dimension ref="A2:AA507"/>
  <sheetViews>
    <sheetView topLeftCell="E29" workbookViewId="0">
      <selection activeCell="AA205" sqref="AA205"/>
    </sheetView>
  </sheetViews>
  <sheetFormatPr baseColWidth="10" defaultRowHeight="13"/>
  <cols>
    <col min="1" max="1" width="48.6640625" style="730" customWidth="1"/>
    <col min="2" max="2" width="11.1640625" style="730" bestFit="1" customWidth="1"/>
    <col min="3" max="16384" width="10.83203125" style="730"/>
  </cols>
  <sheetData>
    <row r="2" spans="1:27">
      <c r="A2" s="729" t="s">
        <v>578</v>
      </c>
    </row>
    <row r="3" spans="1:27">
      <c r="A3" s="731" t="e">
        <f>#REF!</f>
        <v>#REF!</v>
      </c>
    </row>
    <row r="5" spans="1:27">
      <c r="A5" s="732" t="s">
        <v>579</v>
      </c>
      <c r="D5" s="730" t="s">
        <v>773</v>
      </c>
    </row>
    <row r="6" spans="1:27" ht="15">
      <c r="A6" s="730" t="s">
        <v>774</v>
      </c>
      <c r="B6" s="753" t="e">
        <f>#REF!/D6</f>
        <v>#REF!</v>
      </c>
      <c r="D6" s="766">
        <v>1.1743427049999999</v>
      </c>
    </row>
    <row r="8" spans="1:27">
      <c r="A8" s="732" t="s">
        <v>774</v>
      </c>
    </row>
    <row r="10" spans="1:27">
      <c r="A10" s="733" t="s">
        <v>581</v>
      </c>
      <c r="B10" s="734"/>
      <c r="C10" s="734"/>
      <c r="D10" s="734"/>
      <c r="E10" s="734"/>
      <c r="F10" s="734"/>
      <c r="G10" s="734"/>
      <c r="H10" s="734"/>
      <c r="I10" s="734"/>
      <c r="J10" s="734"/>
      <c r="K10" s="734"/>
      <c r="L10" s="734"/>
      <c r="M10" s="734"/>
      <c r="N10" s="734"/>
      <c r="O10" s="734"/>
      <c r="P10" s="734"/>
      <c r="Q10" s="734"/>
      <c r="R10" s="734"/>
      <c r="S10" s="734"/>
      <c r="T10" s="734"/>
      <c r="U10" s="734"/>
      <c r="V10" s="734"/>
      <c r="W10" s="734"/>
      <c r="X10" s="734"/>
      <c r="Y10" s="734"/>
      <c r="Z10" s="734"/>
      <c r="AA10" s="734"/>
    </row>
    <row r="12" spans="1:27">
      <c r="A12" s="735" t="s">
        <v>582</v>
      </c>
      <c r="B12" s="735">
        <v>2003</v>
      </c>
      <c r="C12" s="735">
        <v>2004</v>
      </c>
      <c r="D12" s="735">
        <v>2005</v>
      </c>
      <c r="E12" s="735">
        <v>2006</v>
      </c>
      <c r="F12" s="735">
        <v>2007</v>
      </c>
      <c r="G12" s="735">
        <v>2008</v>
      </c>
      <c r="H12" s="735">
        <v>2009</v>
      </c>
      <c r="I12" s="735">
        <v>2010</v>
      </c>
      <c r="J12" s="735">
        <v>2011</v>
      </c>
      <c r="K12" s="735">
        <v>2012</v>
      </c>
      <c r="L12" s="735">
        <v>2013</v>
      </c>
      <c r="M12" s="735">
        <v>2014</v>
      </c>
      <c r="N12" s="735">
        <v>2015</v>
      </c>
      <c r="O12" s="735">
        <v>2016</v>
      </c>
      <c r="P12" s="735">
        <v>2017</v>
      </c>
      <c r="Q12" s="735">
        <v>2018</v>
      </c>
      <c r="R12" s="735">
        <v>2019</v>
      </c>
      <c r="S12" s="735">
        <v>2020</v>
      </c>
      <c r="T12" s="735">
        <v>2021</v>
      </c>
      <c r="U12" s="735">
        <v>2022</v>
      </c>
      <c r="V12" s="735">
        <v>2023</v>
      </c>
      <c r="W12" s="735">
        <v>2024</v>
      </c>
      <c r="X12" s="735">
        <v>2025</v>
      </c>
      <c r="Y12" s="735">
        <v>2026</v>
      </c>
      <c r="Z12" s="735">
        <v>2027</v>
      </c>
      <c r="AA12" s="735">
        <v>2028</v>
      </c>
    </row>
    <row r="14" spans="1:27" ht="15">
      <c r="A14" s="730" t="s">
        <v>583</v>
      </c>
      <c r="B14" s="736" t="e">
        <f>B106</f>
        <v>#REF!</v>
      </c>
      <c r="C14" s="736" t="e">
        <f t="shared" ref="C14:Z14" si="0">C106</f>
        <v>#REF!</v>
      </c>
      <c r="D14" s="736" t="e">
        <f t="shared" si="0"/>
        <v>#REF!</v>
      </c>
      <c r="E14" s="736" t="e">
        <f t="shared" si="0"/>
        <v>#REF!</v>
      </c>
      <c r="F14" s="736" t="e">
        <f t="shared" si="0"/>
        <v>#REF!</v>
      </c>
      <c r="G14" s="736" t="e">
        <f t="shared" si="0"/>
        <v>#REF!</v>
      </c>
      <c r="H14" s="736" t="e">
        <f t="shared" si="0"/>
        <v>#REF!</v>
      </c>
      <c r="I14" s="736" t="e">
        <f t="shared" si="0"/>
        <v>#REF!</v>
      </c>
      <c r="J14" s="736" t="e">
        <f t="shared" si="0"/>
        <v>#REF!</v>
      </c>
      <c r="K14" s="736" t="e">
        <f t="shared" si="0"/>
        <v>#REF!</v>
      </c>
      <c r="L14" s="736" t="e">
        <f t="shared" si="0"/>
        <v>#REF!</v>
      </c>
      <c r="M14" s="736" t="e">
        <f t="shared" si="0"/>
        <v>#REF!</v>
      </c>
      <c r="N14" s="736" t="e">
        <f t="shared" si="0"/>
        <v>#REF!</v>
      </c>
      <c r="O14" s="736" t="e">
        <f t="shared" si="0"/>
        <v>#REF!</v>
      </c>
      <c r="P14" s="736" t="e">
        <f t="shared" si="0"/>
        <v>#REF!</v>
      </c>
      <c r="Q14" s="736" t="e">
        <f t="shared" si="0"/>
        <v>#REF!</v>
      </c>
      <c r="R14" s="736" t="e">
        <f t="shared" si="0"/>
        <v>#REF!</v>
      </c>
      <c r="S14" s="736" t="e">
        <f t="shared" si="0"/>
        <v>#REF!</v>
      </c>
      <c r="T14" s="736" t="e">
        <f t="shared" si="0"/>
        <v>#REF!</v>
      </c>
      <c r="U14" s="736" t="e">
        <f t="shared" si="0"/>
        <v>#REF!</v>
      </c>
      <c r="V14" s="736" t="e">
        <f t="shared" si="0"/>
        <v>#REF!</v>
      </c>
      <c r="W14" s="736" t="e">
        <f t="shared" si="0"/>
        <v>#REF!</v>
      </c>
      <c r="X14" s="736" t="e">
        <f t="shared" si="0"/>
        <v>#REF!</v>
      </c>
      <c r="Y14" s="736" t="e">
        <f t="shared" si="0"/>
        <v>#REF!</v>
      </c>
      <c r="Z14" s="736" t="e">
        <f t="shared" si="0"/>
        <v>#REF!</v>
      </c>
      <c r="AA14" s="736" t="e">
        <f t="shared" ref="AA14" si="1">AA106</f>
        <v>#REF!</v>
      </c>
    </row>
    <row r="15" spans="1:27" ht="15">
      <c r="A15" s="730" t="s">
        <v>584</v>
      </c>
      <c r="B15" s="736" t="e">
        <f>B304</f>
        <v>#REF!</v>
      </c>
      <c r="C15" s="736" t="e">
        <f t="shared" ref="C15:Z15" si="2">C304</f>
        <v>#REF!</v>
      </c>
      <c r="D15" s="736" t="e">
        <f t="shared" si="2"/>
        <v>#REF!</v>
      </c>
      <c r="E15" s="736" t="e">
        <f t="shared" si="2"/>
        <v>#REF!</v>
      </c>
      <c r="F15" s="736" t="e">
        <f t="shared" si="2"/>
        <v>#REF!</v>
      </c>
      <c r="G15" s="736" t="e">
        <f t="shared" si="2"/>
        <v>#REF!</v>
      </c>
      <c r="H15" s="736" t="e">
        <f t="shared" si="2"/>
        <v>#REF!</v>
      </c>
      <c r="I15" s="736" t="e">
        <f t="shared" si="2"/>
        <v>#REF!</v>
      </c>
      <c r="J15" s="736" t="e">
        <f t="shared" si="2"/>
        <v>#REF!</v>
      </c>
      <c r="K15" s="736" t="e">
        <f t="shared" si="2"/>
        <v>#REF!</v>
      </c>
      <c r="L15" s="736" t="e">
        <f t="shared" si="2"/>
        <v>#REF!</v>
      </c>
      <c r="M15" s="736" t="e">
        <f t="shared" si="2"/>
        <v>#REF!</v>
      </c>
      <c r="N15" s="736" t="e">
        <f t="shared" si="2"/>
        <v>#REF!</v>
      </c>
      <c r="O15" s="736" t="e">
        <f t="shared" si="2"/>
        <v>#REF!</v>
      </c>
      <c r="P15" s="736" t="e">
        <f t="shared" si="2"/>
        <v>#REF!</v>
      </c>
      <c r="Q15" s="736" t="e">
        <f t="shared" si="2"/>
        <v>#REF!</v>
      </c>
      <c r="R15" s="736" t="e">
        <f t="shared" si="2"/>
        <v>#REF!</v>
      </c>
      <c r="S15" s="736" t="e">
        <f t="shared" si="2"/>
        <v>#REF!</v>
      </c>
      <c r="T15" s="736" t="e">
        <f t="shared" si="2"/>
        <v>#REF!</v>
      </c>
      <c r="U15" s="736" t="e">
        <f t="shared" si="2"/>
        <v>#REF!</v>
      </c>
      <c r="V15" s="736" t="e">
        <f t="shared" si="2"/>
        <v>#REF!</v>
      </c>
      <c r="W15" s="736" t="e">
        <f t="shared" si="2"/>
        <v>#REF!</v>
      </c>
      <c r="X15" s="736" t="e">
        <f t="shared" si="2"/>
        <v>#REF!</v>
      </c>
      <c r="Y15" s="736" t="e">
        <f t="shared" si="2"/>
        <v>#REF!</v>
      </c>
      <c r="Z15" s="736" t="e">
        <f t="shared" si="2"/>
        <v>#REF!</v>
      </c>
      <c r="AA15" s="736" t="e">
        <f t="shared" ref="AA15" si="3">AA304</f>
        <v>#REF!</v>
      </c>
    </row>
    <row r="16" spans="1:27" ht="15">
      <c r="A16" s="756" t="s">
        <v>585</v>
      </c>
      <c r="B16" s="757" t="e">
        <f>B14+B15</f>
        <v>#REF!</v>
      </c>
      <c r="C16" s="757" t="e">
        <f t="shared" ref="C16:Z16" si="4">C14+C15</f>
        <v>#REF!</v>
      </c>
      <c r="D16" s="757" t="e">
        <f t="shared" si="4"/>
        <v>#REF!</v>
      </c>
      <c r="E16" s="757" t="e">
        <f t="shared" si="4"/>
        <v>#REF!</v>
      </c>
      <c r="F16" s="757" t="e">
        <f t="shared" si="4"/>
        <v>#REF!</v>
      </c>
      <c r="G16" s="757" t="e">
        <f t="shared" si="4"/>
        <v>#REF!</v>
      </c>
      <c r="H16" s="757" t="e">
        <f t="shared" si="4"/>
        <v>#REF!</v>
      </c>
      <c r="I16" s="757" t="e">
        <f t="shared" si="4"/>
        <v>#REF!</v>
      </c>
      <c r="J16" s="757" t="e">
        <f t="shared" si="4"/>
        <v>#REF!</v>
      </c>
      <c r="K16" s="757" t="e">
        <f t="shared" si="4"/>
        <v>#REF!</v>
      </c>
      <c r="L16" s="757" t="e">
        <f t="shared" si="4"/>
        <v>#REF!</v>
      </c>
      <c r="M16" s="757" t="e">
        <f t="shared" si="4"/>
        <v>#REF!</v>
      </c>
      <c r="N16" s="757" t="e">
        <f t="shared" si="4"/>
        <v>#REF!</v>
      </c>
      <c r="O16" s="757" t="e">
        <f t="shared" si="4"/>
        <v>#REF!</v>
      </c>
      <c r="P16" s="757" t="e">
        <f t="shared" si="4"/>
        <v>#REF!</v>
      </c>
      <c r="Q16" s="757" t="e">
        <f t="shared" si="4"/>
        <v>#REF!</v>
      </c>
      <c r="R16" s="757" t="e">
        <f t="shared" si="4"/>
        <v>#REF!</v>
      </c>
      <c r="S16" s="757" t="e">
        <f t="shared" si="4"/>
        <v>#REF!</v>
      </c>
      <c r="T16" s="757" t="e">
        <f t="shared" si="4"/>
        <v>#REF!</v>
      </c>
      <c r="U16" s="757" t="e">
        <f t="shared" si="4"/>
        <v>#REF!</v>
      </c>
      <c r="V16" s="757" t="e">
        <f t="shared" si="4"/>
        <v>#REF!</v>
      </c>
      <c r="W16" s="757" t="e">
        <f t="shared" si="4"/>
        <v>#REF!</v>
      </c>
      <c r="X16" s="757" t="e">
        <f t="shared" si="4"/>
        <v>#REF!</v>
      </c>
      <c r="Y16" s="757" t="e">
        <f t="shared" si="4"/>
        <v>#REF!</v>
      </c>
      <c r="Z16" s="757" t="e">
        <f t="shared" si="4"/>
        <v>#REF!</v>
      </c>
      <c r="AA16" s="757" t="e">
        <f t="shared" ref="AA16" si="5">AA14+AA15</f>
        <v>#REF!</v>
      </c>
    </row>
    <row r="17" spans="1:27" ht="15">
      <c r="A17" s="730" t="s">
        <v>586</v>
      </c>
      <c r="B17" s="736" t="e">
        <f>B457</f>
        <v>#REF!</v>
      </c>
      <c r="C17" s="736" t="e">
        <f t="shared" ref="C17:Z17" si="6">C457</f>
        <v>#REF!</v>
      </c>
      <c r="D17" s="736" t="e">
        <f t="shared" si="6"/>
        <v>#REF!</v>
      </c>
      <c r="E17" s="736" t="e">
        <f t="shared" si="6"/>
        <v>#REF!</v>
      </c>
      <c r="F17" s="736" t="e">
        <f t="shared" si="6"/>
        <v>#REF!</v>
      </c>
      <c r="G17" s="736" t="e">
        <f t="shared" si="6"/>
        <v>#REF!</v>
      </c>
      <c r="H17" s="736" t="e">
        <f t="shared" si="6"/>
        <v>#REF!</v>
      </c>
      <c r="I17" s="736" t="e">
        <f t="shared" si="6"/>
        <v>#REF!</v>
      </c>
      <c r="J17" s="736" t="e">
        <f t="shared" si="6"/>
        <v>#REF!</v>
      </c>
      <c r="K17" s="736" t="e">
        <f t="shared" si="6"/>
        <v>#REF!</v>
      </c>
      <c r="L17" s="736" t="e">
        <f t="shared" si="6"/>
        <v>#REF!</v>
      </c>
      <c r="M17" s="736" t="e">
        <f t="shared" si="6"/>
        <v>#REF!</v>
      </c>
      <c r="N17" s="736" t="e">
        <f t="shared" si="6"/>
        <v>#REF!</v>
      </c>
      <c r="O17" s="736" t="e">
        <f t="shared" si="6"/>
        <v>#REF!</v>
      </c>
      <c r="P17" s="736" t="e">
        <f t="shared" si="6"/>
        <v>#REF!</v>
      </c>
      <c r="Q17" s="736" t="e">
        <f t="shared" si="6"/>
        <v>#REF!</v>
      </c>
      <c r="R17" s="736" t="e">
        <f t="shared" si="6"/>
        <v>#REF!</v>
      </c>
      <c r="S17" s="736" t="e">
        <f t="shared" si="6"/>
        <v>#REF!</v>
      </c>
      <c r="T17" s="736" t="e">
        <f t="shared" si="6"/>
        <v>#REF!</v>
      </c>
      <c r="U17" s="736" t="e">
        <f t="shared" si="6"/>
        <v>#REF!</v>
      </c>
      <c r="V17" s="736" t="e">
        <f t="shared" si="6"/>
        <v>#REF!</v>
      </c>
      <c r="W17" s="736" t="e">
        <f t="shared" si="6"/>
        <v>#REF!</v>
      </c>
      <c r="X17" s="736" t="e">
        <f t="shared" si="6"/>
        <v>#REF!</v>
      </c>
      <c r="Y17" s="736" t="e">
        <f t="shared" si="6"/>
        <v>#REF!</v>
      </c>
      <c r="Z17" s="736" t="e">
        <f t="shared" si="6"/>
        <v>#REF!</v>
      </c>
      <c r="AA17" s="736" t="e">
        <f t="shared" ref="AA17" si="7">AA457</f>
        <v>#REF!</v>
      </c>
    </row>
    <row r="18" spans="1:27" ht="16" thickBot="1">
      <c r="A18" s="754" t="s">
        <v>587</v>
      </c>
      <c r="B18" s="755" t="e">
        <f>B16+B17</f>
        <v>#REF!</v>
      </c>
      <c r="C18" s="755" t="e">
        <f t="shared" ref="C18:Z18" si="8">C16+C17</f>
        <v>#REF!</v>
      </c>
      <c r="D18" s="755" t="e">
        <f t="shared" si="8"/>
        <v>#REF!</v>
      </c>
      <c r="E18" s="755" t="e">
        <f t="shared" si="8"/>
        <v>#REF!</v>
      </c>
      <c r="F18" s="755" t="e">
        <f t="shared" si="8"/>
        <v>#REF!</v>
      </c>
      <c r="G18" s="755" t="e">
        <f t="shared" si="8"/>
        <v>#REF!</v>
      </c>
      <c r="H18" s="755" t="e">
        <f t="shared" si="8"/>
        <v>#REF!</v>
      </c>
      <c r="I18" s="755" t="e">
        <f t="shared" si="8"/>
        <v>#REF!</v>
      </c>
      <c r="J18" s="755" t="e">
        <f t="shared" si="8"/>
        <v>#REF!</v>
      </c>
      <c r="K18" s="755" t="e">
        <f t="shared" si="8"/>
        <v>#REF!</v>
      </c>
      <c r="L18" s="755" t="e">
        <f t="shared" si="8"/>
        <v>#REF!</v>
      </c>
      <c r="M18" s="755" t="e">
        <f t="shared" si="8"/>
        <v>#REF!</v>
      </c>
      <c r="N18" s="755" t="e">
        <f t="shared" si="8"/>
        <v>#REF!</v>
      </c>
      <c r="O18" s="755" t="e">
        <f t="shared" si="8"/>
        <v>#REF!</v>
      </c>
      <c r="P18" s="755" t="e">
        <f t="shared" si="8"/>
        <v>#REF!</v>
      </c>
      <c r="Q18" s="755" t="e">
        <f t="shared" si="8"/>
        <v>#REF!</v>
      </c>
      <c r="R18" s="755" t="e">
        <f t="shared" si="8"/>
        <v>#REF!</v>
      </c>
      <c r="S18" s="755" t="e">
        <f t="shared" si="8"/>
        <v>#REF!</v>
      </c>
      <c r="T18" s="755" t="e">
        <f t="shared" si="8"/>
        <v>#REF!</v>
      </c>
      <c r="U18" s="755" t="e">
        <f t="shared" si="8"/>
        <v>#REF!</v>
      </c>
      <c r="V18" s="755" t="e">
        <f t="shared" si="8"/>
        <v>#REF!</v>
      </c>
      <c r="W18" s="755" t="e">
        <f t="shared" si="8"/>
        <v>#REF!</v>
      </c>
      <c r="X18" s="755" t="e">
        <f t="shared" si="8"/>
        <v>#REF!</v>
      </c>
      <c r="Y18" s="755" t="e">
        <f t="shared" si="8"/>
        <v>#REF!</v>
      </c>
      <c r="Z18" s="755" t="e">
        <f t="shared" si="8"/>
        <v>#REF!</v>
      </c>
      <c r="AA18" s="755" t="e">
        <f t="shared" ref="AA18" si="9">AA16+AA17</f>
        <v>#REF!</v>
      </c>
    </row>
    <row r="21" spans="1:27" ht="15">
      <c r="A21" s="730" t="s">
        <v>588</v>
      </c>
      <c r="B21" s="736" t="e">
        <f>B110</f>
        <v>#REF!</v>
      </c>
      <c r="C21" s="736" t="e">
        <f t="shared" ref="C21:Z21" si="10">C110</f>
        <v>#REF!</v>
      </c>
      <c r="D21" s="736" t="e">
        <f t="shared" si="10"/>
        <v>#REF!</v>
      </c>
      <c r="E21" s="736" t="e">
        <f t="shared" si="10"/>
        <v>#REF!</v>
      </c>
      <c r="F21" s="736" t="e">
        <f t="shared" si="10"/>
        <v>#REF!</v>
      </c>
      <c r="G21" s="736" t="e">
        <f t="shared" si="10"/>
        <v>#REF!</v>
      </c>
      <c r="H21" s="736" t="e">
        <f t="shared" si="10"/>
        <v>#REF!</v>
      </c>
      <c r="I21" s="736" t="e">
        <f t="shared" si="10"/>
        <v>#REF!</v>
      </c>
      <c r="J21" s="736" t="e">
        <f t="shared" si="10"/>
        <v>#REF!</v>
      </c>
      <c r="K21" s="736" t="e">
        <f t="shared" si="10"/>
        <v>#REF!</v>
      </c>
      <c r="L21" s="736" t="e">
        <f t="shared" si="10"/>
        <v>#REF!</v>
      </c>
      <c r="M21" s="736" t="e">
        <f t="shared" si="10"/>
        <v>#REF!</v>
      </c>
      <c r="N21" s="736" t="e">
        <f t="shared" si="10"/>
        <v>#REF!</v>
      </c>
      <c r="O21" s="736" t="e">
        <f t="shared" si="10"/>
        <v>#REF!</v>
      </c>
      <c r="P21" s="736" t="e">
        <f t="shared" si="10"/>
        <v>#REF!</v>
      </c>
      <c r="Q21" s="736" t="e">
        <f t="shared" si="10"/>
        <v>#REF!</v>
      </c>
      <c r="R21" s="736" t="e">
        <f t="shared" si="10"/>
        <v>#REF!</v>
      </c>
      <c r="S21" s="736" t="e">
        <f t="shared" si="10"/>
        <v>#REF!</v>
      </c>
      <c r="T21" s="736" t="e">
        <f t="shared" si="10"/>
        <v>#REF!</v>
      </c>
      <c r="U21" s="736" t="e">
        <f t="shared" si="10"/>
        <v>#REF!</v>
      </c>
      <c r="V21" s="736" t="e">
        <f t="shared" si="10"/>
        <v>#REF!</v>
      </c>
      <c r="W21" s="736" t="e">
        <f t="shared" si="10"/>
        <v>#REF!</v>
      </c>
      <c r="X21" s="736" t="e">
        <f t="shared" si="10"/>
        <v>#REF!</v>
      </c>
      <c r="Y21" s="736" t="e">
        <f t="shared" si="10"/>
        <v>#REF!</v>
      </c>
      <c r="Z21" s="736" t="e">
        <f t="shared" si="10"/>
        <v>#REF!</v>
      </c>
      <c r="AA21" s="736" t="e">
        <f t="shared" ref="AA21" si="11">AA110</f>
        <v>#REF!</v>
      </c>
    </row>
    <row r="22" spans="1:27" ht="15">
      <c r="A22" s="730" t="s">
        <v>589</v>
      </c>
      <c r="B22" s="736" t="e">
        <f>B306</f>
        <v>#REF!</v>
      </c>
      <c r="C22" s="736" t="e">
        <f t="shared" ref="C22:Z22" si="12">C306</f>
        <v>#REF!</v>
      </c>
      <c r="D22" s="736" t="e">
        <f t="shared" si="12"/>
        <v>#REF!</v>
      </c>
      <c r="E22" s="736" t="e">
        <f t="shared" si="12"/>
        <v>#REF!</v>
      </c>
      <c r="F22" s="736" t="e">
        <f t="shared" si="12"/>
        <v>#REF!</v>
      </c>
      <c r="G22" s="736" t="e">
        <f t="shared" si="12"/>
        <v>#REF!</v>
      </c>
      <c r="H22" s="736" t="e">
        <f t="shared" si="12"/>
        <v>#REF!</v>
      </c>
      <c r="I22" s="736" t="e">
        <f t="shared" si="12"/>
        <v>#REF!</v>
      </c>
      <c r="J22" s="736" t="e">
        <f t="shared" si="12"/>
        <v>#REF!</v>
      </c>
      <c r="K22" s="736" t="e">
        <f t="shared" si="12"/>
        <v>#REF!</v>
      </c>
      <c r="L22" s="736" t="e">
        <f t="shared" si="12"/>
        <v>#REF!</v>
      </c>
      <c r="M22" s="736" t="e">
        <f t="shared" si="12"/>
        <v>#REF!</v>
      </c>
      <c r="N22" s="736" t="e">
        <f t="shared" si="12"/>
        <v>#REF!</v>
      </c>
      <c r="O22" s="736" t="e">
        <f t="shared" si="12"/>
        <v>#REF!</v>
      </c>
      <c r="P22" s="736" t="e">
        <f t="shared" si="12"/>
        <v>#REF!</v>
      </c>
      <c r="Q22" s="736" t="e">
        <f t="shared" si="12"/>
        <v>#REF!</v>
      </c>
      <c r="R22" s="736" t="e">
        <f t="shared" si="12"/>
        <v>#REF!</v>
      </c>
      <c r="S22" s="736" t="e">
        <f t="shared" si="12"/>
        <v>#REF!</v>
      </c>
      <c r="T22" s="736" t="e">
        <f t="shared" si="12"/>
        <v>#REF!</v>
      </c>
      <c r="U22" s="736" t="e">
        <f t="shared" si="12"/>
        <v>#REF!</v>
      </c>
      <c r="V22" s="736" t="e">
        <f t="shared" si="12"/>
        <v>#REF!</v>
      </c>
      <c r="W22" s="736" t="e">
        <f t="shared" si="12"/>
        <v>#REF!</v>
      </c>
      <c r="X22" s="736" t="e">
        <f t="shared" si="12"/>
        <v>#REF!</v>
      </c>
      <c r="Y22" s="736" t="e">
        <f t="shared" si="12"/>
        <v>#REF!</v>
      </c>
      <c r="Z22" s="736" t="e">
        <f t="shared" si="12"/>
        <v>#REF!</v>
      </c>
      <c r="AA22" s="736" t="e">
        <f t="shared" ref="AA22" si="13">AA306</f>
        <v>#REF!</v>
      </c>
    </row>
    <row r="23" spans="1:27" ht="15">
      <c r="A23" s="756" t="s">
        <v>590</v>
      </c>
      <c r="B23" s="757" t="e">
        <f>B21+B22</f>
        <v>#REF!</v>
      </c>
      <c r="C23" s="757" t="e">
        <f t="shared" ref="C23:Z23" si="14">C21+C22</f>
        <v>#REF!</v>
      </c>
      <c r="D23" s="757" t="e">
        <f t="shared" si="14"/>
        <v>#REF!</v>
      </c>
      <c r="E23" s="757" t="e">
        <f t="shared" si="14"/>
        <v>#REF!</v>
      </c>
      <c r="F23" s="757" t="e">
        <f t="shared" si="14"/>
        <v>#REF!</v>
      </c>
      <c r="G23" s="757" t="e">
        <f t="shared" si="14"/>
        <v>#REF!</v>
      </c>
      <c r="H23" s="757" t="e">
        <f t="shared" si="14"/>
        <v>#REF!</v>
      </c>
      <c r="I23" s="757" t="e">
        <f t="shared" si="14"/>
        <v>#REF!</v>
      </c>
      <c r="J23" s="757" t="e">
        <f t="shared" si="14"/>
        <v>#REF!</v>
      </c>
      <c r="K23" s="757" t="e">
        <f t="shared" si="14"/>
        <v>#REF!</v>
      </c>
      <c r="L23" s="757" t="e">
        <f t="shared" si="14"/>
        <v>#REF!</v>
      </c>
      <c r="M23" s="757" t="e">
        <f t="shared" si="14"/>
        <v>#REF!</v>
      </c>
      <c r="N23" s="757" t="e">
        <f t="shared" si="14"/>
        <v>#REF!</v>
      </c>
      <c r="O23" s="757" t="e">
        <f t="shared" si="14"/>
        <v>#REF!</v>
      </c>
      <c r="P23" s="757" t="e">
        <f t="shared" si="14"/>
        <v>#REF!</v>
      </c>
      <c r="Q23" s="757" t="e">
        <f t="shared" si="14"/>
        <v>#REF!</v>
      </c>
      <c r="R23" s="757" t="e">
        <f t="shared" si="14"/>
        <v>#REF!</v>
      </c>
      <c r="S23" s="757" t="e">
        <f t="shared" si="14"/>
        <v>#REF!</v>
      </c>
      <c r="T23" s="757" t="e">
        <f t="shared" si="14"/>
        <v>#REF!</v>
      </c>
      <c r="U23" s="757" t="e">
        <f t="shared" si="14"/>
        <v>#REF!</v>
      </c>
      <c r="V23" s="757" t="e">
        <f t="shared" si="14"/>
        <v>#REF!</v>
      </c>
      <c r="W23" s="757" t="e">
        <f t="shared" si="14"/>
        <v>#REF!</v>
      </c>
      <c r="X23" s="757" t="e">
        <f t="shared" si="14"/>
        <v>#REF!</v>
      </c>
      <c r="Y23" s="757" t="e">
        <f t="shared" si="14"/>
        <v>#REF!</v>
      </c>
      <c r="Z23" s="757" t="e">
        <f t="shared" si="14"/>
        <v>#REF!</v>
      </c>
      <c r="AA23" s="757" t="e">
        <f t="shared" ref="AA23" si="15">AA21+AA22</f>
        <v>#REF!</v>
      </c>
    </row>
    <row r="24" spans="1:27" ht="15">
      <c r="A24" s="730" t="s">
        <v>591</v>
      </c>
      <c r="B24" s="736" t="e">
        <f>B470</f>
        <v>#REF!</v>
      </c>
      <c r="C24" s="736" t="e">
        <f t="shared" ref="C24:Z24" si="16">C470</f>
        <v>#REF!</v>
      </c>
      <c r="D24" s="736" t="e">
        <f t="shared" si="16"/>
        <v>#REF!</v>
      </c>
      <c r="E24" s="736" t="e">
        <f t="shared" si="16"/>
        <v>#REF!</v>
      </c>
      <c r="F24" s="736" t="e">
        <f t="shared" si="16"/>
        <v>#REF!</v>
      </c>
      <c r="G24" s="736" t="e">
        <f t="shared" si="16"/>
        <v>#REF!</v>
      </c>
      <c r="H24" s="736" t="e">
        <f t="shared" si="16"/>
        <v>#REF!</v>
      </c>
      <c r="I24" s="736" t="e">
        <f t="shared" si="16"/>
        <v>#REF!</v>
      </c>
      <c r="J24" s="736" t="e">
        <f t="shared" si="16"/>
        <v>#REF!</v>
      </c>
      <c r="K24" s="736" t="e">
        <f t="shared" si="16"/>
        <v>#REF!</v>
      </c>
      <c r="L24" s="736" t="e">
        <f t="shared" si="16"/>
        <v>#REF!</v>
      </c>
      <c r="M24" s="736" t="e">
        <f t="shared" si="16"/>
        <v>#REF!</v>
      </c>
      <c r="N24" s="736" t="e">
        <f t="shared" si="16"/>
        <v>#REF!</v>
      </c>
      <c r="O24" s="736" t="e">
        <f t="shared" si="16"/>
        <v>#REF!</v>
      </c>
      <c r="P24" s="736" t="e">
        <f t="shared" si="16"/>
        <v>#REF!</v>
      </c>
      <c r="Q24" s="736" t="e">
        <f t="shared" si="16"/>
        <v>#REF!</v>
      </c>
      <c r="R24" s="736" t="e">
        <f t="shared" si="16"/>
        <v>#REF!</v>
      </c>
      <c r="S24" s="736" t="e">
        <f t="shared" si="16"/>
        <v>#REF!</v>
      </c>
      <c r="T24" s="736" t="e">
        <f t="shared" si="16"/>
        <v>#REF!</v>
      </c>
      <c r="U24" s="736" t="e">
        <f t="shared" si="16"/>
        <v>#REF!</v>
      </c>
      <c r="V24" s="736" t="e">
        <f t="shared" si="16"/>
        <v>#REF!</v>
      </c>
      <c r="W24" s="736" t="e">
        <f t="shared" si="16"/>
        <v>#REF!</v>
      </c>
      <c r="X24" s="736" t="e">
        <f t="shared" si="16"/>
        <v>#REF!</v>
      </c>
      <c r="Y24" s="736" t="e">
        <f t="shared" si="16"/>
        <v>#REF!</v>
      </c>
      <c r="Z24" s="736" t="e">
        <f t="shared" si="16"/>
        <v>#REF!</v>
      </c>
      <c r="AA24" s="736" t="e">
        <f t="shared" ref="AA24" si="17">AA470</f>
        <v>#REF!</v>
      </c>
    </row>
    <row r="25" spans="1:27" ht="16" thickBot="1">
      <c r="A25" s="754" t="s">
        <v>592</v>
      </c>
      <c r="B25" s="755" t="e">
        <f>B23+B24</f>
        <v>#REF!</v>
      </c>
      <c r="C25" s="755" t="e">
        <f t="shared" ref="C25:Z25" si="18">C23+C24</f>
        <v>#REF!</v>
      </c>
      <c r="D25" s="755" t="e">
        <f t="shared" si="18"/>
        <v>#REF!</v>
      </c>
      <c r="E25" s="755" t="e">
        <f t="shared" si="18"/>
        <v>#REF!</v>
      </c>
      <c r="F25" s="755" t="e">
        <f t="shared" si="18"/>
        <v>#REF!</v>
      </c>
      <c r="G25" s="755" t="e">
        <f t="shared" si="18"/>
        <v>#REF!</v>
      </c>
      <c r="H25" s="755" t="e">
        <f t="shared" si="18"/>
        <v>#REF!</v>
      </c>
      <c r="I25" s="755" t="e">
        <f t="shared" si="18"/>
        <v>#REF!</v>
      </c>
      <c r="J25" s="755" t="e">
        <f t="shared" si="18"/>
        <v>#REF!</v>
      </c>
      <c r="K25" s="755" t="e">
        <f t="shared" si="18"/>
        <v>#REF!</v>
      </c>
      <c r="L25" s="755" t="e">
        <f t="shared" si="18"/>
        <v>#REF!</v>
      </c>
      <c r="M25" s="755" t="e">
        <f t="shared" si="18"/>
        <v>#REF!</v>
      </c>
      <c r="N25" s="755" t="e">
        <f t="shared" si="18"/>
        <v>#REF!</v>
      </c>
      <c r="O25" s="755" t="e">
        <f t="shared" si="18"/>
        <v>#REF!</v>
      </c>
      <c r="P25" s="755" t="e">
        <f t="shared" si="18"/>
        <v>#REF!</v>
      </c>
      <c r="Q25" s="755" t="e">
        <f t="shared" si="18"/>
        <v>#REF!</v>
      </c>
      <c r="R25" s="755" t="e">
        <f t="shared" si="18"/>
        <v>#REF!</v>
      </c>
      <c r="S25" s="755" t="e">
        <f t="shared" si="18"/>
        <v>#REF!</v>
      </c>
      <c r="T25" s="755" t="e">
        <f t="shared" si="18"/>
        <v>#REF!</v>
      </c>
      <c r="U25" s="755" t="e">
        <f t="shared" si="18"/>
        <v>#REF!</v>
      </c>
      <c r="V25" s="755" t="e">
        <f t="shared" si="18"/>
        <v>#REF!</v>
      </c>
      <c r="W25" s="755" t="e">
        <f t="shared" si="18"/>
        <v>#REF!</v>
      </c>
      <c r="X25" s="755" t="e">
        <f t="shared" si="18"/>
        <v>#REF!</v>
      </c>
      <c r="Y25" s="755" t="e">
        <f t="shared" si="18"/>
        <v>#REF!</v>
      </c>
      <c r="Z25" s="755" t="e">
        <f t="shared" si="18"/>
        <v>#REF!</v>
      </c>
      <c r="AA25" s="755" t="e">
        <f t="shared" ref="AA25" si="19">AA23+AA24</f>
        <v>#REF!</v>
      </c>
    </row>
    <row r="28" spans="1:27" ht="15">
      <c r="A28" s="730" t="s">
        <v>593</v>
      </c>
      <c r="B28" s="736" t="e">
        <f>B114</f>
        <v>#REF!</v>
      </c>
      <c r="C28" s="736" t="e">
        <f t="shared" ref="C28:Z28" si="20">C114</f>
        <v>#REF!</v>
      </c>
      <c r="D28" s="736" t="e">
        <f t="shared" si="20"/>
        <v>#REF!</v>
      </c>
      <c r="E28" s="736" t="e">
        <f t="shared" si="20"/>
        <v>#REF!</v>
      </c>
      <c r="F28" s="736" t="e">
        <f t="shared" si="20"/>
        <v>#REF!</v>
      </c>
      <c r="G28" s="736" t="e">
        <f t="shared" si="20"/>
        <v>#REF!</v>
      </c>
      <c r="H28" s="736" t="e">
        <f t="shared" si="20"/>
        <v>#REF!</v>
      </c>
      <c r="I28" s="736" t="e">
        <f t="shared" si="20"/>
        <v>#REF!</v>
      </c>
      <c r="J28" s="736" t="e">
        <f t="shared" si="20"/>
        <v>#REF!</v>
      </c>
      <c r="K28" s="736" t="e">
        <f t="shared" si="20"/>
        <v>#REF!</v>
      </c>
      <c r="L28" s="736" t="e">
        <f t="shared" si="20"/>
        <v>#REF!</v>
      </c>
      <c r="M28" s="736" t="e">
        <f t="shared" si="20"/>
        <v>#REF!</v>
      </c>
      <c r="N28" s="736" t="e">
        <f t="shared" si="20"/>
        <v>#REF!</v>
      </c>
      <c r="O28" s="736" t="e">
        <f t="shared" si="20"/>
        <v>#REF!</v>
      </c>
      <c r="P28" s="736" t="e">
        <f t="shared" si="20"/>
        <v>#REF!</v>
      </c>
      <c r="Q28" s="736" t="e">
        <f t="shared" si="20"/>
        <v>#REF!</v>
      </c>
      <c r="R28" s="736" t="e">
        <f t="shared" si="20"/>
        <v>#REF!</v>
      </c>
      <c r="S28" s="736" t="e">
        <f t="shared" si="20"/>
        <v>#REF!</v>
      </c>
      <c r="T28" s="736" t="e">
        <f t="shared" si="20"/>
        <v>#REF!</v>
      </c>
      <c r="U28" s="736" t="e">
        <f t="shared" si="20"/>
        <v>#REF!</v>
      </c>
      <c r="V28" s="736" t="e">
        <f t="shared" si="20"/>
        <v>#REF!</v>
      </c>
      <c r="W28" s="736" t="e">
        <f t="shared" si="20"/>
        <v>#REF!</v>
      </c>
      <c r="X28" s="736" t="e">
        <f t="shared" si="20"/>
        <v>#REF!</v>
      </c>
      <c r="Y28" s="736" t="e">
        <f t="shared" si="20"/>
        <v>#REF!</v>
      </c>
      <c r="Z28" s="736" t="e">
        <f t="shared" si="20"/>
        <v>#REF!</v>
      </c>
      <c r="AA28" s="736" t="e">
        <f t="shared" ref="AA28" si="21">AA114</f>
        <v>#REF!</v>
      </c>
    </row>
    <row r="29" spans="1:27" ht="15">
      <c r="A29" s="730" t="s">
        <v>594</v>
      </c>
      <c r="B29" s="736" t="e">
        <f>B308</f>
        <v>#REF!</v>
      </c>
      <c r="C29" s="736" t="e">
        <f t="shared" ref="C29:Z29" si="22">C308</f>
        <v>#REF!</v>
      </c>
      <c r="D29" s="736" t="e">
        <f t="shared" si="22"/>
        <v>#REF!</v>
      </c>
      <c r="E29" s="736" t="e">
        <f t="shared" si="22"/>
        <v>#REF!</v>
      </c>
      <c r="F29" s="736" t="e">
        <f t="shared" si="22"/>
        <v>#REF!</v>
      </c>
      <c r="G29" s="736" t="e">
        <f t="shared" si="22"/>
        <v>#REF!</v>
      </c>
      <c r="H29" s="736" t="e">
        <f t="shared" si="22"/>
        <v>#REF!</v>
      </c>
      <c r="I29" s="736" t="e">
        <f t="shared" si="22"/>
        <v>#REF!</v>
      </c>
      <c r="J29" s="736" t="e">
        <f t="shared" si="22"/>
        <v>#REF!</v>
      </c>
      <c r="K29" s="736" t="e">
        <f t="shared" si="22"/>
        <v>#REF!</v>
      </c>
      <c r="L29" s="736" t="e">
        <f t="shared" si="22"/>
        <v>#REF!</v>
      </c>
      <c r="M29" s="736" t="e">
        <f t="shared" si="22"/>
        <v>#REF!</v>
      </c>
      <c r="N29" s="736" t="e">
        <f t="shared" si="22"/>
        <v>#REF!</v>
      </c>
      <c r="O29" s="736" t="e">
        <f t="shared" si="22"/>
        <v>#REF!</v>
      </c>
      <c r="P29" s="736" t="e">
        <f t="shared" si="22"/>
        <v>#REF!</v>
      </c>
      <c r="Q29" s="736" t="e">
        <f t="shared" si="22"/>
        <v>#REF!</v>
      </c>
      <c r="R29" s="736" t="e">
        <f t="shared" si="22"/>
        <v>#REF!</v>
      </c>
      <c r="S29" s="736" t="e">
        <f t="shared" si="22"/>
        <v>#REF!</v>
      </c>
      <c r="T29" s="736" t="e">
        <f t="shared" si="22"/>
        <v>#REF!</v>
      </c>
      <c r="U29" s="736" t="e">
        <f t="shared" si="22"/>
        <v>#REF!</v>
      </c>
      <c r="V29" s="736" t="e">
        <f t="shared" si="22"/>
        <v>#REF!</v>
      </c>
      <c r="W29" s="736" t="e">
        <f t="shared" si="22"/>
        <v>#REF!</v>
      </c>
      <c r="X29" s="736" t="e">
        <f t="shared" si="22"/>
        <v>#REF!</v>
      </c>
      <c r="Y29" s="736" t="e">
        <f t="shared" si="22"/>
        <v>#REF!</v>
      </c>
      <c r="Z29" s="736" t="e">
        <f t="shared" si="22"/>
        <v>#REF!</v>
      </c>
      <c r="AA29" s="736" t="e">
        <f t="shared" ref="AA29" si="23">AA308</f>
        <v>#REF!</v>
      </c>
    </row>
    <row r="30" spans="1:27" ht="15">
      <c r="A30" s="756" t="s">
        <v>595</v>
      </c>
      <c r="B30" s="757" t="e">
        <f>B28+B29</f>
        <v>#REF!</v>
      </c>
      <c r="C30" s="757" t="e">
        <f t="shared" ref="C30:Z30" si="24">C28+C29</f>
        <v>#REF!</v>
      </c>
      <c r="D30" s="757" t="e">
        <f t="shared" si="24"/>
        <v>#REF!</v>
      </c>
      <c r="E30" s="757" t="e">
        <f t="shared" si="24"/>
        <v>#REF!</v>
      </c>
      <c r="F30" s="757" t="e">
        <f t="shared" si="24"/>
        <v>#REF!</v>
      </c>
      <c r="G30" s="757" t="e">
        <f t="shared" si="24"/>
        <v>#REF!</v>
      </c>
      <c r="H30" s="757" t="e">
        <f t="shared" si="24"/>
        <v>#REF!</v>
      </c>
      <c r="I30" s="757" t="e">
        <f t="shared" si="24"/>
        <v>#REF!</v>
      </c>
      <c r="J30" s="757" t="e">
        <f t="shared" si="24"/>
        <v>#REF!</v>
      </c>
      <c r="K30" s="757" t="e">
        <f t="shared" si="24"/>
        <v>#REF!</v>
      </c>
      <c r="L30" s="757" t="e">
        <f t="shared" si="24"/>
        <v>#REF!</v>
      </c>
      <c r="M30" s="757" t="e">
        <f t="shared" si="24"/>
        <v>#REF!</v>
      </c>
      <c r="N30" s="757" t="e">
        <f t="shared" si="24"/>
        <v>#REF!</v>
      </c>
      <c r="O30" s="757" t="e">
        <f t="shared" si="24"/>
        <v>#REF!</v>
      </c>
      <c r="P30" s="757" t="e">
        <f t="shared" si="24"/>
        <v>#REF!</v>
      </c>
      <c r="Q30" s="757" t="e">
        <f t="shared" si="24"/>
        <v>#REF!</v>
      </c>
      <c r="R30" s="757" t="e">
        <f t="shared" si="24"/>
        <v>#REF!</v>
      </c>
      <c r="S30" s="757" t="e">
        <f t="shared" si="24"/>
        <v>#REF!</v>
      </c>
      <c r="T30" s="757" t="e">
        <f t="shared" si="24"/>
        <v>#REF!</v>
      </c>
      <c r="U30" s="757" t="e">
        <f t="shared" si="24"/>
        <v>#REF!</v>
      </c>
      <c r="V30" s="757" t="e">
        <f t="shared" si="24"/>
        <v>#REF!</v>
      </c>
      <c r="W30" s="757" t="e">
        <f t="shared" si="24"/>
        <v>#REF!</v>
      </c>
      <c r="X30" s="757" t="e">
        <f t="shared" si="24"/>
        <v>#REF!</v>
      </c>
      <c r="Y30" s="757" t="e">
        <f t="shared" si="24"/>
        <v>#REF!</v>
      </c>
      <c r="Z30" s="757" t="e">
        <f t="shared" si="24"/>
        <v>#REF!</v>
      </c>
      <c r="AA30" s="757" t="e">
        <f t="shared" ref="AA30" si="25">AA28+AA29</f>
        <v>#REF!</v>
      </c>
    </row>
    <row r="31" spans="1:27" ht="15">
      <c r="A31" s="730" t="s">
        <v>596</v>
      </c>
      <c r="B31" s="736" t="e">
        <f>B487</f>
        <v>#REF!</v>
      </c>
      <c r="C31" s="736" t="e">
        <f t="shared" ref="C31:Z31" si="26">C487</f>
        <v>#REF!</v>
      </c>
      <c r="D31" s="736" t="e">
        <f t="shared" si="26"/>
        <v>#REF!</v>
      </c>
      <c r="E31" s="736" t="e">
        <f t="shared" si="26"/>
        <v>#REF!</v>
      </c>
      <c r="F31" s="736" t="e">
        <f t="shared" si="26"/>
        <v>#REF!</v>
      </c>
      <c r="G31" s="736" t="e">
        <f t="shared" si="26"/>
        <v>#REF!</v>
      </c>
      <c r="H31" s="736" t="e">
        <f t="shared" si="26"/>
        <v>#REF!</v>
      </c>
      <c r="I31" s="736" t="e">
        <f t="shared" si="26"/>
        <v>#REF!</v>
      </c>
      <c r="J31" s="736" t="e">
        <f t="shared" si="26"/>
        <v>#REF!</v>
      </c>
      <c r="K31" s="736" t="e">
        <f t="shared" si="26"/>
        <v>#REF!</v>
      </c>
      <c r="L31" s="736" t="e">
        <f t="shared" si="26"/>
        <v>#REF!</v>
      </c>
      <c r="M31" s="736" t="e">
        <f t="shared" si="26"/>
        <v>#REF!</v>
      </c>
      <c r="N31" s="736" t="e">
        <f t="shared" si="26"/>
        <v>#REF!</v>
      </c>
      <c r="O31" s="736" t="e">
        <f t="shared" si="26"/>
        <v>#REF!</v>
      </c>
      <c r="P31" s="736" t="e">
        <f t="shared" si="26"/>
        <v>#REF!</v>
      </c>
      <c r="Q31" s="736" t="e">
        <f t="shared" si="26"/>
        <v>#REF!</v>
      </c>
      <c r="R31" s="736" t="e">
        <f t="shared" si="26"/>
        <v>#REF!</v>
      </c>
      <c r="S31" s="736" t="e">
        <f t="shared" si="26"/>
        <v>#REF!</v>
      </c>
      <c r="T31" s="736" t="e">
        <f t="shared" si="26"/>
        <v>#REF!</v>
      </c>
      <c r="U31" s="736" t="e">
        <f t="shared" si="26"/>
        <v>#REF!</v>
      </c>
      <c r="V31" s="736" t="e">
        <f t="shared" si="26"/>
        <v>#REF!</v>
      </c>
      <c r="W31" s="736" t="e">
        <f t="shared" si="26"/>
        <v>#REF!</v>
      </c>
      <c r="X31" s="736" t="e">
        <f t="shared" si="26"/>
        <v>#REF!</v>
      </c>
      <c r="Y31" s="736" t="e">
        <f t="shared" si="26"/>
        <v>#REF!</v>
      </c>
      <c r="Z31" s="736" t="e">
        <f t="shared" si="26"/>
        <v>#REF!</v>
      </c>
      <c r="AA31" s="736" t="e">
        <f t="shared" ref="AA31" si="27">AA487</f>
        <v>#REF!</v>
      </c>
    </row>
    <row r="32" spans="1:27" ht="16" thickBot="1">
      <c r="A32" s="754" t="s">
        <v>597</v>
      </c>
      <c r="B32" s="755" t="e">
        <f>B30+B31</f>
        <v>#REF!</v>
      </c>
      <c r="C32" s="755" t="e">
        <f t="shared" ref="C32:Z32" si="28">C30+C31</f>
        <v>#REF!</v>
      </c>
      <c r="D32" s="755" t="e">
        <f t="shared" si="28"/>
        <v>#REF!</v>
      </c>
      <c r="E32" s="755" t="e">
        <f t="shared" si="28"/>
        <v>#REF!</v>
      </c>
      <c r="F32" s="755" t="e">
        <f t="shared" si="28"/>
        <v>#REF!</v>
      </c>
      <c r="G32" s="755" t="e">
        <f t="shared" si="28"/>
        <v>#REF!</v>
      </c>
      <c r="H32" s="755" t="e">
        <f t="shared" si="28"/>
        <v>#REF!</v>
      </c>
      <c r="I32" s="755" t="e">
        <f t="shared" si="28"/>
        <v>#REF!</v>
      </c>
      <c r="J32" s="755" t="e">
        <f t="shared" si="28"/>
        <v>#REF!</v>
      </c>
      <c r="K32" s="755" t="e">
        <f t="shared" si="28"/>
        <v>#REF!</v>
      </c>
      <c r="L32" s="755" t="e">
        <f t="shared" si="28"/>
        <v>#REF!</v>
      </c>
      <c r="M32" s="755" t="e">
        <f t="shared" si="28"/>
        <v>#REF!</v>
      </c>
      <c r="N32" s="755" t="e">
        <f t="shared" si="28"/>
        <v>#REF!</v>
      </c>
      <c r="O32" s="755" t="e">
        <f t="shared" si="28"/>
        <v>#REF!</v>
      </c>
      <c r="P32" s="755" t="e">
        <f t="shared" si="28"/>
        <v>#REF!</v>
      </c>
      <c r="Q32" s="755" t="e">
        <f t="shared" si="28"/>
        <v>#REF!</v>
      </c>
      <c r="R32" s="755" t="e">
        <f t="shared" si="28"/>
        <v>#REF!</v>
      </c>
      <c r="S32" s="755" t="e">
        <f t="shared" si="28"/>
        <v>#REF!</v>
      </c>
      <c r="T32" s="755" t="e">
        <f t="shared" si="28"/>
        <v>#REF!</v>
      </c>
      <c r="U32" s="755" t="e">
        <f t="shared" si="28"/>
        <v>#REF!</v>
      </c>
      <c r="V32" s="755" t="e">
        <f t="shared" si="28"/>
        <v>#REF!</v>
      </c>
      <c r="W32" s="755" t="e">
        <f t="shared" si="28"/>
        <v>#REF!</v>
      </c>
      <c r="X32" s="755" t="e">
        <f t="shared" si="28"/>
        <v>#REF!</v>
      </c>
      <c r="Y32" s="755" t="e">
        <f t="shared" si="28"/>
        <v>#REF!</v>
      </c>
      <c r="Z32" s="755" t="e">
        <f t="shared" si="28"/>
        <v>#REF!</v>
      </c>
      <c r="AA32" s="755" t="e">
        <f t="shared" ref="AA32" si="29">AA30+AA31</f>
        <v>#REF!</v>
      </c>
    </row>
    <row r="35" spans="1:27" ht="15">
      <c r="A35" s="730" t="s">
        <v>598</v>
      </c>
      <c r="B35" s="736" t="e">
        <f>B14+B21</f>
        <v>#REF!</v>
      </c>
      <c r="C35" s="736" t="e">
        <f t="shared" ref="C35:Z36" si="30">C14+C21</f>
        <v>#REF!</v>
      </c>
      <c r="D35" s="736" t="e">
        <f t="shared" si="30"/>
        <v>#REF!</v>
      </c>
      <c r="E35" s="736" t="e">
        <f t="shared" si="30"/>
        <v>#REF!</v>
      </c>
      <c r="F35" s="736" t="e">
        <f t="shared" si="30"/>
        <v>#REF!</v>
      </c>
      <c r="G35" s="736" t="e">
        <f t="shared" si="30"/>
        <v>#REF!</v>
      </c>
      <c r="H35" s="736" t="e">
        <f t="shared" si="30"/>
        <v>#REF!</v>
      </c>
      <c r="I35" s="736" t="e">
        <f t="shared" si="30"/>
        <v>#REF!</v>
      </c>
      <c r="J35" s="736" t="e">
        <f t="shared" si="30"/>
        <v>#REF!</v>
      </c>
      <c r="K35" s="736" t="e">
        <f t="shared" si="30"/>
        <v>#REF!</v>
      </c>
      <c r="L35" s="736" t="e">
        <f t="shared" si="30"/>
        <v>#REF!</v>
      </c>
      <c r="M35" s="736" t="e">
        <f t="shared" si="30"/>
        <v>#REF!</v>
      </c>
      <c r="N35" s="736" t="e">
        <f t="shared" si="30"/>
        <v>#REF!</v>
      </c>
      <c r="O35" s="736" t="e">
        <f t="shared" si="30"/>
        <v>#REF!</v>
      </c>
      <c r="P35" s="736" t="e">
        <f t="shared" si="30"/>
        <v>#REF!</v>
      </c>
      <c r="Q35" s="736" t="e">
        <f t="shared" si="30"/>
        <v>#REF!</v>
      </c>
      <c r="R35" s="736" t="e">
        <f t="shared" si="30"/>
        <v>#REF!</v>
      </c>
      <c r="S35" s="736" t="e">
        <f t="shared" si="30"/>
        <v>#REF!</v>
      </c>
      <c r="T35" s="736" t="e">
        <f t="shared" si="30"/>
        <v>#REF!</v>
      </c>
      <c r="U35" s="736" t="e">
        <f t="shared" si="30"/>
        <v>#REF!</v>
      </c>
      <c r="V35" s="736" t="e">
        <f t="shared" si="30"/>
        <v>#REF!</v>
      </c>
      <c r="W35" s="736" t="e">
        <f t="shared" si="30"/>
        <v>#REF!</v>
      </c>
      <c r="X35" s="736" t="e">
        <f t="shared" si="30"/>
        <v>#REF!</v>
      </c>
      <c r="Y35" s="736" t="e">
        <f t="shared" si="30"/>
        <v>#REF!</v>
      </c>
      <c r="Z35" s="736" t="e">
        <f t="shared" si="30"/>
        <v>#REF!</v>
      </c>
      <c r="AA35" s="736" t="e">
        <f t="shared" ref="AA35" si="31">AA14+AA21</f>
        <v>#REF!</v>
      </c>
    </row>
    <row r="36" spans="1:27" ht="15">
      <c r="A36" s="730" t="s">
        <v>599</v>
      </c>
      <c r="B36" s="736" t="e">
        <f>B15+B22</f>
        <v>#REF!</v>
      </c>
      <c r="C36" s="736" t="e">
        <f t="shared" si="30"/>
        <v>#REF!</v>
      </c>
      <c r="D36" s="736" t="e">
        <f t="shared" si="30"/>
        <v>#REF!</v>
      </c>
      <c r="E36" s="736" t="e">
        <f t="shared" si="30"/>
        <v>#REF!</v>
      </c>
      <c r="F36" s="736" t="e">
        <f t="shared" si="30"/>
        <v>#REF!</v>
      </c>
      <c r="G36" s="736" t="e">
        <f t="shared" si="30"/>
        <v>#REF!</v>
      </c>
      <c r="H36" s="736" t="e">
        <f t="shared" si="30"/>
        <v>#REF!</v>
      </c>
      <c r="I36" s="736" t="e">
        <f t="shared" si="30"/>
        <v>#REF!</v>
      </c>
      <c r="J36" s="736" t="e">
        <f t="shared" si="30"/>
        <v>#REF!</v>
      </c>
      <c r="K36" s="736" t="e">
        <f t="shared" si="30"/>
        <v>#REF!</v>
      </c>
      <c r="L36" s="736" t="e">
        <f t="shared" si="30"/>
        <v>#REF!</v>
      </c>
      <c r="M36" s="736" t="e">
        <f t="shared" si="30"/>
        <v>#REF!</v>
      </c>
      <c r="N36" s="736" t="e">
        <f t="shared" si="30"/>
        <v>#REF!</v>
      </c>
      <c r="O36" s="736" t="e">
        <f t="shared" si="30"/>
        <v>#REF!</v>
      </c>
      <c r="P36" s="736" t="e">
        <f t="shared" si="30"/>
        <v>#REF!</v>
      </c>
      <c r="Q36" s="736" t="e">
        <f t="shared" si="30"/>
        <v>#REF!</v>
      </c>
      <c r="R36" s="736" t="e">
        <f t="shared" si="30"/>
        <v>#REF!</v>
      </c>
      <c r="S36" s="736" t="e">
        <f t="shared" si="30"/>
        <v>#REF!</v>
      </c>
      <c r="T36" s="736" t="e">
        <f t="shared" si="30"/>
        <v>#REF!</v>
      </c>
      <c r="U36" s="736" t="e">
        <f t="shared" si="30"/>
        <v>#REF!</v>
      </c>
      <c r="V36" s="736" t="e">
        <f t="shared" si="30"/>
        <v>#REF!</v>
      </c>
      <c r="W36" s="736" t="e">
        <f t="shared" si="30"/>
        <v>#REF!</v>
      </c>
      <c r="X36" s="736" t="e">
        <f t="shared" si="30"/>
        <v>#REF!</v>
      </c>
      <c r="Y36" s="736" t="e">
        <f t="shared" si="30"/>
        <v>#REF!</v>
      </c>
      <c r="Z36" s="736" t="e">
        <f t="shared" si="30"/>
        <v>#REF!</v>
      </c>
      <c r="AA36" s="736" t="e">
        <f t="shared" ref="AA36" si="32">AA15+AA22</f>
        <v>#REF!</v>
      </c>
    </row>
    <row r="37" spans="1:27" ht="15">
      <c r="A37" s="756" t="s">
        <v>600</v>
      </c>
      <c r="B37" s="757" t="e">
        <f>B35+B36</f>
        <v>#REF!</v>
      </c>
      <c r="C37" s="757" t="e">
        <f t="shared" ref="C37:Z37" si="33">C35+C36</f>
        <v>#REF!</v>
      </c>
      <c r="D37" s="757" t="e">
        <f t="shared" si="33"/>
        <v>#REF!</v>
      </c>
      <c r="E37" s="757" t="e">
        <f t="shared" si="33"/>
        <v>#REF!</v>
      </c>
      <c r="F37" s="757" t="e">
        <f t="shared" si="33"/>
        <v>#REF!</v>
      </c>
      <c r="G37" s="757" t="e">
        <f t="shared" si="33"/>
        <v>#REF!</v>
      </c>
      <c r="H37" s="757" t="e">
        <f t="shared" si="33"/>
        <v>#REF!</v>
      </c>
      <c r="I37" s="757" t="e">
        <f t="shared" si="33"/>
        <v>#REF!</v>
      </c>
      <c r="J37" s="757" t="e">
        <f t="shared" si="33"/>
        <v>#REF!</v>
      </c>
      <c r="K37" s="757" t="e">
        <f t="shared" si="33"/>
        <v>#REF!</v>
      </c>
      <c r="L37" s="757" t="e">
        <f t="shared" si="33"/>
        <v>#REF!</v>
      </c>
      <c r="M37" s="757" t="e">
        <f t="shared" si="33"/>
        <v>#REF!</v>
      </c>
      <c r="N37" s="757" t="e">
        <f t="shared" si="33"/>
        <v>#REF!</v>
      </c>
      <c r="O37" s="757" t="e">
        <f t="shared" si="33"/>
        <v>#REF!</v>
      </c>
      <c r="P37" s="757" t="e">
        <f t="shared" si="33"/>
        <v>#REF!</v>
      </c>
      <c r="Q37" s="757" t="e">
        <f t="shared" si="33"/>
        <v>#REF!</v>
      </c>
      <c r="R37" s="757" t="e">
        <f t="shared" si="33"/>
        <v>#REF!</v>
      </c>
      <c r="S37" s="757" t="e">
        <f t="shared" si="33"/>
        <v>#REF!</v>
      </c>
      <c r="T37" s="757" t="e">
        <f t="shared" si="33"/>
        <v>#REF!</v>
      </c>
      <c r="U37" s="757" t="e">
        <f t="shared" si="33"/>
        <v>#REF!</v>
      </c>
      <c r="V37" s="757" t="e">
        <f t="shared" si="33"/>
        <v>#REF!</v>
      </c>
      <c r="W37" s="757" t="e">
        <f t="shared" si="33"/>
        <v>#REF!</v>
      </c>
      <c r="X37" s="757" t="e">
        <f t="shared" si="33"/>
        <v>#REF!</v>
      </c>
      <c r="Y37" s="757" t="e">
        <f t="shared" si="33"/>
        <v>#REF!</v>
      </c>
      <c r="Z37" s="757" t="e">
        <f t="shared" si="33"/>
        <v>#REF!</v>
      </c>
      <c r="AA37" s="757" t="e">
        <f t="shared" ref="AA37" si="34">AA35+AA36</f>
        <v>#REF!</v>
      </c>
    </row>
    <row r="38" spans="1:27" ht="15">
      <c r="A38" s="730" t="s">
        <v>601</v>
      </c>
      <c r="B38" s="736" t="e">
        <f>B17+B24</f>
        <v>#REF!</v>
      </c>
      <c r="C38" s="736" t="e">
        <f t="shared" ref="C38:Z38" si="35">C17+C24</f>
        <v>#REF!</v>
      </c>
      <c r="D38" s="736" t="e">
        <f t="shared" si="35"/>
        <v>#REF!</v>
      </c>
      <c r="E38" s="736" t="e">
        <f t="shared" si="35"/>
        <v>#REF!</v>
      </c>
      <c r="F38" s="736" t="e">
        <f t="shared" si="35"/>
        <v>#REF!</v>
      </c>
      <c r="G38" s="736" t="e">
        <f t="shared" si="35"/>
        <v>#REF!</v>
      </c>
      <c r="H38" s="736" t="e">
        <f t="shared" si="35"/>
        <v>#REF!</v>
      </c>
      <c r="I38" s="736" t="e">
        <f t="shared" si="35"/>
        <v>#REF!</v>
      </c>
      <c r="J38" s="736" t="e">
        <f t="shared" si="35"/>
        <v>#REF!</v>
      </c>
      <c r="K38" s="736" t="e">
        <f t="shared" si="35"/>
        <v>#REF!</v>
      </c>
      <c r="L38" s="736" t="e">
        <f t="shared" si="35"/>
        <v>#REF!</v>
      </c>
      <c r="M38" s="736" t="e">
        <f t="shared" si="35"/>
        <v>#REF!</v>
      </c>
      <c r="N38" s="736" t="e">
        <f t="shared" si="35"/>
        <v>#REF!</v>
      </c>
      <c r="O38" s="736" t="e">
        <f t="shared" si="35"/>
        <v>#REF!</v>
      </c>
      <c r="P38" s="736" t="e">
        <f t="shared" si="35"/>
        <v>#REF!</v>
      </c>
      <c r="Q38" s="736" t="e">
        <f t="shared" si="35"/>
        <v>#REF!</v>
      </c>
      <c r="R38" s="736" t="e">
        <f t="shared" si="35"/>
        <v>#REF!</v>
      </c>
      <c r="S38" s="736" t="e">
        <f t="shared" si="35"/>
        <v>#REF!</v>
      </c>
      <c r="T38" s="736" t="e">
        <f t="shared" si="35"/>
        <v>#REF!</v>
      </c>
      <c r="U38" s="736" t="e">
        <f t="shared" si="35"/>
        <v>#REF!</v>
      </c>
      <c r="V38" s="736" t="e">
        <f t="shared" si="35"/>
        <v>#REF!</v>
      </c>
      <c r="W38" s="736" t="e">
        <f t="shared" si="35"/>
        <v>#REF!</v>
      </c>
      <c r="X38" s="736" t="e">
        <f t="shared" si="35"/>
        <v>#REF!</v>
      </c>
      <c r="Y38" s="736" t="e">
        <f t="shared" si="35"/>
        <v>#REF!</v>
      </c>
      <c r="Z38" s="736" t="e">
        <f t="shared" si="35"/>
        <v>#REF!</v>
      </c>
      <c r="AA38" s="736" t="e">
        <f t="shared" ref="AA38" si="36">AA17+AA24</f>
        <v>#REF!</v>
      </c>
    </row>
    <row r="39" spans="1:27" ht="16" thickBot="1">
      <c r="A39" s="754" t="s">
        <v>602</v>
      </c>
      <c r="B39" s="755" t="e">
        <f>B37+B38</f>
        <v>#REF!</v>
      </c>
      <c r="C39" s="755" t="e">
        <f t="shared" ref="C39:Z39" si="37">C37+C38</f>
        <v>#REF!</v>
      </c>
      <c r="D39" s="755" t="e">
        <f t="shared" si="37"/>
        <v>#REF!</v>
      </c>
      <c r="E39" s="755" t="e">
        <f t="shared" si="37"/>
        <v>#REF!</v>
      </c>
      <c r="F39" s="755" t="e">
        <f t="shared" si="37"/>
        <v>#REF!</v>
      </c>
      <c r="G39" s="755" t="e">
        <f t="shared" si="37"/>
        <v>#REF!</v>
      </c>
      <c r="H39" s="755" t="e">
        <f t="shared" si="37"/>
        <v>#REF!</v>
      </c>
      <c r="I39" s="755" t="e">
        <f t="shared" si="37"/>
        <v>#REF!</v>
      </c>
      <c r="J39" s="755" t="e">
        <f t="shared" si="37"/>
        <v>#REF!</v>
      </c>
      <c r="K39" s="755" t="e">
        <f t="shared" si="37"/>
        <v>#REF!</v>
      </c>
      <c r="L39" s="755" t="e">
        <f t="shared" si="37"/>
        <v>#REF!</v>
      </c>
      <c r="M39" s="755" t="e">
        <f t="shared" si="37"/>
        <v>#REF!</v>
      </c>
      <c r="N39" s="755" t="e">
        <f t="shared" si="37"/>
        <v>#REF!</v>
      </c>
      <c r="O39" s="755" t="e">
        <f t="shared" si="37"/>
        <v>#REF!</v>
      </c>
      <c r="P39" s="755" t="e">
        <f t="shared" si="37"/>
        <v>#REF!</v>
      </c>
      <c r="Q39" s="755" t="e">
        <f t="shared" si="37"/>
        <v>#REF!</v>
      </c>
      <c r="R39" s="755" t="e">
        <f t="shared" si="37"/>
        <v>#REF!</v>
      </c>
      <c r="S39" s="755" t="e">
        <f t="shared" si="37"/>
        <v>#REF!</v>
      </c>
      <c r="T39" s="755" t="e">
        <f t="shared" si="37"/>
        <v>#REF!</v>
      </c>
      <c r="U39" s="755" t="e">
        <f t="shared" si="37"/>
        <v>#REF!</v>
      </c>
      <c r="V39" s="755" t="e">
        <f t="shared" si="37"/>
        <v>#REF!</v>
      </c>
      <c r="W39" s="755" t="e">
        <f t="shared" si="37"/>
        <v>#REF!</v>
      </c>
      <c r="X39" s="755" t="e">
        <f t="shared" si="37"/>
        <v>#REF!</v>
      </c>
      <c r="Y39" s="755" t="e">
        <f t="shared" si="37"/>
        <v>#REF!</v>
      </c>
      <c r="Z39" s="755" t="e">
        <f t="shared" si="37"/>
        <v>#REF!</v>
      </c>
      <c r="AA39" s="755" t="e">
        <f t="shared" ref="AA39" si="38">AA37+AA38</f>
        <v>#REF!</v>
      </c>
    </row>
    <row r="42" spans="1:27" ht="15">
      <c r="A42" s="730" t="s">
        <v>603</v>
      </c>
      <c r="B42" s="736" t="e">
        <f>B21+B28</f>
        <v>#REF!</v>
      </c>
      <c r="C42" s="736" t="e">
        <f t="shared" ref="C42:Z43" si="39">C21+C28</f>
        <v>#REF!</v>
      </c>
      <c r="D42" s="736" t="e">
        <f t="shared" si="39"/>
        <v>#REF!</v>
      </c>
      <c r="E42" s="736" t="e">
        <f t="shared" si="39"/>
        <v>#REF!</v>
      </c>
      <c r="F42" s="736" t="e">
        <f t="shared" si="39"/>
        <v>#REF!</v>
      </c>
      <c r="G42" s="736" t="e">
        <f t="shared" si="39"/>
        <v>#REF!</v>
      </c>
      <c r="H42" s="736" t="e">
        <f t="shared" si="39"/>
        <v>#REF!</v>
      </c>
      <c r="I42" s="736" t="e">
        <f t="shared" si="39"/>
        <v>#REF!</v>
      </c>
      <c r="J42" s="736" t="e">
        <f t="shared" si="39"/>
        <v>#REF!</v>
      </c>
      <c r="K42" s="736" t="e">
        <f t="shared" si="39"/>
        <v>#REF!</v>
      </c>
      <c r="L42" s="736" t="e">
        <f t="shared" si="39"/>
        <v>#REF!</v>
      </c>
      <c r="M42" s="736" t="e">
        <f t="shared" si="39"/>
        <v>#REF!</v>
      </c>
      <c r="N42" s="736" t="e">
        <f t="shared" si="39"/>
        <v>#REF!</v>
      </c>
      <c r="O42" s="736" t="e">
        <f t="shared" si="39"/>
        <v>#REF!</v>
      </c>
      <c r="P42" s="736" t="e">
        <f t="shared" si="39"/>
        <v>#REF!</v>
      </c>
      <c r="Q42" s="736" t="e">
        <f t="shared" si="39"/>
        <v>#REF!</v>
      </c>
      <c r="R42" s="736" t="e">
        <f t="shared" si="39"/>
        <v>#REF!</v>
      </c>
      <c r="S42" s="736" t="e">
        <f t="shared" si="39"/>
        <v>#REF!</v>
      </c>
      <c r="T42" s="736" t="e">
        <f t="shared" si="39"/>
        <v>#REF!</v>
      </c>
      <c r="U42" s="736" t="e">
        <f t="shared" si="39"/>
        <v>#REF!</v>
      </c>
      <c r="V42" s="736" t="e">
        <f t="shared" si="39"/>
        <v>#REF!</v>
      </c>
      <c r="W42" s="736" t="e">
        <f t="shared" si="39"/>
        <v>#REF!</v>
      </c>
      <c r="X42" s="736" t="e">
        <f t="shared" si="39"/>
        <v>#REF!</v>
      </c>
      <c r="Y42" s="736" t="e">
        <f t="shared" si="39"/>
        <v>#REF!</v>
      </c>
      <c r="Z42" s="736" t="e">
        <f t="shared" si="39"/>
        <v>#REF!</v>
      </c>
      <c r="AA42" s="736" t="e">
        <f t="shared" ref="AA42" si="40">AA21+AA28</f>
        <v>#REF!</v>
      </c>
    </row>
    <row r="43" spans="1:27" ht="15">
      <c r="A43" s="730" t="s">
        <v>604</v>
      </c>
      <c r="B43" s="736" t="e">
        <f>B22+B29</f>
        <v>#REF!</v>
      </c>
      <c r="C43" s="736" t="e">
        <f t="shared" si="39"/>
        <v>#REF!</v>
      </c>
      <c r="D43" s="736" t="e">
        <f t="shared" si="39"/>
        <v>#REF!</v>
      </c>
      <c r="E43" s="736" t="e">
        <f t="shared" si="39"/>
        <v>#REF!</v>
      </c>
      <c r="F43" s="736" t="e">
        <f t="shared" si="39"/>
        <v>#REF!</v>
      </c>
      <c r="G43" s="736" t="e">
        <f t="shared" si="39"/>
        <v>#REF!</v>
      </c>
      <c r="H43" s="736" t="e">
        <f t="shared" si="39"/>
        <v>#REF!</v>
      </c>
      <c r="I43" s="736" t="e">
        <f t="shared" si="39"/>
        <v>#REF!</v>
      </c>
      <c r="J43" s="736" t="e">
        <f t="shared" si="39"/>
        <v>#REF!</v>
      </c>
      <c r="K43" s="736" t="e">
        <f t="shared" si="39"/>
        <v>#REF!</v>
      </c>
      <c r="L43" s="736" t="e">
        <f t="shared" si="39"/>
        <v>#REF!</v>
      </c>
      <c r="M43" s="736" t="e">
        <f t="shared" si="39"/>
        <v>#REF!</v>
      </c>
      <c r="N43" s="736" t="e">
        <f t="shared" si="39"/>
        <v>#REF!</v>
      </c>
      <c r="O43" s="736" t="e">
        <f t="shared" si="39"/>
        <v>#REF!</v>
      </c>
      <c r="P43" s="736" t="e">
        <f t="shared" si="39"/>
        <v>#REF!</v>
      </c>
      <c r="Q43" s="736" t="e">
        <f t="shared" si="39"/>
        <v>#REF!</v>
      </c>
      <c r="R43" s="736" t="e">
        <f t="shared" si="39"/>
        <v>#REF!</v>
      </c>
      <c r="S43" s="736" t="e">
        <f t="shared" si="39"/>
        <v>#REF!</v>
      </c>
      <c r="T43" s="736" t="e">
        <f t="shared" si="39"/>
        <v>#REF!</v>
      </c>
      <c r="U43" s="736" t="e">
        <f t="shared" si="39"/>
        <v>#REF!</v>
      </c>
      <c r="V43" s="736" t="e">
        <f t="shared" si="39"/>
        <v>#REF!</v>
      </c>
      <c r="W43" s="736" t="e">
        <f t="shared" si="39"/>
        <v>#REF!</v>
      </c>
      <c r="X43" s="736" t="e">
        <f t="shared" si="39"/>
        <v>#REF!</v>
      </c>
      <c r="Y43" s="736" t="e">
        <f t="shared" si="39"/>
        <v>#REF!</v>
      </c>
      <c r="Z43" s="736" t="e">
        <f t="shared" si="39"/>
        <v>#REF!</v>
      </c>
      <c r="AA43" s="736" t="e">
        <f t="shared" ref="AA43" si="41">AA22+AA29</f>
        <v>#REF!</v>
      </c>
    </row>
    <row r="44" spans="1:27" ht="15">
      <c r="A44" s="756" t="s">
        <v>605</v>
      </c>
      <c r="B44" s="757" t="e">
        <f>B42+B43</f>
        <v>#REF!</v>
      </c>
      <c r="C44" s="757" t="e">
        <f t="shared" ref="C44:Z44" si="42">C42+C43</f>
        <v>#REF!</v>
      </c>
      <c r="D44" s="757" t="e">
        <f t="shared" si="42"/>
        <v>#REF!</v>
      </c>
      <c r="E44" s="757" t="e">
        <f t="shared" si="42"/>
        <v>#REF!</v>
      </c>
      <c r="F44" s="757" t="e">
        <f t="shared" si="42"/>
        <v>#REF!</v>
      </c>
      <c r="G44" s="757" t="e">
        <f t="shared" si="42"/>
        <v>#REF!</v>
      </c>
      <c r="H44" s="757" t="e">
        <f t="shared" si="42"/>
        <v>#REF!</v>
      </c>
      <c r="I44" s="757" t="e">
        <f t="shared" si="42"/>
        <v>#REF!</v>
      </c>
      <c r="J44" s="757" t="e">
        <f t="shared" si="42"/>
        <v>#REF!</v>
      </c>
      <c r="K44" s="757" t="e">
        <f t="shared" si="42"/>
        <v>#REF!</v>
      </c>
      <c r="L44" s="757" t="e">
        <f t="shared" si="42"/>
        <v>#REF!</v>
      </c>
      <c r="M44" s="757" t="e">
        <f t="shared" si="42"/>
        <v>#REF!</v>
      </c>
      <c r="N44" s="757" t="e">
        <f t="shared" si="42"/>
        <v>#REF!</v>
      </c>
      <c r="O44" s="757" t="e">
        <f t="shared" si="42"/>
        <v>#REF!</v>
      </c>
      <c r="P44" s="757" t="e">
        <f t="shared" si="42"/>
        <v>#REF!</v>
      </c>
      <c r="Q44" s="757" t="e">
        <f t="shared" si="42"/>
        <v>#REF!</v>
      </c>
      <c r="R44" s="757" t="e">
        <f t="shared" si="42"/>
        <v>#REF!</v>
      </c>
      <c r="S44" s="757" t="e">
        <f t="shared" si="42"/>
        <v>#REF!</v>
      </c>
      <c r="T44" s="757" t="e">
        <f t="shared" si="42"/>
        <v>#REF!</v>
      </c>
      <c r="U44" s="757" t="e">
        <f t="shared" si="42"/>
        <v>#REF!</v>
      </c>
      <c r="V44" s="757" t="e">
        <f t="shared" si="42"/>
        <v>#REF!</v>
      </c>
      <c r="W44" s="757" t="e">
        <f t="shared" si="42"/>
        <v>#REF!</v>
      </c>
      <c r="X44" s="757" t="e">
        <f t="shared" si="42"/>
        <v>#REF!</v>
      </c>
      <c r="Y44" s="757" t="e">
        <f t="shared" si="42"/>
        <v>#REF!</v>
      </c>
      <c r="Z44" s="757" t="e">
        <f t="shared" si="42"/>
        <v>#REF!</v>
      </c>
      <c r="AA44" s="757" t="e">
        <f t="shared" ref="AA44" si="43">AA42+AA43</f>
        <v>#REF!</v>
      </c>
    </row>
    <row r="45" spans="1:27" ht="15">
      <c r="A45" s="730" t="s">
        <v>606</v>
      </c>
      <c r="B45" s="736" t="e">
        <f>B24+B31</f>
        <v>#REF!</v>
      </c>
      <c r="C45" s="736" t="e">
        <f t="shared" ref="C45:Z45" si="44">C24+C31</f>
        <v>#REF!</v>
      </c>
      <c r="D45" s="736" t="e">
        <f t="shared" si="44"/>
        <v>#REF!</v>
      </c>
      <c r="E45" s="736" t="e">
        <f t="shared" si="44"/>
        <v>#REF!</v>
      </c>
      <c r="F45" s="736" t="e">
        <f t="shared" si="44"/>
        <v>#REF!</v>
      </c>
      <c r="G45" s="736" t="e">
        <f t="shared" si="44"/>
        <v>#REF!</v>
      </c>
      <c r="H45" s="736" t="e">
        <f t="shared" si="44"/>
        <v>#REF!</v>
      </c>
      <c r="I45" s="736" t="e">
        <f t="shared" si="44"/>
        <v>#REF!</v>
      </c>
      <c r="J45" s="736" t="e">
        <f t="shared" si="44"/>
        <v>#REF!</v>
      </c>
      <c r="K45" s="736" t="e">
        <f t="shared" si="44"/>
        <v>#REF!</v>
      </c>
      <c r="L45" s="736" t="e">
        <f t="shared" si="44"/>
        <v>#REF!</v>
      </c>
      <c r="M45" s="736" t="e">
        <f t="shared" si="44"/>
        <v>#REF!</v>
      </c>
      <c r="N45" s="736" t="e">
        <f t="shared" si="44"/>
        <v>#REF!</v>
      </c>
      <c r="O45" s="736" t="e">
        <f t="shared" si="44"/>
        <v>#REF!</v>
      </c>
      <c r="P45" s="736" t="e">
        <f t="shared" si="44"/>
        <v>#REF!</v>
      </c>
      <c r="Q45" s="736" t="e">
        <f t="shared" si="44"/>
        <v>#REF!</v>
      </c>
      <c r="R45" s="736" t="e">
        <f t="shared" si="44"/>
        <v>#REF!</v>
      </c>
      <c r="S45" s="736" t="e">
        <f t="shared" si="44"/>
        <v>#REF!</v>
      </c>
      <c r="T45" s="736" t="e">
        <f t="shared" si="44"/>
        <v>#REF!</v>
      </c>
      <c r="U45" s="736" t="e">
        <f t="shared" si="44"/>
        <v>#REF!</v>
      </c>
      <c r="V45" s="736" t="e">
        <f t="shared" si="44"/>
        <v>#REF!</v>
      </c>
      <c r="W45" s="736" t="e">
        <f t="shared" si="44"/>
        <v>#REF!</v>
      </c>
      <c r="X45" s="736" t="e">
        <f t="shared" si="44"/>
        <v>#REF!</v>
      </c>
      <c r="Y45" s="736" t="e">
        <f t="shared" si="44"/>
        <v>#REF!</v>
      </c>
      <c r="Z45" s="736" t="e">
        <f t="shared" si="44"/>
        <v>#REF!</v>
      </c>
      <c r="AA45" s="736" t="e">
        <f t="shared" ref="AA45" si="45">AA24+AA31</f>
        <v>#REF!</v>
      </c>
    </row>
    <row r="46" spans="1:27" ht="16" thickBot="1">
      <c r="A46" s="754" t="s">
        <v>607</v>
      </c>
      <c r="B46" s="755" t="e">
        <f>B44+B45</f>
        <v>#REF!</v>
      </c>
      <c r="C46" s="755" t="e">
        <f t="shared" ref="C46:Z46" si="46">C44+C45</f>
        <v>#REF!</v>
      </c>
      <c r="D46" s="755" t="e">
        <f t="shared" si="46"/>
        <v>#REF!</v>
      </c>
      <c r="E46" s="755" t="e">
        <f t="shared" si="46"/>
        <v>#REF!</v>
      </c>
      <c r="F46" s="755" t="e">
        <f t="shared" si="46"/>
        <v>#REF!</v>
      </c>
      <c r="G46" s="755" t="e">
        <f t="shared" si="46"/>
        <v>#REF!</v>
      </c>
      <c r="H46" s="755" t="e">
        <f t="shared" si="46"/>
        <v>#REF!</v>
      </c>
      <c r="I46" s="755" t="e">
        <f t="shared" si="46"/>
        <v>#REF!</v>
      </c>
      <c r="J46" s="755" t="e">
        <f t="shared" si="46"/>
        <v>#REF!</v>
      </c>
      <c r="K46" s="755" t="e">
        <f t="shared" si="46"/>
        <v>#REF!</v>
      </c>
      <c r="L46" s="755" t="e">
        <f t="shared" si="46"/>
        <v>#REF!</v>
      </c>
      <c r="M46" s="755" t="e">
        <f t="shared" si="46"/>
        <v>#REF!</v>
      </c>
      <c r="N46" s="755" t="e">
        <f t="shared" si="46"/>
        <v>#REF!</v>
      </c>
      <c r="O46" s="755" t="e">
        <f t="shared" si="46"/>
        <v>#REF!</v>
      </c>
      <c r="P46" s="755" t="e">
        <f t="shared" si="46"/>
        <v>#REF!</v>
      </c>
      <c r="Q46" s="755" t="e">
        <f t="shared" si="46"/>
        <v>#REF!</v>
      </c>
      <c r="R46" s="755" t="e">
        <f t="shared" si="46"/>
        <v>#REF!</v>
      </c>
      <c r="S46" s="755" t="e">
        <f t="shared" si="46"/>
        <v>#REF!</v>
      </c>
      <c r="T46" s="755" t="e">
        <f t="shared" si="46"/>
        <v>#REF!</v>
      </c>
      <c r="U46" s="755" t="e">
        <f t="shared" si="46"/>
        <v>#REF!</v>
      </c>
      <c r="V46" s="755" t="e">
        <f t="shared" si="46"/>
        <v>#REF!</v>
      </c>
      <c r="W46" s="755" t="e">
        <f t="shared" si="46"/>
        <v>#REF!</v>
      </c>
      <c r="X46" s="755" t="e">
        <f t="shared" si="46"/>
        <v>#REF!</v>
      </c>
      <c r="Y46" s="755" t="e">
        <f t="shared" si="46"/>
        <v>#REF!</v>
      </c>
      <c r="Z46" s="755" t="e">
        <f t="shared" si="46"/>
        <v>#REF!</v>
      </c>
      <c r="AA46" s="755" t="e">
        <f t="shared" ref="AA46" si="47">AA44+AA45</f>
        <v>#REF!</v>
      </c>
    </row>
    <row r="49" spans="1:27" ht="15">
      <c r="A49" s="730" t="s">
        <v>608</v>
      </c>
      <c r="B49" s="736" t="e">
        <f>B14+B21+B28</f>
        <v>#REF!</v>
      </c>
      <c r="C49" s="736" t="e">
        <f t="shared" ref="C49:Z50" si="48">C14+C21+C28</f>
        <v>#REF!</v>
      </c>
      <c r="D49" s="736" t="e">
        <f t="shared" si="48"/>
        <v>#REF!</v>
      </c>
      <c r="E49" s="736" t="e">
        <f t="shared" si="48"/>
        <v>#REF!</v>
      </c>
      <c r="F49" s="736" t="e">
        <f t="shared" si="48"/>
        <v>#REF!</v>
      </c>
      <c r="G49" s="736" t="e">
        <f t="shared" si="48"/>
        <v>#REF!</v>
      </c>
      <c r="H49" s="736" t="e">
        <f t="shared" si="48"/>
        <v>#REF!</v>
      </c>
      <c r="I49" s="736" t="e">
        <f t="shared" si="48"/>
        <v>#REF!</v>
      </c>
      <c r="J49" s="736" t="e">
        <f t="shared" si="48"/>
        <v>#REF!</v>
      </c>
      <c r="K49" s="736" t="e">
        <f t="shared" si="48"/>
        <v>#REF!</v>
      </c>
      <c r="L49" s="736" t="e">
        <f t="shared" si="48"/>
        <v>#REF!</v>
      </c>
      <c r="M49" s="736" t="e">
        <f t="shared" si="48"/>
        <v>#REF!</v>
      </c>
      <c r="N49" s="736" t="e">
        <f t="shared" si="48"/>
        <v>#REF!</v>
      </c>
      <c r="O49" s="736" t="e">
        <f t="shared" si="48"/>
        <v>#REF!</v>
      </c>
      <c r="P49" s="736" t="e">
        <f t="shared" si="48"/>
        <v>#REF!</v>
      </c>
      <c r="Q49" s="736" t="e">
        <f t="shared" si="48"/>
        <v>#REF!</v>
      </c>
      <c r="R49" s="736" t="e">
        <f t="shared" si="48"/>
        <v>#REF!</v>
      </c>
      <c r="S49" s="736" t="e">
        <f t="shared" si="48"/>
        <v>#REF!</v>
      </c>
      <c r="T49" s="736" t="e">
        <f t="shared" si="48"/>
        <v>#REF!</v>
      </c>
      <c r="U49" s="736" t="e">
        <f t="shared" si="48"/>
        <v>#REF!</v>
      </c>
      <c r="V49" s="736" t="e">
        <f t="shared" si="48"/>
        <v>#REF!</v>
      </c>
      <c r="W49" s="736" t="e">
        <f t="shared" si="48"/>
        <v>#REF!</v>
      </c>
      <c r="X49" s="736" t="e">
        <f t="shared" si="48"/>
        <v>#REF!</v>
      </c>
      <c r="Y49" s="736" t="e">
        <f t="shared" si="48"/>
        <v>#REF!</v>
      </c>
      <c r="Z49" s="736" t="e">
        <f t="shared" si="48"/>
        <v>#REF!</v>
      </c>
      <c r="AA49" s="736" t="e">
        <f t="shared" ref="AA49" si="49">AA14+AA21+AA28</f>
        <v>#REF!</v>
      </c>
    </row>
    <row r="50" spans="1:27" ht="15">
      <c r="A50" s="730" t="s">
        <v>609</v>
      </c>
      <c r="B50" s="736" t="e">
        <f>B15+B22+B29</f>
        <v>#REF!</v>
      </c>
      <c r="C50" s="736" t="e">
        <f t="shared" si="48"/>
        <v>#REF!</v>
      </c>
      <c r="D50" s="736" t="e">
        <f t="shared" si="48"/>
        <v>#REF!</v>
      </c>
      <c r="E50" s="736" t="e">
        <f t="shared" si="48"/>
        <v>#REF!</v>
      </c>
      <c r="F50" s="736" t="e">
        <f t="shared" si="48"/>
        <v>#REF!</v>
      </c>
      <c r="G50" s="736" t="e">
        <f t="shared" si="48"/>
        <v>#REF!</v>
      </c>
      <c r="H50" s="736" t="e">
        <f t="shared" si="48"/>
        <v>#REF!</v>
      </c>
      <c r="I50" s="736" t="e">
        <f t="shared" si="48"/>
        <v>#REF!</v>
      </c>
      <c r="J50" s="736" t="e">
        <f t="shared" si="48"/>
        <v>#REF!</v>
      </c>
      <c r="K50" s="736" t="e">
        <f t="shared" si="48"/>
        <v>#REF!</v>
      </c>
      <c r="L50" s="736" t="e">
        <f t="shared" si="48"/>
        <v>#REF!</v>
      </c>
      <c r="M50" s="736" t="e">
        <f t="shared" si="48"/>
        <v>#REF!</v>
      </c>
      <c r="N50" s="736" t="e">
        <f t="shared" si="48"/>
        <v>#REF!</v>
      </c>
      <c r="O50" s="736" t="e">
        <f t="shared" si="48"/>
        <v>#REF!</v>
      </c>
      <c r="P50" s="736" t="e">
        <f t="shared" si="48"/>
        <v>#REF!</v>
      </c>
      <c r="Q50" s="736" t="e">
        <f t="shared" si="48"/>
        <v>#REF!</v>
      </c>
      <c r="R50" s="736" t="e">
        <f t="shared" si="48"/>
        <v>#REF!</v>
      </c>
      <c r="S50" s="736" t="e">
        <f t="shared" si="48"/>
        <v>#REF!</v>
      </c>
      <c r="T50" s="736" t="e">
        <f t="shared" si="48"/>
        <v>#REF!</v>
      </c>
      <c r="U50" s="736" t="e">
        <f t="shared" si="48"/>
        <v>#REF!</v>
      </c>
      <c r="V50" s="736" t="e">
        <f t="shared" si="48"/>
        <v>#REF!</v>
      </c>
      <c r="W50" s="736" t="e">
        <f t="shared" si="48"/>
        <v>#REF!</v>
      </c>
      <c r="X50" s="736" t="e">
        <f t="shared" si="48"/>
        <v>#REF!</v>
      </c>
      <c r="Y50" s="736" t="e">
        <f t="shared" si="48"/>
        <v>#REF!</v>
      </c>
      <c r="Z50" s="736" t="e">
        <f t="shared" si="48"/>
        <v>#REF!</v>
      </c>
      <c r="AA50" s="736" t="e">
        <f t="shared" ref="AA50" si="50">AA15+AA22+AA29</f>
        <v>#REF!</v>
      </c>
    </row>
    <row r="51" spans="1:27" ht="15">
      <c r="A51" s="756" t="s">
        <v>610</v>
      </c>
      <c r="B51" s="757" t="e">
        <f>B49+B50</f>
        <v>#REF!</v>
      </c>
      <c r="C51" s="757" t="e">
        <f t="shared" ref="C51:Z51" si="51">C49+C50</f>
        <v>#REF!</v>
      </c>
      <c r="D51" s="757" t="e">
        <f t="shared" si="51"/>
        <v>#REF!</v>
      </c>
      <c r="E51" s="757" t="e">
        <f t="shared" si="51"/>
        <v>#REF!</v>
      </c>
      <c r="F51" s="757" t="e">
        <f t="shared" si="51"/>
        <v>#REF!</v>
      </c>
      <c r="G51" s="757" t="e">
        <f t="shared" si="51"/>
        <v>#REF!</v>
      </c>
      <c r="H51" s="757" t="e">
        <f t="shared" si="51"/>
        <v>#REF!</v>
      </c>
      <c r="I51" s="757" t="e">
        <f t="shared" si="51"/>
        <v>#REF!</v>
      </c>
      <c r="J51" s="757" t="e">
        <f t="shared" si="51"/>
        <v>#REF!</v>
      </c>
      <c r="K51" s="757" t="e">
        <f t="shared" si="51"/>
        <v>#REF!</v>
      </c>
      <c r="L51" s="757" t="e">
        <f t="shared" si="51"/>
        <v>#REF!</v>
      </c>
      <c r="M51" s="757" t="e">
        <f t="shared" si="51"/>
        <v>#REF!</v>
      </c>
      <c r="N51" s="757" t="e">
        <f t="shared" si="51"/>
        <v>#REF!</v>
      </c>
      <c r="O51" s="757" t="e">
        <f t="shared" si="51"/>
        <v>#REF!</v>
      </c>
      <c r="P51" s="757" t="e">
        <f t="shared" si="51"/>
        <v>#REF!</v>
      </c>
      <c r="Q51" s="757" t="e">
        <f t="shared" si="51"/>
        <v>#REF!</v>
      </c>
      <c r="R51" s="757" t="e">
        <f t="shared" si="51"/>
        <v>#REF!</v>
      </c>
      <c r="S51" s="757" t="e">
        <f t="shared" si="51"/>
        <v>#REF!</v>
      </c>
      <c r="T51" s="757" t="e">
        <f t="shared" si="51"/>
        <v>#REF!</v>
      </c>
      <c r="U51" s="757" t="e">
        <f t="shared" si="51"/>
        <v>#REF!</v>
      </c>
      <c r="V51" s="757" t="e">
        <f t="shared" si="51"/>
        <v>#REF!</v>
      </c>
      <c r="W51" s="757" t="e">
        <f t="shared" si="51"/>
        <v>#REF!</v>
      </c>
      <c r="X51" s="757" t="e">
        <f t="shared" si="51"/>
        <v>#REF!</v>
      </c>
      <c r="Y51" s="757" t="e">
        <f t="shared" si="51"/>
        <v>#REF!</v>
      </c>
      <c r="Z51" s="757" t="e">
        <f t="shared" si="51"/>
        <v>#REF!</v>
      </c>
      <c r="AA51" s="757" t="e">
        <f t="shared" ref="AA51" si="52">AA49+AA50</f>
        <v>#REF!</v>
      </c>
    </row>
    <row r="52" spans="1:27" ht="15">
      <c r="A52" s="730" t="s">
        <v>611</v>
      </c>
      <c r="B52" s="736" t="e">
        <f>B17+B24+B31</f>
        <v>#REF!</v>
      </c>
      <c r="C52" s="736" t="e">
        <f t="shared" ref="C52:Z52" si="53">C17+C24+C31</f>
        <v>#REF!</v>
      </c>
      <c r="D52" s="736" t="e">
        <f t="shared" si="53"/>
        <v>#REF!</v>
      </c>
      <c r="E52" s="736" t="e">
        <f t="shared" si="53"/>
        <v>#REF!</v>
      </c>
      <c r="F52" s="736" t="e">
        <f t="shared" si="53"/>
        <v>#REF!</v>
      </c>
      <c r="G52" s="736" t="e">
        <f t="shared" si="53"/>
        <v>#REF!</v>
      </c>
      <c r="H52" s="736" t="e">
        <f t="shared" si="53"/>
        <v>#REF!</v>
      </c>
      <c r="I52" s="736" t="e">
        <f t="shared" si="53"/>
        <v>#REF!</v>
      </c>
      <c r="J52" s="736" t="e">
        <f t="shared" si="53"/>
        <v>#REF!</v>
      </c>
      <c r="K52" s="736" t="e">
        <f t="shared" si="53"/>
        <v>#REF!</v>
      </c>
      <c r="L52" s="736" t="e">
        <f t="shared" si="53"/>
        <v>#REF!</v>
      </c>
      <c r="M52" s="736" t="e">
        <f t="shared" si="53"/>
        <v>#REF!</v>
      </c>
      <c r="N52" s="736" t="e">
        <f t="shared" si="53"/>
        <v>#REF!</v>
      </c>
      <c r="O52" s="736" t="e">
        <f t="shared" si="53"/>
        <v>#REF!</v>
      </c>
      <c r="P52" s="736" t="e">
        <f t="shared" si="53"/>
        <v>#REF!</v>
      </c>
      <c r="Q52" s="736" t="e">
        <f t="shared" si="53"/>
        <v>#REF!</v>
      </c>
      <c r="R52" s="736" t="e">
        <f t="shared" si="53"/>
        <v>#REF!</v>
      </c>
      <c r="S52" s="736" t="e">
        <f t="shared" si="53"/>
        <v>#REF!</v>
      </c>
      <c r="T52" s="736" t="e">
        <f t="shared" si="53"/>
        <v>#REF!</v>
      </c>
      <c r="U52" s="736" t="e">
        <f t="shared" si="53"/>
        <v>#REF!</v>
      </c>
      <c r="V52" s="736" t="e">
        <f t="shared" si="53"/>
        <v>#REF!</v>
      </c>
      <c r="W52" s="736" t="e">
        <f t="shared" si="53"/>
        <v>#REF!</v>
      </c>
      <c r="X52" s="736" t="e">
        <f t="shared" si="53"/>
        <v>#REF!</v>
      </c>
      <c r="Y52" s="736" t="e">
        <f t="shared" si="53"/>
        <v>#REF!</v>
      </c>
      <c r="Z52" s="736" t="e">
        <f t="shared" si="53"/>
        <v>#REF!</v>
      </c>
      <c r="AA52" s="736" t="e">
        <f t="shared" ref="AA52" si="54">AA17+AA24+AA31</f>
        <v>#REF!</v>
      </c>
    </row>
    <row r="53" spans="1:27" ht="16" thickBot="1">
      <c r="A53" s="754" t="s">
        <v>612</v>
      </c>
      <c r="B53" s="755" t="e">
        <f>B51+B52</f>
        <v>#REF!</v>
      </c>
      <c r="C53" s="755" t="e">
        <f t="shared" ref="C53:Z53" si="55">C51+C52</f>
        <v>#REF!</v>
      </c>
      <c r="D53" s="755" t="e">
        <f t="shared" si="55"/>
        <v>#REF!</v>
      </c>
      <c r="E53" s="755" t="e">
        <f t="shared" si="55"/>
        <v>#REF!</v>
      </c>
      <c r="F53" s="755" t="e">
        <f t="shared" si="55"/>
        <v>#REF!</v>
      </c>
      <c r="G53" s="755" t="e">
        <f t="shared" si="55"/>
        <v>#REF!</v>
      </c>
      <c r="H53" s="755" t="e">
        <f t="shared" si="55"/>
        <v>#REF!</v>
      </c>
      <c r="I53" s="755" t="e">
        <f t="shared" si="55"/>
        <v>#REF!</v>
      </c>
      <c r="J53" s="755" t="e">
        <f t="shared" si="55"/>
        <v>#REF!</v>
      </c>
      <c r="K53" s="755" t="e">
        <f t="shared" si="55"/>
        <v>#REF!</v>
      </c>
      <c r="L53" s="755" t="e">
        <f t="shared" si="55"/>
        <v>#REF!</v>
      </c>
      <c r="M53" s="755" t="e">
        <f t="shared" si="55"/>
        <v>#REF!</v>
      </c>
      <c r="N53" s="755" t="e">
        <f t="shared" si="55"/>
        <v>#REF!</v>
      </c>
      <c r="O53" s="755" t="e">
        <f t="shared" si="55"/>
        <v>#REF!</v>
      </c>
      <c r="P53" s="755" t="e">
        <f t="shared" si="55"/>
        <v>#REF!</v>
      </c>
      <c r="Q53" s="755" t="e">
        <f t="shared" si="55"/>
        <v>#REF!</v>
      </c>
      <c r="R53" s="755" t="e">
        <f t="shared" si="55"/>
        <v>#REF!</v>
      </c>
      <c r="S53" s="755" t="e">
        <f t="shared" si="55"/>
        <v>#REF!</v>
      </c>
      <c r="T53" s="755" t="e">
        <f t="shared" si="55"/>
        <v>#REF!</v>
      </c>
      <c r="U53" s="755" t="e">
        <f t="shared" si="55"/>
        <v>#REF!</v>
      </c>
      <c r="V53" s="755" t="e">
        <f t="shared" si="55"/>
        <v>#REF!</v>
      </c>
      <c r="W53" s="755" t="e">
        <f t="shared" si="55"/>
        <v>#REF!</v>
      </c>
      <c r="X53" s="755" t="e">
        <f t="shared" si="55"/>
        <v>#REF!</v>
      </c>
      <c r="Y53" s="755" t="e">
        <f t="shared" si="55"/>
        <v>#REF!</v>
      </c>
      <c r="Z53" s="755" t="e">
        <f t="shared" si="55"/>
        <v>#REF!</v>
      </c>
      <c r="AA53" s="755" t="e">
        <f t="shared" ref="AA53" si="56">AA51+AA52</f>
        <v>#REF!</v>
      </c>
    </row>
    <row r="55" spans="1:27">
      <c r="B55" s="739" t="e">
        <f>B53-B89</f>
        <v>#REF!</v>
      </c>
      <c r="C55" s="739" t="e">
        <f t="shared" ref="C55:Z55" si="57">C53-C89</f>
        <v>#REF!</v>
      </c>
      <c r="D55" s="739" t="e">
        <f t="shared" si="57"/>
        <v>#REF!</v>
      </c>
      <c r="E55" s="739" t="e">
        <f t="shared" si="57"/>
        <v>#REF!</v>
      </c>
      <c r="F55" s="739" t="e">
        <f t="shared" si="57"/>
        <v>#REF!</v>
      </c>
      <c r="G55" s="739" t="e">
        <f t="shared" si="57"/>
        <v>#REF!</v>
      </c>
      <c r="H55" s="739" t="e">
        <f t="shared" si="57"/>
        <v>#REF!</v>
      </c>
      <c r="I55" s="739" t="e">
        <f t="shared" si="57"/>
        <v>#REF!</v>
      </c>
      <c r="J55" s="739" t="e">
        <f t="shared" si="57"/>
        <v>#REF!</v>
      </c>
      <c r="K55" s="739" t="e">
        <f t="shared" si="57"/>
        <v>#REF!</v>
      </c>
      <c r="L55" s="739" t="e">
        <f t="shared" si="57"/>
        <v>#REF!</v>
      </c>
      <c r="M55" s="739" t="e">
        <f t="shared" si="57"/>
        <v>#REF!</v>
      </c>
      <c r="N55" s="739" t="e">
        <f t="shared" si="57"/>
        <v>#REF!</v>
      </c>
      <c r="O55" s="739" t="e">
        <f t="shared" si="57"/>
        <v>#REF!</v>
      </c>
      <c r="P55" s="739" t="e">
        <f t="shared" si="57"/>
        <v>#REF!</v>
      </c>
      <c r="Q55" s="739" t="e">
        <f t="shared" si="57"/>
        <v>#REF!</v>
      </c>
      <c r="R55" s="739" t="e">
        <f t="shared" si="57"/>
        <v>#REF!</v>
      </c>
      <c r="S55" s="739" t="e">
        <f t="shared" si="57"/>
        <v>#REF!</v>
      </c>
      <c r="T55" s="739" t="e">
        <f t="shared" si="57"/>
        <v>#REF!</v>
      </c>
      <c r="U55" s="739" t="e">
        <f t="shared" si="57"/>
        <v>#REF!</v>
      </c>
      <c r="V55" s="739" t="e">
        <f t="shared" si="57"/>
        <v>#REF!</v>
      </c>
      <c r="W55" s="739" t="e">
        <f t="shared" si="57"/>
        <v>#REF!</v>
      </c>
      <c r="X55" s="739" t="e">
        <f t="shared" si="57"/>
        <v>#REF!</v>
      </c>
      <c r="Y55" s="739" t="e">
        <f t="shared" si="57"/>
        <v>#REF!</v>
      </c>
      <c r="Z55" s="739" t="e">
        <f t="shared" si="57"/>
        <v>#REF!</v>
      </c>
      <c r="AA55" s="739" t="e">
        <f t="shared" ref="AA55" si="58">AA53-AA89</f>
        <v>#REF!</v>
      </c>
    </row>
    <row r="70" spans="1:27">
      <c r="A70" s="735" t="s">
        <v>613</v>
      </c>
      <c r="B70" s="735">
        <f>B$12</f>
        <v>2003</v>
      </c>
      <c r="C70" s="735">
        <f t="shared" ref="C70:AA70" si="59">C$12</f>
        <v>2004</v>
      </c>
      <c r="D70" s="735">
        <f t="shared" si="59"/>
        <v>2005</v>
      </c>
      <c r="E70" s="735">
        <f t="shared" si="59"/>
        <v>2006</v>
      </c>
      <c r="F70" s="735">
        <f t="shared" si="59"/>
        <v>2007</v>
      </c>
      <c r="G70" s="735">
        <f t="shared" si="59"/>
        <v>2008</v>
      </c>
      <c r="H70" s="735">
        <f t="shared" si="59"/>
        <v>2009</v>
      </c>
      <c r="I70" s="735">
        <f t="shared" si="59"/>
        <v>2010</v>
      </c>
      <c r="J70" s="735">
        <f t="shared" si="59"/>
        <v>2011</v>
      </c>
      <c r="K70" s="735">
        <f t="shared" si="59"/>
        <v>2012</v>
      </c>
      <c r="L70" s="735">
        <f t="shared" si="59"/>
        <v>2013</v>
      </c>
      <c r="M70" s="735">
        <f t="shared" si="59"/>
        <v>2014</v>
      </c>
      <c r="N70" s="735">
        <f t="shared" si="59"/>
        <v>2015</v>
      </c>
      <c r="O70" s="735">
        <f t="shared" si="59"/>
        <v>2016</v>
      </c>
      <c r="P70" s="735">
        <f t="shared" si="59"/>
        <v>2017</v>
      </c>
      <c r="Q70" s="735">
        <f t="shared" si="59"/>
        <v>2018</v>
      </c>
      <c r="R70" s="735">
        <f t="shared" si="59"/>
        <v>2019</v>
      </c>
      <c r="S70" s="735">
        <f t="shared" si="59"/>
        <v>2020</v>
      </c>
      <c r="T70" s="735">
        <f t="shared" si="59"/>
        <v>2021</v>
      </c>
      <c r="U70" s="735">
        <f t="shared" si="59"/>
        <v>2022</v>
      </c>
      <c r="V70" s="735">
        <f t="shared" si="59"/>
        <v>2023</v>
      </c>
      <c r="W70" s="735">
        <f t="shared" si="59"/>
        <v>2024</v>
      </c>
      <c r="X70" s="735">
        <f t="shared" si="59"/>
        <v>2025</v>
      </c>
      <c r="Y70" s="735">
        <f t="shared" si="59"/>
        <v>2026</v>
      </c>
      <c r="Z70" s="735">
        <f t="shared" si="59"/>
        <v>2027</v>
      </c>
      <c r="AA70" s="735">
        <f t="shared" si="59"/>
        <v>2028</v>
      </c>
    </row>
    <row r="72" spans="1:27" ht="15">
      <c r="A72" s="730" t="s">
        <v>614</v>
      </c>
      <c r="B72" s="767" t="e">
        <f>#REF!/$B$6</f>
        <v>#REF!</v>
      </c>
      <c r="C72" s="742" t="e">
        <f>#REF!/$B$6</f>
        <v>#REF!</v>
      </c>
      <c r="D72" s="742" t="e">
        <f>#REF!/$B$6</f>
        <v>#REF!</v>
      </c>
      <c r="E72" s="742" t="e">
        <f>#REF!/$B$6</f>
        <v>#REF!</v>
      </c>
      <c r="F72" s="742" t="e">
        <f>#REF!/$B$6</f>
        <v>#REF!</v>
      </c>
      <c r="G72" s="742" t="e">
        <f>#REF!/$B$6</f>
        <v>#REF!</v>
      </c>
      <c r="H72" s="742" t="e">
        <f>#REF!/$B$6</f>
        <v>#REF!</v>
      </c>
      <c r="I72" s="742" t="e">
        <f>#REF!/$B$6</f>
        <v>#REF!</v>
      </c>
      <c r="J72" s="742" t="e">
        <f>#REF!/$B$6</f>
        <v>#REF!</v>
      </c>
      <c r="K72" s="742" t="e">
        <f>#REF!/$B$6</f>
        <v>#REF!</v>
      </c>
      <c r="L72" s="742" t="e">
        <f>#REF!/$B$6</f>
        <v>#REF!</v>
      </c>
      <c r="M72" s="742" t="e">
        <f>#REF!/$B$6</f>
        <v>#REF!</v>
      </c>
      <c r="N72" s="742" t="e">
        <f>#REF!/$B$6</f>
        <v>#REF!</v>
      </c>
      <c r="O72" s="742" t="e">
        <f>#REF!/$B$6</f>
        <v>#REF!</v>
      </c>
      <c r="P72" s="742" t="e">
        <f>#REF!/$B$6</f>
        <v>#REF!</v>
      </c>
      <c r="Q72" s="742" t="e">
        <f>#REF!/$B$6</f>
        <v>#REF!</v>
      </c>
      <c r="R72" s="742" t="e">
        <f>#REF!/$B$6</f>
        <v>#REF!</v>
      </c>
      <c r="S72" s="742" t="e">
        <f>#REF!/$B$6</f>
        <v>#REF!</v>
      </c>
      <c r="T72" s="742" t="e">
        <f>#REF!/$B$6</f>
        <v>#REF!</v>
      </c>
      <c r="U72" s="742" t="e">
        <f>#REF!/$B$6</f>
        <v>#REF!</v>
      </c>
      <c r="V72" s="742" t="e">
        <f>#REF!/$B$6</f>
        <v>#REF!</v>
      </c>
      <c r="W72" s="742" t="e">
        <f>#REF!/$B$6</f>
        <v>#REF!</v>
      </c>
      <c r="X72" s="742" t="e">
        <f>#REF!/$B$6</f>
        <v>#REF!</v>
      </c>
      <c r="Y72" s="742" t="e">
        <f>#REF!/$B$6</f>
        <v>#REF!</v>
      </c>
      <c r="Z72" s="742" t="e">
        <f>#REF!/$B$6</f>
        <v>#REF!</v>
      </c>
      <c r="AA72" s="742" t="e">
        <f>#REF!/$B$6</f>
        <v>#REF!</v>
      </c>
    </row>
    <row r="73" spans="1:27" ht="15">
      <c r="A73" s="730" t="s">
        <v>615</v>
      </c>
      <c r="C73" s="740" t="e">
        <f>C72/B72-1</f>
        <v>#REF!</v>
      </c>
      <c r="D73" s="740" t="e">
        <f t="shared" ref="D73:AA73" si="60">D72/C72-1</f>
        <v>#REF!</v>
      </c>
      <c r="E73" s="740" t="e">
        <f t="shared" si="60"/>
        <v>#REF!</v>
      </c>
      <c r="F73" s="740" t="e">
        <f t="shared" si="60"/>
        <v>#REF!</v>
      </c>
      <c r="G73" s="740" t="e">
        <f t="shared" si="60"/>
        <v>#REF!</v>
      </c>
      <c r="H73" s="740" t="e">
        <f t="shared" si="60"/>
        <v>#REF!</v>
      </c>
      <c r="I73" s="740" t="e">
        <f t="shared" si="60"/>
        <v>#REF!</v>
      </c>
      <c r="J73" s="740" t="e">
        <f t="shared" si="60"/>
        <v>#REF!</v>
      </c>
      <c r="K73" s="740" t="e">
        <f t="shared" si="60"/>
        <v>#REF!</v>
      </c>
      <c r="L73" s="740" t="e">
        <f t="shared" si="60"/>
        <v>#REF!</v>
      </c>
      <c r="M73" s="740" t="e">
        <f t="shared" si="60"/>
        <v>#REF!</v>
      </c>
      <c r="N73" s="740" t="e">
        <f t="shared" si="60"/>
        <v>#REF!</v>
      </c>
      <c r="O73" s="740" t="e">
        <f t="shared" si="60"/>
        <v>#REF!</v>
      </c>
      <c r="P73" s="740" t="e">
        <f t="shared" si="60"/>
        <v>#REF!</v>
      </c>
      <c r="Q73" s="740" t="e">
        <f t="shared" si="60"/>
        <v>#REF!</v>
      </c>
      <c r="R73" s="740" t="e">
        <f t="shared" si="60"/>
        <v>#REF!</v>
      </c>
      <c r="S73" s="740" t="e">
        <f t="shared" si="60"/>
        <v>#REF!</v>
      </c>
      <c r="T73" s="740" t="e">
        <f t="shared" si="60"/>
        <v>#REF!</v>
      </c>
      <c r="U73" s="740" t="e">
        <f t="shared" si="60"/>
        <v>#REF!</v>
      </c>
      <c r="V73" s="740" t="e">
        <f t="shared" si="60"/>
        <v>#REF!</v>
      </c>
      <c r="W73" s="740" t="e">
        <f t="shared" si="60"/>
        <v>#REF!</v>
      </c>
      <c r="X73" s="740" t="e">
        <f t="shared" si="60"/>
        <v>#REF!</v>
      </c>
      <c r="Y73" s="740" t="e">
        <f t="shared" si="60"/>
        <v>#REF!</v>
      </c>
      <c r="Z73" s="740" t="e">
        <f t="shared" si="60"/>
        <v>#REF!</v>
      </c>
      <c r="AA73" s="740" t="e">
        <f t="shared" si="60"/>
        <v>#REF!</v>
      </c>
    </row>
    <row r="75" spans="1:27" ht="15">
      <c r="A75" s="730" t="s">
        <v>616</v>
      </c>
      <c r="B75" s="758" t="e">
        <f>#REF!</f>
        <v>#REF!</v>
      </c>
      <c r="C75" s="758" t="e">
        <f>#REF!</f>
        <v>#REF!</v>
      </c>
      <c r="D75" s="758" t="e">
        <f>#REF!</f>
        <v>#REF!</v>
      </c>
      <c r="E75" s="758" t="e">
        <f>#REF!</f>
        <v>#REF!</v>
      </c>
      <c r="F75" s="758" t="e">
        <f>#REF!</f>
        <v>#REF!</v>
      </c>
      <c r="G75" s="758" t="e">
        <f>#REF!</f>
        <v>#REF!</v>
      </c>
      <c r="H75" s="758" t="e">
        <f>#REF!</f>
        <v>#REF!</v>
      </c>
      <c r="I75" s="758" t="e">
        <f>#REF!</f>
        <v>#REF!</v>
      </c>
      <c r="J75" s="758" t="e">
        <f>#REF!</f>
        <v>#REF!</v>
      </c>
      <c r="K75" s="758" t="e">
        <f>#REF!</f>
        <v>#REF!</v>
      </c>
      <c r="L75" s="758" t="e">
        <f>#REF!</f>
        <v>#REF!</v>
      </c>
      <c r="M75" s="758" t="e">
        <f>#REF!</f>
        <v>#REF!</v>
      </c>
      <c r="N75" s="758" t="e">
        <f>#REF!</f>
        <v>#REF!</v>
      </c>
      <c r="O75" s="758" t="e">
        <f>#REF!</f>
        <v>#REF!</v>
      </c>
      <c r="P75" s="758" t="e">
        <f>#REF!</f>
        <v>#REF!</v>
      </c>
      <c r="Q75" s="758" t="e">
        <f>#REF!</f>
        <v>#REF!</v>
      </c>
      <c r="R75" s="758" t="e">
        <f>#REF!</f>
        <v>#REF!</v>
      </c>
      <c r="S75" s="758" t="e">
        <f>#REF!</f>
        <v>#REF!</v>
      </c>
      <c r="T75" s="758" t="e">
        <f>#REF!</f>
        <v>#REF!</v>
      </c>
      <c r="U75" s="758" t="e">
        <f>#REF!</f>
        <v>#REF!</v>
      </c>
      <c r="V75" s="758" t="e">
        <f>#REF!</f>
        <v>#REF!</v>
      </c>
      <c r="W75" s="758" t="e">
        <f>#REF!</f>
        <v>#REF!</v>
      </c>
      <c r="X75" s="758" t="e">
        <f>#REF!</f>
        <v>#REF!</v>
      </c>
      <c r="Y75" s="758" t="e">
        <f>#REF!</f>
        <v>#REF!</v>
      </c>
      <c r="Z75" s="758" t="e">
        <f>#REF!</f>
        <v>#REF!</v>
      </c>
      <c r="AA75" s="758" t="e">
        <f>#REF!</f>
        <v>#REF!</v>
      </c>
    </row>
    <row r="77" spans="1:27" ht="15">
      <c r="A77" s="741" t="s">
        <v>617</v>
      </c>
      <c r="B77" s="759" t="e">
        <f>B72/B75*1000</f>
        <v>#REF!</v>
      </c>
      <c r="C77" s="759" t="e">
        <f t="shared" ref="C77:Z77" si="61">C72/C75*1000</f>
        <v>#REF!</v>
      </c>
      <c r="D77" s="759" t="e">
        <f t="shared" si="61"/>
        <v>#REF!</v>
      </c>
      <c r="E77" s="759" t="e">
        <f t="shared" si="61"/>
        <v>#REF!</v>
      </c>
      <c r="F77" s="759" t="e">
        <f t="shared" si="61"/>
        <v>#REF!</v>
      </c>
      <c r="G77" s="759" t="e">
        <f t="shared" si="61"/>
        <v>#REF!</v>
      </c>
      <c r="H77" s="759" t="e">
        <f t="shared" si="61"/>
        <v>#REF!</v>
      </c>
      <c r="I77" s="759" t="e">
        <f t="shared" si="61"/>
        <v>#REF!</v>
      </c>
      <c r="J77" s="759" t="e">
        <f t="shared" si="61"/>
        <v>#REF!</v>
      </c>
      <c r="K77" s="759" t="e">
        <f t="shared" si="61"/>
        <v>#REF!</v>
      </c>
      <c r="L77" s="759" t="e">
        <f t="shared" si="61"/>
        <v>#REF!</v>
      </c>
      <c r="M77" s="759" t="e">
        <f t="shared" si="61"/>
        <v>#REF!</v>
      </c>
      <c r="N77" s="759" t="e">
        <f t="shared" si="61"/>
        <v>#REF!</v>
      </c>
      <c r="O77" s="759" t="e">
        <f t="shared" si="61"/>
        <v>#REF!</v>
      </c>
      <c r="P77" s="759" t="e">
        <f t="shared" si="61"/>
        <v>#REF!</v>
      </c>
      <c r="Q77" s="759" t="e">
        <f t="shared" si="61"/>
        <v>#REF!</v>
      </c>
      <c r="R77" s="759" t="e">
        <f t="shared" si="61"/>
        <v>#REF!</v>
      </c>
      <c r="S77" s="759" t="e">
        <f t="shared" si="61"/>
        <v>#REF!</v>
      </c>
      <c r="T77" s="759" t="e">
        <f t="shared" si="61"/>
        <v>#REF!</v>
      </c>
      <c r="U77" s="759" t="e">
        <f t="shared" si="61"/>
        <v>#REF!</v>
      </c>
      <c r="V77" s="759" t="e">
        <f t="shared" si="61"/>
        <v>#REF!</v>
      </c>
      <c r="W77" s="759" t="e">
        <f t="shared" si="61"/>
        <v>#REF!</v>
      </c>
      <c r="X77" s="759" t="e">
        <f t="shared" si="61"/>
        <v>#REF!</v>
      </c>
      <c r="Y77" s="759" t="e">
        <f t="shared" si="61"/>
        <v>#REF!</v>
      </c>
      <c r="Z77" s="759" t="e">
        <f t="shared" si="61"/>
        <v>#REF!</v>
      </c>
      <c r="AA77" s="759" t="e">
        <f t="shared" ref="AA77" si="62">AA72/AA75*1000</f>
        <v>#REF!</v>
      </c>
    </row>
    <row r="80" spans="1:27" ht="15">
      <c r="A80" s="730" t="s">
        <v>618</v>
      </c>
      <c r="B80" s="743" t="e">
        <f>(B18/1000)/B72</f>
        <v>#REF!</v>
      </c>
      <c r="C80" s="743" t="e">
        <f t="shared" ref="C80:Z80" si="63">(C18/1000)/C72</f>
        <v>#REF!</v>
      </c>
      <c r="D80" s="743" t="e">
        <f t="shared" si="63"/>
        <v>#REF!</v>
      </c>
      <c r="E80" s="743" t="e">
        <f t="shared" si="63"/>
        <v>#REF!</v>
      </c>
      <c r="F80" s="743" t="e">
        <f t="shared" si="63"/>
        <v>#REF!</v>
      </c>
      <c r="G80" s="743" t="e">
        <f t="shared" si="63"/>
        <v>#REF!</v>
      </c>
      <c r="H80" s="743" t="e">
        <f t="shared" si="63"/>
        <v>#REF!</v>
      </c>
      <c r="I80" s="743" t="e">
        <f t="shared" si="63"/>
        <v>#REF!</v>
      </c>
      <c r="J80" s="743" t="e">
        <f t="shared" si="63"/>
        <v>#REF!</v>
      </c>
      <c r="K80" s="743" t="e">
        <f t="shared" si="63"/>
        <v>#REF!</v>
      </c>
      <c r="L80" s="743" t="e">
        <f t="shared" si="63"/>
        <v>#REF!</v>
      </c>
      <c r="M80" s="743" t="e">
        <f t="shared" si="63"/>
        <v>#REF!</v>
      </c>
      <c r="N80" s="743" t="e">
        <f t="shared" si="63"/>
        <v>#REF!</v>
      </c>
      <c r="O80" s="743" t="e">
        <f t="shared" si="63"/>
        <v>#REF!</v>
      </c>
      <c r="P80" s="743" t="e">
        <f t="shared" si="63"/>
        <v>#REF!</v>
      </c>
      <c r="Q80" s="743" t="e">
        <f t="shared" si="63"/>
        <v>#REF!</v>
      </c>
      <c r="R80" s="743" t="e">
        <f t="shared" si="63"/>
        <v>#REF!</v>
      </c>
      <c r="S80" s="743" t="e">
        <f t="shared" si="63"/>
        <v>#REF!</v>
      </c>
      <c r="T80" s="743" t="e">
        <f t="shared" si="63"/>
        <v>#REF!</v>
      </c>
      <c r="U80" s="743" t="e">
        <f t="shared" si="63"/>
        <v>#REF!</v>
      </c>
      <c r="V80" s="743" t="e">
        <f t="shared" si="63"/>
        <v>#REF!</v>
      </c>
      <c r="W80" s="743" t="e">
        <f t="shared" si="63"/>
        <v>#REF!</v>
      </c>
      <c r="X80" s="743" t="e">
        <f t="shared" si="63"/>
        <v>#REF!</v>
      </c>
      <c r="Y80" s="743" t="e">
        <f t="shared" si="63"/>
        <v>#REF!</v>
      </c>
      <c r="Z80" s="743" t="e">
        <f t="shared" si="63"/>
        <v>#REF!</v>
      </c>
      <c r="AA80" s="743" t="e">
        <f t="shared" ref="AA80" si="64">(AA18/1000)/AA72</f>
        <v>#REF!</v>
      </c>
    </row>
    <row r="81" spans="1:27" ht="15">
      <c r="A81" s="730" t="s">
        <v>619</v>
      </c>
      <c r="B81" s="743" t="e">
        <f>(B46/1000)/B72</f>
        <v>#REF!</v>
      </c>
      <c r="C81" s="743" t="e">
        <f t="shared" ref="C81:Z81" si="65">(C46/1000)/C72</f>
        <v>#REF!</v>
      </c>
      <c r="D81" s="743" t="e">
        <f t="shared" si="65"/>
        <v>#REF!</v>
      </c>
      <c r="E81" s="743" t="e">
        <f t="shared" si="65"/>
        <v>#REF!</v>
      </c>
      <c r="F81" s="743" t="e">
        <f t="shared" si="65"/>
        <v>#REF!</v>
      </c>
      <c r="G81" s="743" t="e">
        <f t="shared" si="65"/>
        <v>#REF!</v>
      </c>
      <c r="H81" s="743" t="e">
        <f t="shared" si="65"/>
        <v>#REF!</v>
      </c>
      <c r="I81" s="743" t="e">
        <f t="shared" si="65"/>
        <v>#REF!</v>
      </c>
      <c r="J81" s="743" t="e">
        <f t="shared" si="65"/>
        <v>#REF!</v>
      </c>
      <c r="K81" s="743" t="e">
        <f t="shared" si="65"/>
        <v>#REF!</v>
      </c>
      <c r="L81" s="743" t="e">
        <f t="shared" si="65"/>
        <v>#REF!</v>
      </c>
      <c r="M81" s="743" t="e">
        <f t="shared" si="65"/>
        <v>#REF!</v>
      </c>
      <c r="N81" s="743" t="e">
        <f t="shared" si="65"/>
        <v>#REF!</v>
      </c>
      <c r="O81" s="743" t="e">
        <f t="shared" si="65"/>
        <v>#REF!</v>
      </c>
      <c r="P81" s="743" t="e">
        <f t="shared" si="65"/>
        <v>#REF!</v>
      </c>
      <c r="Q81" s="743" t="e">
        <f t="shared" si="65"/>
        <v>#REF!</v>
      </c>
      <c r="R81" s="743" t="e">
        <f t="shared" si="65"/>
        <v>#REF!</v>
      </c>
      <c r="S81" s="743" t="e">
        <f t="shared" si="65"/>
        <v>#REF!</v>
      </c>
      <c r="T81" s="743" t="e">
        <f t="shared" si="65"/>
        <v>#REF!</v>
      </c>
      <c r="U81" s="743" t="e">
        <f t="shared" si="65"/>
        <v>#REF!</v>
      </c>
      <c r="V81" s="743" t="e">
        <f t="shared" si="65"/>
        <v>#REF!</v>
      </c>
      <c r="W81" s="743" t="e">
        <f t="shared" si="65"/>
        <v>#REF!</v>
      </c>
      <c r="X81" s="743" t="e">
        <f t="shared" si="65"/>
        <v>#REF!</v>
      </c>
      <c r="Y81" s="743" t="e">
        <f t="shared" si="65"/>
        <v>#REF!</v>
      </c>
      <c r="Z81" s="743" t="e">
        <f t="shared" si="65"/>
        <v>#REF!</v>
      </c>
      <c r="AA81" s="743" t="e">
        <f t="shared" ref="AA81" si="66">(AA46/1000)/AA72</f>
        <v>#REF!</v>
      </c>
    </row>
    <row r="82" spans="1:27">
      <c r="A82" s="732" t="s">
        <v>620</v>
      </c>
      <c r="B82" s="744" t="e">
        <f>B80+B81</f>
        <v>#REF!</v>
      </c>
      <c r="C82" s="744" t="e">
        <f t="shared" ref="C82:Z82" si="67">C80+C81</f>
        <v>#REF!</v>
      </c>
      <c r="D82" s="744" t="e">
        <f t="shared" si="67"/>
        <v>#REF!</v>
      </c>
      <c r="E82" s="744" t="e">
        <f t="shared" si="67"/>
        <v>#REF!</v>
      </c>
      <c r="F82" s="744" t="e">
        <f t="shared" si="67"/>
        <v>#REF!</v>
      </c>
      <c r="G82" s="744" t="e">
        <f t="shared" si="67"/>
        <v>#REF!</v>
      </c>
      <c r="H82" s="744" t="e">
        <f t="shared" si="67"/>
        <v>#REF!</v>
      </c>
      <c r="I82" s="744" t="e">
        <f t="shared" si="67"/>
        <v>#REF!</v>
      </c>
      <c r="J82" s="744" t="e">
        <f t="shared" si="67"/>
        <v>#REF!</v>
      </c>
      <c r="K82" s="744" t="e">
        <f t="shared" si="67"/>
        <v>#REF!</v>
      </c>
      <c r="L82" s="744" t="e">
        <f t="shared" si="67"/>
        <v>#REF!</v>
      </c>
      <c r="M82" s="744" t="e">
        <f t="shared" si="67"/>
        <v>#REF!</v>
      </c>
      <c r="N82" s="744" t="e">
        <f t="shared" si="67"/>
        <v>#REF!</v>
      </c>
      <c r="O82" s="744" t="e">
        <f t="shared" si="67"/>
        <v>#REF!</v>
      </c>
      <c r="P82" s="744" t="e">
        <f t="shared" si="67"/>
        <v>#REF!</v>
      </c>
      <c r="Q82" s="744" t="e">
        <f t="shared" si="67"/>
        <v>#REF!</v>
      </c>
      <c r="R82" s="744" t="e">
        <f t="shared" si="67"/>
        <v>#REF!</v>
      </c>
      <c r="S82" s="744" t="e">
        <f t="shared" si="67"/>
        <v>#REF!</v>
      </c>
      <c r="T82" s="744" t="e">
        <f t="shared" si="67"/>
        <v>#REF!</v>
      </c>
      <c r="U82" s="744" t="e">
        <f t="shared" si="67"/>
        <v>#REF!</v>
      </c>
      <c r="V82" s="744" t="e">
        <f t="shared" si="67"/>
        <v>#REF!</v>
      </c>
      <c r="W82" s="744" t="e">
        <f t="shared" si="67"/>
        <v>#REF!</v>
      </c>
      <c r="X82" s="744" t="e">
        <f t="shared" si="67"/>
        <v>#REF!</v>
      </c>
      <c r="Y82" s="744" t="e">
        <f t="shared" si="67"/>
        <v>#REF!</v>
      </c>
      <c r="Z82" s="744" t="e">
        <f t="shared" si="67"/>
        <v>#REF!</v>
      </c>
      <c r="AA82" s="744" t="e">
        <f t="shared" ref="AA82" si="68">AA80+AA81</f>
        <v>#REF!</v>
      </c>
    </row>
    <row r="84" spans="1:27" ht="15">
      <c r="A84" s="730" t="s">
        <v>621</v>
      </c>
      <c r="B84" s="742" t="e">
        <f>B18/B75</f>
        <v>#REF!</v>
      </c>
      <c r="C84" s="742" t="e">
        <f t="shared" ref="C84:Z84" si="69">C18/C75</f>
        <v>#REF!</v>
      </c>
      <c r="D84" s="742" t="e">
        <f t="shared" si="69"/>
        <v>#REF!</v>
      </c>
      <c r="E84" s="742" t="e">
        <f t="shared" si="69"/>
        <v>#REF!</v>
      </c>
      <c r="F84" s="742" t="e">
        <f t="shared" si="69"/>
        <v>#REF!</v>
      </c>
      <c r="G84" s="742" t="e">
        <f t="shared" si="69"/>
        <v>#REF!</v>
      </c>
      <c r="H84" s="742" t="e">
        <f t="shared" si="69"/>
        <v>#REF!</v>
      </c>
      <c r="I84" s="742" t="e">
        <f t="shared" si="69"/>
        <v>#REF!</v>
      </c>
      <c r="J84" s="742" t="e">
        <f t="shared" si="69"/>
        <v>#REF!</v>
      </c>
      <c r="K84" s="742" t="e">
        <f t="shared" si="69"/>
        <v>#REF!</v>
      </c>
      <c r="L84" s="742" t="e">
        <f t="shared" si="69"/>
        <v>#REF!</v>
      </c>
      <c r="M84" s="742" t="e">
        <f t="shared" si="69"/>
        <v>#REF!</v>
      </c>
      <c r="N84" s="742" t="e">
        <f t="shared" si="69"/>
        <v>#REF!</v>
      </c>
      <c r="O84" s="742" t="e">
        <f t="shared" si="69"/>
        <v>#REF!</v>
      </c>
      <c r="P84" s="742" t="e">
        <f t="shared" si="69"/>
        <v>#REF!</v>
      </c>
      <c r="Q84" s="742" t="e">
        <f t="shared" si="69"/>
        <v>#REF!</v>
      </c>
      <c r="R84" s="742" t="e">
        <f t="shared" si="69"/>
        <v>#REF!</v>
      </c>
      <c r="S84" s="742" t="e">
        <f t="shared" si="69"/>
        <v>#REF!</v>
      </c>
      <c r="T84" s="742" t="e">
        <f t="shared" si="69"/>
        <v>#REF!</v>
      </c>
      <c r="U84" s="742" t="e">
        <f t="shared" si="69"/>
        <v>#REF!</v>
      </c>
      <c r="V84" s="742" t="e">
        <f t="shared" si="69"/>
        <v>#REF!</v>
      </c>
      <c r="W84" s="742" t="e">
        <f t="shared" si="69"/>
        <v>#REF!</v>
      </c>
      <c r="X84" s="742" t="e">
        <f t="shared" si="69"/>
        <v>#REF!</v>
      </c>
      <c r="Y84" s="742" t="e">
        <f t="shared" si="69"/>
        <v>#REF!</v>
      </c>
      <c r="Z84" s="742" t="e">
        <f t="shared" si="69"/>
        <v>#REF!</v>
      </c>
      <c r="AA84" s="742" t="e">
        <f t="shared" ref="AA84" si="70">AA18/AA75</f>
        <v>#REF!</v>
      </c>
    </row>
    <row r="85" spans="1:27" ht="15">
      <c r="A85" s="730" t="s">
        <v>622</v>
      </c>
      <c r="B85" s="742" t="e">
        <f>B46/B75</f>
        <v>#REF!</v>
      </c>
      <c r="C85" s="742" t="e">
        <f t="shared" ref="C85:Z85" si="71">C46/C75</f>
        <v>#REF!</v>
      </c>
      <c r="D85" s="742" t="e">
        <f t="shared" si="71"/>
        <v>#REF!</v>
      </c>
      <c r="E85" s="742" t="e">
        <f t="shared" si="71"/>
        <v>#REF!</v>
      </c>
      <c r="F85" s="742" t="e">
        <f t="shared" si="71"/>
        <v>#REF!</v>
      </c>
      <c r="G85" s="742" t="e">
        <f t="shared" si="71"/>
        <v>#REF!</v>
      </c>
      <c r="H85" s="742" t="e">
        <f t="shared" si="71"/>
        <v>#REF!</v>
      </c>
      <c r="I85" s="742" t="e">
        <f t="shared" si="71"/>
        <v>#REF!</v>
      </c>
      <c r="J85" s="742" t="e">
        <f t="shared" si="71"/>
        <v>#REF!</v>
      </c>
      <c r="K85" s="742" t="e">
        <f t="shared" si="71"/>
        <v>#REF!</v>
      </c>
      <c r="L85" s="742" t="e">
        <f t="shared" si="71"/>
        <v>#REF!</v>
      </c>
      <c r="M85" s="742" t="e">
        <f t="shared" si="71"/>
        <v>#REF!</v>
      </c>
      <c r="N85" s="742" t="e">
        <f t="shared" si="71"/>
        <v>#REF!</v>
      </c>
      <c r="O85" s="742" t="e">
        <f t="shared" si="71"/>
        <v>#REF!</v>
      </c>
      <c r="P85" s="742" t="e">
        <f t="shared" si="71"/>
        <v>#REF!</v>
      </c>
      <c r="Q85" s="742" t="e">
        <f t="shared" si="71"/>
        <v>#REF!</v>
      </c>
      <c r="R85" s="742" t="e">
        <f t="shared" si="71"/>
        <v>#REF!</v>
      </c>
      <c r="S85" s="742" t="e">
        <f t="shared" si="71"/>
        <v>#REF!</v>
      </c>
      <c r="T85" s="742" t="e">
        <f t="shared" si="71"/>
        <v>#REF!</v>
      </c>
      <c r="U85" s="742" t="e">
        <f t="shared" si="71"/>
        <v>#REF!</v>
      </c>
      <c r="V85" s="742" t="e">
        <f t="shared" si="71"/>
        <v>#REF!</v>
      </c>
      <c r="W85" s="742" t="e">
        <f t="shared" si="71"/>
        <v>#REF!</v>
      </c>
      <c r="X85" s="742" t="e">
        <f t="shared" si="71"/>
        <v>#REF!</v>
      </c>
      <c r="Y85" s="742" t="e">
        <f t="shared" si="71"/>
        <v>#REF!</v>
      </c>
      <c r="Z85" s="742" t="e">
        <f t="shared" si="71"/>
        <v>#REF!</v>
      </c>
      <c r="AA85" s="742" t="e">
        <f t="shared" ref="AA85" si="72">AA46/AA75</f>
        <v>#REF!</v>
      </c>
    </row>
    <row r="86" spans="1:27">
      <c r="A86" s="732" t="s">
        <v>623</v>
      </c>
      <c r="B86" s="745" t="e">
        <f>B84+B85</f>
        <v>#REF!</v>
      </c>
      <c r="C86" s="745" t="e">
        <f t="shared" ref="C86:Z86" si="73">C84+C85</f>
        <v>#REF!</v>
      </c>
      <c r="D86" s="745" t="e">
        <f t="shared" si="73"/>
        <v>#REF!</v>
      </c>
      <c r="E86" s="745" t="e">
        <f t="shared" si="73"/>
        <v>#REF!</v>
      </c>
      <c r="F86" s="745" t="e">
        <f t="shared" si="73"/>
        <v>#REF!</v>
      </c>
      <c r="G86" s="745" t="e">
        <f t="shared" si="73"/>
        <v>#REF!</v>
      </c>
      <c r="H86" s="745" t="e">
        <f t="shared" si="73"/>
        <v>#REF!</v>
      </c>
      <c r="I86" s="745" t="e">
        <f t="shared" si="73"/>
        <v>#REF!</v>
      </c>
      <c r="J86" s="745" t="e">
        <f t="shared" si="73"/>
        <v>#REF!</v>
      </c>
      <c r="K86" s="745" t="e">
        <f t="shared" si="73"/>
        <v>#REF!</v>
      </c>
      <c r="L86" s="745" t="e">
        <f t="shared" si="73"/>
        <v>#REF!</v>
      </c>
      <c r="M86" s="745" t="e">
        <f t="shared" si="73"/>
        <v>#REF!</v>
      </c>
      <c r="N86" s="745" t="e">
        <f t="shared" si="73"/>
        <v>#REF!</v>
      </c>
      <c r="O86" s="745" t="e">
        <f t="shared" si="73"/>
        <v>#REF!</v>
      </c>
      <c r="P86" s="745" t="e">
        <f t="shared" si="73"/>
        <v>#REF!</v>
      </c>
      <c r="Q86" s="745" t="e">
        <f t="shared" si="73"/>
        <v>#REF!</v>
      </c>
      <c r="R86" s="745" t="e">
        <f t="shared" si="73"/>
        <v>#REF!</v>
      </c>
      <c r="S86" s="745" t="e">
        <f t="shared" si="73"/>
        <v>#REF!</v>
      </c>
      <c r="T86" s="745" t="e">
        <f t="shared" si="73"/>
        <v>#REF!</v>
      </c>
      <c r="U86" s="745" t="e">
        <f t="shared" si="73"/>
        <v>#REF!</v>
      </c>
      <c r="V86" s="745" t="e">
        <f t="shared" si="73"/>
        <v>#REF!</v>
      </c>
      <c r="W86" s="745" t="e">
        <f t="shared" si="73"/>
        <v>#REF!</v>
      </c>
      <c r="X86" s="745" t="e">
        <f t="shared" si="73"/>
        <v>#REF!</v>
      </c>
      <c r="Y86" s="745" t="e">
        <f t="shared" si="73"/>
        <v>#REF!</v>
      </c>
      <c r="Z86" s="745" t="e">
        <f t="shared" si="73"/>
        <v>#REF!</v>
      </c>
      <c r="AA86" s="745" t="e">
        <f t="shared" ref="AA86" si="74">AA84+AA85</f>
        <v>#REF!</v>
      </c>
    </row>
    <row r="89" spans="1:27" ht="15">
      <c r="A89" s="730" t="s">
        <v>624</v>
      </c>
      <c r="B89" s="742" t="e">
        <f>#REF!/$B$6</f>
        <v>#REF!</v>
      </c>
      <c r="C89" s="742" t="e">
        <f>#REF!/$B$6</f>
        <v>#REF!</v>
      </c>
      <c r="D89" s="742" t="e">
        <f>#REF!/$B$6</f>
        <v>#REF!</v>
      </c>
      <c r="E89" s="742" t="e">
        <f>#REF!/$B$6</f>
        <v>#REF!</v>
      </c>
      <c r="F89" s="742" t="e">
        <f>#REF!/$B$6</f>
        <v>#REF!</v>
      </c>
      <c r="G89" s="742" t="e">
        <f>#REF!/$B$6</f>
        <v>#REF!</v>
      </c>
      <c r="H89" s="742" t="e">
        <f>#REF!/$B$6</f>
        <v>#REF!</v>
      </c>
      <c r="I89" s="742" t="e">
        <f>#REF!/$B$6</f>
        <v>#REF!</v>
      </c>
      <c r="J89" s="742" t="e">
        <f>#REF!/$B$6</f>
        <v>#REF!</v>
      </c>
      <c r="K89" s="742" t="e">
        <f>#REF!/$B$6</f>
        <v>#REF!</v>
      </c>
      <c r="L89" s="742" t="e">
        <f>#REF!/$B$6</f>
        <v>#REF!</v>
      </c>
      <c r="M89" s="742" t="e">
        <f>#REF!/$B$6</f>
        <v>#REF!</v>
      </c>
      <c r="N89" s="742" t="e">
        <f>#REF!/$B$6</f>
        <v>#REF!</v>
      </c>
      <c r="O89" s="742" t="e">
        <f>#REF!/$B$6</f>
        <v>#REF!</v>
      </c>
      <c r="P89" s="742" t="e">
        <f>#REF!/$B$6</f>
        <v>#REF!</v>
      </c>
      <c r="Q89" s="742" t="e">
        <f>#REF!/$B$6</f>
        <v>#REF!</v>
      </c>
      <c r="R89" s="742" t="e">
        <f>#REF!/$B$6</f>
        <v>#REF!</v>
      </c>
      <c r="S89" s="742" t="e">
        <f>#REF!/$B$6</f>
        <v>#REF!</v>
      </c>
      <c r="T89" s="742" t="e">
        <f>#REF!/$B$6</f>
        <v>#REF!</v>
      </c>
      <c r="U89" s="742" t="e">
        <f>#REF!/$B$6</f>
        <v>#REF!</v>
      </c>
      <c r="V89" s="742" t="e">
        <f>#REF!/$B$6</f>
        <v>#REF!</v>
      </c>
      <c r="W89" s="742" t="e">
        <f>#REF!/$B$6</f>
        <v>#REF!</v>
      </c>
      <c r="X89" s="742" t="e">
        <f>#REF!/$B$6</f>
        <v>#REF!</v>
      </c>
      <c r="Y89" s="742" t="e">
        <f>#REF!/$B$6</f>
        <v>#REF!</v>
      </c>
      <c r="Z89" s="742" t="e">
        <f>#REF!/$B$6</f>
        <v>#REF!</v>
      </c>
      <c r="AA89" s="742" t="e">
        <f>#REF!/$B$6</f>
        <v>#REF!</v>
      </c>
    </row>
    <row r="100" spans="1:27">
      <c r="A100" s="733" t="s">
        <v>110</v>
      </c>
      <c r="B100" s="734"/>
      <c r="C100" s="734"/>
      <c r="D100" s="734"/>
      <c r="E100" s="734"/>
      <c r="F100" s="734"/>
      <c r="G100" s="734"/>
      <c r="H100" s="734"/>
      <c r="I100" s="734"/>
      <c r="J100" s="734"/>
      <c r="K100" s="734"/>
      <c r="L100" s="734"/>
      <c r="M100" s="734"/>
      <c r="N100" s="734"/>
      <c r="O100" s="734"/>
      <c r="P100" s="734"/>
      <c r="Q100" s="734"/>
      <c r="R100" s="734"/>
      <c r="S100" s="734"/>
      <c r="T100" s="734"/>
      <c r="U100" s="734"/>
      <c r="V100" s="734"/>
      <c r="W100" s="734"/>
      <c r="X100" s="734"/>
      <c r="Y100" s="734"/>
      <c r="Z100" s="734"/>
      <c r="AA100" s="734"/>
    </row>
    <row r="102" spans="1:27">
      <c r="A102" s="735" t="s">
        <v>625</v>
      </c>
      <c r="B102" s="735">
        <f>B$12</f>
        <v>2003</v>
      </c>
      <c r="C102" s="735">
        <f t="shared" ref="C102:AA102" si="75">C$12</f>
        <v>2004</v>
      </c>
      <c r="D102" s="735">
        <f t="shared" si="75"/>
        <v>2005</v>
      </c>
      <c r="E102" s="735">
        <f t="shared" si="75"/>
        <v>2006</v>
      </c>
      <c r="F102" s="735">
        <f t="shared" si="75"/>
        <v>2007</v>
      </c>
      <c r="G102" s="735">
        <f t="shared" si="75"/>
        <v>2008</v>
      </c>
      <c r="H102" s="735">
        <f t="shared" si="75"/>
        <v>2009</v>
      </c>
      <c r="I102" s="735">
        <f t="shared" si="75"/>
        <v>2010</v>
      </c>
      <c r="J102" s="735">
        <f t="shared" si="75"/>
        <v>2011</v>
      </c>
      <c r="K102" s="735">
        <f t="shared" si="75"/>
        <v>2012</v>
      </c>
      <c r="L102" s="735">
        <f t="shared" si="75"/>
        <v>2013</v>
      </c>
      <c r="M102" s="735">
        <f t="shared" si="75"/>
        <v>2014</v>
      </c>
      <c r="N102" s="735">
        <f t="shared" si="75"/>
        <v>2015</v>
      </c>
      <c r="O102" s="735">
        <f t="shared" si="75"/>
        <v>2016</v>
      </c>
      <c r="P102" s="735">
        <f t="shared" si="75"/>
        <v>2017</v>
      </c>
      <c r="Q102" s="735">
        <f t="shared" si="75"/>
        <v>2018</v>
      </c>
      <c r="R102" s="735">
        <f t="shared" si="75"/>
        <v>2019</v>
      </c>
      <c r="S102" s="735">
        <f t="shared" si="75"/>
        <v>2020</v>
      </c>
      <c r="T102" s="735">
        <f t="shared" si="75"/>
        <v>2021</v>
      </c>
      <c r="U102" s="735">
        <f t="shared" si="75"/>
        <v>2022</v>
      </c>
      <c r="V102" s="735">
        <f t="shared" si="75"/>
        <v>2023</v>
      </c>
      <c r="W102" s="735">
        <f t="shared" si="75"/>
        <v>2024</v>
      </c>
      <c r="X102" s="735">
        <f t="shared" si="75"/>
        <v>2025</v>
      </c>
      <c r="Y102" s="735">
        <f t="shared" si="75"/>
        <v>2026</v>
      </c>
      <c r="Z102" s="735">
        <f t="shared" si="75"/>
        <v>2027</v>
      </c>
      <c r="AA102" s="735">
        <f t="shared" si="75"/>
        <v>2028</v>
      </c>
    </row>
    <row r="104" spans="1:27" ht="15">
      <c r="A104" s="730" t="s">
        <v>626</v>
      </c>
      <c r="B104" s="736" t="e">
        <f>B156</f>
        <v>#REF!</v>
      </c>
      <c r="C104" s="736" t="e">
        <f t="shared" ref="C104:Z104" si="76">C156</f>
        <v>#REF!</v>
      </c>
      <c r="D104" s="736" t="e">
        <f t="shared" si="76"/>
        <v>#REF!</v>
      </c>
      <c r="E104" s="736" t="e">
        <f t="shared" si="76"/>
        <v>#REF!</v>
      </c>
      <c r="F104" s="736" t="e">
        <f t="shared" si="76"/>
        <v>#REF!</v>
      </c>
      <c r="G104" s="736" t="e">
        <f t="shared" si="76"/>
        <v>#REF!</v>
      </c>
      <c r="H104" s="736" t="e">
        <f t="shared" si="76"/>
        <v>#REF!</v>
      </c>
      <c r="I104" s="736" t="e">
        <f t="shared" si="76"/>
        <v>#REF!</v>
      </c>
      <c r="J104" s="736" t="e">
        <f t="shared" si="76"/>
        <v>#REF!</v>
      </c>
      <c r="K104" s="736" t="e">
        <f t="shared" si="76"/>
        <v>#REF!</v>
      </c>
      <c r="L104" s="736" t="e">
        <f t="shared" si="76"/>
        <v>#REF!</v>
      </c>
      <c r="M104" s="736" t="e">
        <f t="shared" si="76"/>
        <v>#REF!</v>
      </c>
      <c r="N104" s="736" t="e">
        <f t="shared" si="76"/>
        <v>#REF!</v>
      </c>
      <c r="O104" s="736" t="e">
        <f t="shared" si="76"/>
        <v>#REF!</v>
      </c>
      <c r="P104" s="736" t="e">
        <f t="shared" si="76"/>
        <v>#REF!</v>
      </c>
      <c r="Q104" s="736" t="e">
        <f t="shared" si="76"/>
        <v>#REF!</v>
      </c>
      <c r="R104" s="736" t="e">
        <f t="shared" si="76"/>
        <v>#REF!</v>
      </c>
      <c r="S104" s="736" t="e">
        <f t="shared" si="76"/>
        <v>#REF!</v>
      </c>
      <c r="T104" s="736" t="e">
        <f t="shared" si="76"/>
        <v>#REF!</v>
      </c>
      <c r="U104" s="736" t="e">
        <f t="shared" si="76"/>
        <v>#REF!</v>
      </c>
      <c r="V104" s="736" t="e">
        <f t="shared" si="76"/>
        <v>#REF!</v>
      </c>
      <c r="W104" s="736" t="e">
        <f t="shared" si="76"/>
        <v>#REF!</v>
      </c>
      <c r="X104" s="736" t="e">
        <f t="shared" si="76"/>
        <v>#REF!</v>
      </c>
      <c r="Y104" s="736" t="e">
        <f t="shared" si="76"/>
        <v>#REF!</v>
      </c>
      <c r="Z104" s="736" t="e">
        <f t="shared" si="76"/>
        <v>#REF!</v>
      </c>
      <c r="AA104" s="736" t="e">
        <f t="shared" ref="AA104" si="77">AA156</f>
        <v>#REF!</v>
      </c>
    </row>
    <row r="105" spans="1:27" ht="15">
      <c r="A105" s="730" t="s">
        <v>627</v>
      </c>
      <c r="B105" s="736" t="e">
        <f>B163</f>
        <v>#REF!</v>
      </c>
      <c r="C105" s="736" t="e">
        <f t="shared" ref="C105:Z105" si="78">C163</f>
        <v>#REF!</v>
      </c>
      <c r="D105" s="736" t="e">
        <f t="shared" si="78"/>
        <v>#REF!</v>
      </c>
      <c r="E105" s="736" t="e">
        <f t="shared" si="78"/>
        <v>#REF!</v>
      </c>
      <c r="F105" s="736" t="e">
        <f t="shared" si="78"/>
        <v>#REF!</v>
      </c>
      <c r="G105" s="736" t="e">
        <f t="shared" si="78"/>
        <v>#REF!</v>
      </c>
      <c r="H105" s="736" t="e">
        <f t="shared" si="78"/>
        <v>#REF!</v>
      </c>
      <c r="I105" s="736" t="e">
        <f t="shared" si="78"/>
        <v>#REF!</v>
      </c>
      <c r="J105" s="736" t="e">
        <f t="shared" si="78"/>
        <v>#REF!</v>
      </c>
      <c r="K105" s="736" t="e">
        <f t="shared" si="78"/>
        <v>#REF!</v>
      </c>
      <c r="L105" s="736" t="e">
        <f t="shared" si="78"/>
        <v>#REF!</v>
      </c>
      <c r="M105" s="736" t="e">
        <f t="shared" si="78"/>
        <v>#REF!</v>
      </c>
      <c r="N105" s="736" t="e">
        <f t="shared" si="78"/>
        <v>#REF!</v>
      </c>
      <c r="O105" s="736" t="e">
        <f t="shared" si="78"/>
        <v>#REF!</v>
      </c>
      <c r="P105" s="736" t="e">
        <f t="shared" si="78"/>
        <v>#REF!</v>
      </c>
      <c r="Q105" s="736" t="e">
        <f t="shared" si="78"/>
        <v>#REF!</v>
      </c>
      <c r="R105" s="736" t="e">
        <f t="shared" si="78"/>
        <v>#REF!</v>
      </c>
      <c r="S105" s="736" t="e">
        <f t="shared" si="78"/>
        <v>#REF!</v>
      </c>
      <c r="T105" s="736" t="e">
        <f t="shared" si="78"/>
        <v>#REF!</v>
      </c>
      <c r="U105" s="736" t="e">
        <f t="shared" si="78"/>
        <v>#REF!</v>
      </c>
      <c r="V105" s="736" t="e">
        <f t="shared" si="78"/>
        <v>#REF!</v>
      </c>
      <c r="W105" s="736" t="e">
        <f t="shared" si="78"/>
        <v>#REF!</v>
      </c>
      <c r="X105" s="736" t="e">
        <f t="shared" si="78"/>
        <v>#REF!</v>
      </c>
      <c r="Y105" s="736" t="e">
        <f t="shared" si="78"/>
        <v>#REF!</v>
      </c>
      <c r="Z105" s="736" t="e">
        <f t="shared" si="78"/>
        <v>#REF!</v>
      </c>
      <c r="AA105" s="736" t="e">
        <f t="shared" ref="AA105" si="79">AA163</f>
        <v>#REF!</v>
      </c>
    </row>
    <row r="106" spans="1:27">
      <c r="A106" s="760" t="s">
        <v>628</v>
      </c>
      <c r="B106" s="761" t="e">
        <f>B104+B105</f>
        <v>#REF!</v>
      </c>
      <c r="C106" s="761" t="e">
        <f t="shared" ref="C106:Z106" si="80">C104+C105</f>
        <v>#REF!</v>
      </c>
      <c r="D106" s="761" t="e">
        <f t="shared" si="80"/>
        <v>#REF!</v>
      </c>
      <c r="E106" s="761" t="e">
        <f t="shared" si="80"/>
        <v>#REF!</v>
      </c>
      <c r="F106" s="761" t="e">
        <f t="shared" si="80"/>
        <v>#REF!</v>
      </c>
      <c r="G106" s="761" t="e">
        <f t="shared" si="80"/>
        <v>#REF!</v>
      </c>
      <c r="H106" s="761" t="e">
        <f t="shared" si="80"/>
        <v>#REF!</v>
      </c>
      <c r="I106" s="761" t="e">
        <f t="shared" si="80"/>
        <v>#REF!</v>
      </c>
      <c r="J106" s="761" t="e">
        <f t="shared" si="80"/>
        <v>#REF!</v>
      </c>
      <c r="K106" s="761" t="e">
        <f t="shared" si="80"/>
        <v>#REF!</v>
      </c>
      <c r="L106" s="761" t="e">
        <f t="shared" si="80"/>
        <v>#REF!</v>
      </c>
      <c r="M106" s="761" t="e">
        <f t="shared" si="80"/>
        <v>#REF!</v>
      </c>
      <c r="N106" s="761" t="e">
        <f t="shared" si="80"/>
        <v>#REF!</v>
      </c>
      <c r="O106" s="761" t="e">
        <f t="shared" si="80"/>
        <v>#REF!</v>
      </c>
      <c r="P106" s="761" t="e">
        <f t="shared" si="80"/>
        <v>#REF!</v>
      </c>
      <c r="Q106" s="761" t="e">
        <f t="shared" si="80"/>
        <v>#REF!</v>
      </c>
      <c r="R106" s="761" t="e">
        <f t="shared" si="80"/>
        <v>#REF!</v>
      </c>
      <c r="S106" s="761" t="e">
        <f t="shared" si="80"/>
        <v>#REF!</v>
      </c>
      <c r="T106" s="761" t="e">
        <f t="shared" si="80"/>
        <v>#REF!</v>
      </c>
      <c r="U106" s="761" t="e">
        <f t="shared" si="80"/>
        <v>#REF!</v>
      </c>
      <c r="V106" s="761" t="e">
        <f t="shared" si="80"/>
        <v>#REF!</v>
      </c>
      <c r="W106" s="761" t="e">
        <f t="shared" si="80"/>
        <v>#REF!</v>
      </c>
      <c r="X106" s="761" t="e">
        <f t="shared" si="80"/>
        <v>#REF!</v>
      </c>
      <c r="Y106" s="761" t="e">
        <f t="shared" si="80"/>
        <v>#REF!</v>
      </c>
      <c r="Z106" s="761" t="e">
        <f t="shared" si="80"/>
        <v>#REF!</v>
      </c>
      <c r="AA106" s="761" t="e">
        <f t="shared" ref="AA106" si="81">AA104+AA105</f>
        <v>#REF!</v>
      </c>
    </row>
    <row r="107" spans="1:27" ht="15">
      <c r="B107" s="736"/>
      <c r="C107" s="736"/>
      <c r="D107" s="736"/>
      <c r="E107" s="736"/>
      <c r="F107" s="736"/>
      <c r="G107" s="736"/>
      <c r="H107" s="736"/>
      <c r="I107" s="736"/>
      <c r="J107" s="736"/>
      <c r="K107" s="736"/>
      <c r="L107" s="736"/>
      <c r="M107" s="736"/>
      <c r="N107" s="736"/>
      <c r="O107" s="736"/>
      <c r="P107" s="736"/>
      <c r="Q107" s="736"/>
      <c r="R107" s="736"/>
      <c r="S107" s="736"/>
      <c r="T107" s="736"/>
      <c r="U107" s="736"/>
      <c r="V107" s="736"/>
      <c r="W107" s="736"/>
      <c r="X107" s="736"/>
      <c r="Y107" s="736"/>
      <c r="Z107" s="736"/>
      <c r="AA107" s="736"/>
    </row>
    <row r="108" spans="1:27" ht="15">
      <c r="A108" s="730" t="s">
        <v>629</v>
      </c>
      <c r="B108" s="736" t="e">
        <f>B198</f>
        <v>#REF!</v>
      </c>
      <c r="C108" s="736" t="e">
        <f t="shared" ref="C108:Z108" si="82">C198</f>
        <v>#REF!</v>
      </c>
      <c r="D108" s="736" t="e">
        <f t="shared" si="82"/>
        <v>#REF!</v>
      </c>
      <c r="E108" s="736" t="e">
        <f t="shared" si="82"/>
        <v>#REF!</v>
      </c>
      <c r="F108" s="736" t="e">
        <f t="shared" si="82"/>
        <v>#REF!</v>
      </c>
      <c r="G108" s="736" t="e">
        <f t="shared" si="82"/>
        <v>#REF!</v>
      </c>
      <c r="H108" s="736" t="e">
        <f t="shared" si="82"/>
        <v>#REF!</v>
      </c>
      <c r="I108" s="736" t="e">
        <f t="shared" si="82"/>
        <v>#REF!</v>
      </c>
      <c r="J108" s="736" t="e">
        <f t="shared" si="82"/>
        <v>#REF!</v>
      </c>
      <c r="K108" s="736" t="e">
        <f t="shared" si="82"/>
        <v>#REF!</v>
      </c>
      <c r="L108" s="736" t="e">
        <f t="shared" si="82"/>
        <v>#REF!</v>
      </c>
      <c r="M108" s="736" t="e">
        <f t="shared" si="82"/>
        <v>#REF!</v>
      </c>
      <c r="N108" s="736" t="e">
        <f t="shared" si="82"/>
        <v>#REF!</v>
      </c>
      <c r="O108" s="736" t="e">
        <f t="shared" si="82"/>
        <v>#REF!</v>
      </c>
      <c r="P108" s="736" t="e">
        <f t="shared" si="82"/>
        <v>#REF!</v>
      </c>
      <c r="Q108" s="736" t="e">
        <f t="shared" si="82"/>
        <v>#REF!</v>
      </c>
      <c r="R108" s="736" t="e">
        <f t="shared" si="82"/>
        <v>#REF!</v>
      </c>
      <c r="S108" s="736" t="e">
        <f t="shared" si="82"/>
        <v>#REF!</v>
      </c>
      <c r="T108" s="736" t="e">
        <f t="shared" si="82"/>
        <v>#REF!</v>
      </c>
      <c r="U108" s="736" t="e">
        <f t="shared" si="82"/>
        <v>#REF!</v>
      </c>
      <c r="V108" s="736" t="e">
        <f t="shared" si="82"/>
        <v>#REF!</v>
      </c>
      <c r="W108" s="736" t="e">
        <f t="shared" si="82"/>
        <v>#REF!</v>
      </c>
      <c r="X108" s="736" t="e">
        <f t="shared" si="82"/>
        <v>#REF!</v>
      </c>
      <c r="Y108" s="736" t="e">
        <f t="shared" si="82"/>
        <v>#REF!</v>
      </c>
      <c r="Z108" s="736" t="e">
        <f t="shared" si="82"/>
        <v>#REF!</v>
      </c>
      <c r="AA108" s="736" t="e">
        <f t="shared" ref="AA108" si="83">AA198</f>
        <v>#REF!</v>
      </c>
    </row>
    <row r="109" spans="1:27" ht="15">
      <c r="A109" s="730" t="s">
        <v>630</v>
      </c>
      <c r="B109" s="736" t="e">
        <f>B205</f>
        <v>#REF!</v>
      </c>
      <c r="C109" s="736" t="e">
        <f t="shared" ref="C109:Z109" si="84">C205</f>
        <v>#REF!</v>
      </c>
      <c r="D109" s="736" t="e">
        <f t="shared" si="84"/>
        <v>#REF!</v>
      </c>
      <c r="E109" s="736" t="e">
        <f t="shared" si="84"/>
        <v>#REF!</v>
      </c>
      <c r="F109" s="736" t="e">
        <f t="shared" si="84"/>
        <v>#REF!</v>
      </c>
      <c r="G109" s="736" t="e">
        <f t="shared" si="84"/>
        <v>#REF!</v>
      </c>
      <c r="H109" s="736" t="e">
        <f t="shared" si="84"/>
        <v>#REF!</v>
      </c>
      <c r="I109" s="736" t="e">
        <f t="shared" si="84"/>
        <v>#REF!</v>
      </c>
      <c r="J109" s="736" t="e">
        <f t="shared" si="84"/>
        <v>#REF!</v>
      </c>
      <c r="K109" s="736" t="e">
        <f t="shared" si="84"/>
        <v>#REF!</v>
      </c>
      <c r="L109" s="736" t="e">
        <f t="shared" si="84"/>
        <v>#REF!</v>
      </c>
      <c r="M109" s="736" t="e">
        <f t="shared" si="84"/>
        <v>#REF!</v>
      </c>
      <c r="N109" s="736" t="e">
        <f t="shared" si="84"/>
        <v>#REF!</v>
      </c>
      <c r="O109" s="736" t="e">
        <f t="shared" si="84"/>
        <v>#REF!</v>
      </c>
      <c r="P109" s="736" t="e">
        <f t="shared" si="84"/>
        <v>#REF!</v>
      </c>
      <c r="Q109" s="736" t="e">
        <f t="shared" si="84"/>
        <v>#REF!</v>
      </c>
      <c r="R109" s="736" t="e">
        <f t="shared" si="84"/>
        <v>#REF!</v>
      </c>
      <c r="S109" s="736" t="e">
        <f t="shared" si="84"/>
        <v>#REF!</v>
      </c>
      <c r="T109" s="736" t="e">
        <f t="shared" si="84"/>
        <v>#REF!</v>
      </c>
      <c r="U109" s="736" t="e">
        <f t="shared" si="84"/>
        <v>#REF!</v>
      </c>
      <c r="V109" s="736" t="e">
        <f t="shared" si="84"/>
        <v>#REF!</v>
      </c>
      <c r="W109" s="736" t="e">
        <f t="shared" si="84"/>
        <v>#REF!</v>
      </c>
      <c r="X109" s="736" t="e">
        <f t="shared" si="84"/>
        <v>#REF!</v>
      </c>
      <c r="Y109" s="736" t="e">
        <f t="shared" si="84"/>
        <v>#REF!</v>
      </c>
      <c r="Z109" s="736" t="e">
        <f t="shared" si="84"/>
        <v>#REF!</v>
      </c>
      <c r="AA109" s="736" t="e">
        <f t="shared" ref="AA109" si="85">AA205</f>
        <v>#REF!</v>
      </c>
    </row>
    <row r="110" spans="1:27">
      <c r="A110" s="760" t="s">
        <v>631</v>
      </c>
      <c r="B110" s="761" t="e">
        <f>B108+B109</f>
        <v>#REF!</v>
      </c>
      <c r="C110" s="761" t="e">
        <f t="shared" ref="C110:Z110" si="86">C108+C109</f>
        <v>#REF!</v>
      </c>
      <c r="D110" s="761" t="e">
        <f t="shared" si="86"/>
        <v>#REF!</v>
      </c>
      <c r="E110" s="761" t="e">
        <f t="shared" si="86"/>
        <v>#REF!</v>
      </c>
      <c r="F110" s="761" t="e">
        <f t="shared" si="86"/>
        <v>#REF!</v>
      </c>
      <c r="G110" s="761" t="e">
        <f t="shared" si="86"/>
        <v>#REF!</v>
      </c>
      <c r="H110" s="761" t="e">
        <f t="shared" si="86"/>
        <v>#REF!</v>
      </c>
      <c r="I110" s="761" t="e">
        <f t="shared" si="86"/>
        <v>#REF!</v>
      </c>
      <c r="J110" s="761" t="e">
        <f t="shared" si="86"/>
        <v>#REF!</v>
      </c>
      <c r="K110" s="761" t="e">
        <f t="shared" si="86"/>
        <v>#REF!</v>
      </c>
      <c r="L110" s="761" t="e">
        <f t="shared" si="86"/>
        <v>#REF!</v>
      </c>
      <c r="M110" s="761" t="e">
        <f t="shared" si="86"/>
        <v>#REF!</v>
      </c>
      <c r="N110" s="761" t="e">
        <f t="shared" si="86"/>
        <v>#REF!</v>
      </c>
      <c r="O110" s="761" t="e">
        <f t="shared" si="86"/>
        <v>#REF!</v>
      </c>
      <c r="P110" s="761" t="e">
        <f t="shared" si="86"/>
        <v>#REF!</v>
      </c>
      <c r="Q110" s="761" t="e">
        <f t="shared" si="86"/>
        <v>#REF!</v>
      </c>
      <c r="R110" s="761" t="e">
        <f t="shared" si="86"/>
        <v>#REF!</v>
      </c>
      <c r="S110" s="761" t="e">
        <f t="shared" si="86"/>
        <v>#REF!</v>
      </c>
      <c r="T110" s="761" t="e">
        <f t="shared" si="86"/>
        <v>#REF!</v>
      </c>
      <c r="U110" s="761" t="e">
        <f t="shared" si="86"/>
        <v>#REF!</v>
      </c>
      <c r="V110" s="761" t="e">
        <f t="shared" si="86"/>
        <v>#REF!</v>
      </c>
      <c r="W110" s="761" t="e">
        <f t="shared" si="86"/>
        <v>#REF!</v>
      </c>
      <c r="X110" s="761" t="e">
        <f t="shared" si="86"/>
        <v>#REF!</v>
      </c>
      <c r="Y110" s="761" t="e">
        <f t="shared" si="86"/>
        <v>#REF!</v>
      </c>
      <c r="Z110" s="761" t="e">
        <f t="shared" si="86"/>
        <v>#REF!</v>
      </c>
      <c r="AA110" s="761" t="e">
        <f t="shared" ref="AA110" si="87">AA108+AA109</f>
        <v>#REF!</v>
      </c>
    </row>
    <row r="111" spans="1:27" ht="15">
      <c r="B111" s="736"/>
      <c r="C111" s="736"/>
      <c r="D111" s="736"/>
      <c r="E111" s="736"/>
      <c r="F111" s="736"/>
      <c r="G111" s="736"/>
      <c r="H111" s="736"/>
      <c r="I111" s="736"/>
      <c r="J111" s="736"/>
      <c r="K111" s="736"/>
      <c r="L111" s="736"/>
      <c r="M111" s="736"/>
      <c r="N111" s="736"/>
      <c r="O111" s="736"/>
      <c r="P111" s="736"/>
      <c r="Q111" s="736"/>
      <c r="R111" s="736"/>
      <c r="S111" s="736"/>
      <c r="T111" s="736"/>
      <c r="U111" s="736"/>
      <c r="V111" s="736"/>
      <c r="W111" s="736"/>
      <c r="X111" s="736"/>
      <c r="Y111" s="736"/>
      <c r="Z111" s="736"/>
      <c r="AA111" s="736"/>
    </row>
    <row r="112" spans="1:27" ht="15">
      <c r="A112" s="730" t="s">
        <v>632</v>
      </c>
      <c r="B112" s="736" t="e">
        <f>B235</f>
        <v>#REF!</v>
      </c>
      <c r="C112" s="736" t="e">
        <f t="shared" ref="C112:Z112" si="88">C235</f>
        <v>#REF!</v>
      </c>
      <c r="D112" s="736" t="e">
        <f t="shared" si="88"/>
        <v>#REF!</v>
      </c>
      <c r="E112" s="736" t="e">
        <f t="shared" si="88"/>
        <v>#REF!</v>
      </c>
      <c r="F112" s="736" t="e">
        <f t="shared" si="88"/>
        <v>#REF!</v>
      </c>
      <c r="G112" s="736" t="e">
        <f t="shared" si="88"/>
        <v>#REF!</v>
      </c>
      <c r="H112" s="736" t="e">
        <f t="shared" si="88"/>
        <v>#REF!</v>
      </c>
      <c r="I112" s="736" t="e">
        <f t="shared" si="88"/>
        <v>#REF!</v>
      </c>
      <c r="J112" s="736" t="e">
        <f t="shared" si="88"/>
        <v>#REF!</v>
      </c>
      <c r="K112" s="736" t="e">
        <f t="shared" si="88"/>
        <v>#REF!</v>
      </c>
      <c r="L112" s="736" t="e">
        <f t="shared" si="88"/>
        <v>#REF!</v>
      </c>
      <c r="M112" s="736" t="e">
        <f t="shared" si="88"/>
        <v>#REF!</v>
      </c>
      <c r="N112" s="736" t="e">
        <f t="shared" si="88"/>
        <v>#REF!</v>
      </c>
      <c r="O112" s="736" t="e">
        <f t="shared" si="88"/>
        <v>#REF!</v>
      </c>
      <c r="P112" s="736" t="e">
        <f t="shared" si="88"/>
        <v>#REF!</v>
      </c>
      <c r="Q112" s="736" t="e">
        <f t="shared" si="88"/>
        <v>#REF!</v>
      </c>
      <c r="R112" s="736" t="e">
        <f t="shared" si="88"/>
        <v>#REF!</v>
      </c>
      <c r="S112" s="736" t="e">
        <f t="shared" si="88"/>
        <v>#REF!</v>
      </c>
      <c r="T112" s="736" t="e">
        <f t="shared" si="88"/>
        <v>#REF!</v>
      </c>
      <c r="U112" s="736" t="e">
        <f t="shared" si="88"/>
        <v>#REF!</v>
      </c>
      <c r="V112" s="736" t="e">
        <f t="shared" si="88"/>
        <v>#REF!</v>
      </c>
      <c r="W112" s="736" t="e">
        <f t="shared" si="88"/>
        <v>#REF!</v>
      </c>
      <c r="X112" s="736" t="e">
        <f t="shared" si="88"/>
        <v>#REF!</v>
      </c>
      <c r="Y112" s="736" t="e">
        <f t="shared" si="88"/>
        <v>#REF!</v>
      </c>
      <c r="Z112" s="736" t="e">
        <f t="shared" si="88"/>
        <v>#REF!</v>
      </c>
      <c r="AA112" s="736" t="e">
        <f t="shared" ref="AA112" si="89">AA235</f>
        <v>#REF!</v>
      </c>
    </row>
    <row r="113" spans="1:27" ht="15">
      <c r="A113" s="730" t="s">
        <v>633</v>
      </c>
      <c r="B113" s="746" t="e">
        <f>B239</f>
        <v>#REF!</v>
      </c>
      <c r="C113" s="746" t="e">
        <f t="shared" ref="C113:Z113" si="90">C239</f>
        <v>#REF!</v>
      </c>
      <c r="D113" s="746" t="e">
        <f t="shared" si="90"/>
        <v>#REF!</v>
      </c>
      <c r="E113" s="746" t="e">
        <f t="shared" si="90"/>
        <v>#REF!</v>
      </c>
      <c r="F113" s="746" t="e">
        <f t="shared" si="90"/>
        <v>#REF!</v>
      </c>
      <c r="G113" s="746" t="e">
        <f t="shared" si="90"/>
        <v>#REF!</v>
      </c>
      <c r="H113" s="746" t="e">
        <f t="shared" si="90"/>
        <v>#REF!</v>
      </c>
      <c r="I113" s="746" t="e">
        <f t="shared" si="90"/>
        <v>#REF!</v>
      </c>
      <c r="J113" s="746" t="e">
        <f t="shared" si="90"/>
        <v>#REF!</v>
      </c>
      <c r="K113" s="746" t="e">
        <f t="shared" si="90"/>
        <v>#REF!</v>
      </c>
      <c r="L113" s="746" t="e">
        <f t="shared" si="90"/>
        <v>#REF!</v>
      </c>
      <c r="M113" s="746" t="e">
        <f t="shared" si="90"/>
        <v>#REF!</v>
      </c>
      <c r="N113" s="746" t="e">
        <f t="shared" si="90"/>
        <v>#REF!</v>
      </c>
      <c r="O113" s="746" t="e">
        <f t="shared" si="90"/>
        <v>#REF!</v>
      </c>
      <c r="P113" s="746" t="e">
        <f t="shared" si="90"/>
        <v>#REF!</v>
      </c>
      <c r="Q113" s="746" t="e">
        <f t="shared" si="90"/>
        <v>#REF!</v>
      </c>
      <c r="R113" s="746" t="e">
        <f t="shared" si="90"/>
        <v>#REF!</v>
      </c>
      <c r="S113" s="746" t="e">
        <f t="shared" si="90"/>
        <v>#REF!</v>
      </c>
      <c r="T113" s="746" t="e">
        <f t="shared" si="90"/>
        <v>#REF!</v>
      </c>
      <c r="U113" s="746" t="e">
        <f t="shared" si="90"/>
        <v>#REF!</v>
      </c>
      <c r="V113" s="746" t="e">
        <f t="shared" si="90"/>
        <v>#REF!</v>
      </c>
      <c r="W113" s="746" t="e">
        <f t="shared" si="90"/>
        <v>#REF!</v>
      </c>
      <c r="X113" s="746" t="e">
        <f t="shared" si="90"/>
        <v>#REF!</v>
      </c>
      <c r="Y113" s="746" t="e">
        <f t="shared" si="90"/>
        <v>#REF!</v>
      </c>
      <c r="Z113" s="746" t="e">
        <f t="shared" si="90"/>
        <v>#REF!</v>
      </c>
      <c r="AA113" s="746" t="e">
        <f t="shared" ref="AA113" si="91">AA239</f>
        <v>#REF!</v>
      </c>
    </row>
    <row r="114" spans="1:27">
      <c r="A114" s="760" t="s">
        <v>634</v>
      </c>
      <c r="B114" s="761" t="e">
        <f>B112+B113</f>
        <v>#REF!</v>
      </c>
      <c r="C114" s="761" t="e">
        <f t="shared" ref="C114:Z114" si="92">C112+C113</f>
        <v>#REF!</v>
      </c>
      <c r="D114" s="761" t="e">
        <f t="shared" si="92"/>
        <v>#REF!</v>
      </c>
      <c r="E114" s="761" t="e">
        <f t="shared" si="92"/>
        <v>#REF!</v>
      </c>
      <c r="F114" s="761" t="e">
        <f t="shared" si="92"/>
        <v>#REF!</v>
      </c>
      <c r="G114" s="761" t="e">
        <f t="shared" si="92"/>
        <v>#REF!</v>
      </c>
      <c r="H114" s="761" t="e">
        <f t="shared" si="92"/>
        <v>#REF!</v>
      </c>
      <c r="I114" s="761" t="e">
        <f t="shared" si="92"/>
        <v>#REF!</v>
      </c>
      <c r="J114" s="761" t="e">
        <f t="shared" si="92"/>
        <v>#REF!</v>
      </c>
      <c r="K114" s="761" t="e">
        <f t="shared" si="92"/>
        <v>#REF!</v>
      </c>
      <c r="L114" s="761" t="e">
        <f t="shared" si="92"/>
        <v>#REF!</v>
      </c>
      <c r="M114" s="761" t="e">
        <f t="shared" si="92"/>
        <v>#REF!</v>
      </c>
      <c r="N114" s="761" t="e">
        <f t="shared" si="92"/>
        <v>#REF!</v>
      </c>
      <c r="O114" s="761" t="e">
        <f t="shared" si="92"/>
        <v>#REF!</v>
      </c>
      <c r="P114" s="761" t="e">
        <f t="shared" si="92"/>
        <v>#REF!</v>
      </c>
      <c r="Q114" s="761" t="e">
        <f t="shared" si="92"/>
        <v>#REF!</v>
      </c>
      <c r="R114" s="761" t="e">
        <f t="shared" si="92"/>
        <v>#REF!</v>
      </c>
      <c r="S114" s="761" t="e">
        <f t="shared" si="92"/>
        <v>#REF!</v>
      </c>
      <c r="T114" s="761" t="e">
        <f t="shared" si="92"/>
        <v>#REF!</v>
      </c>
      <c r="U114" s="761" t="e">
        <f t="shared" si="92"/>
        <v>#REF!</v>
      </c>
      <c r="V114" s="761" t="e">
        <f t="shared" si="92"/>
        <v>#REF!</v>
      </c>
      <c r="W114" s="761" t="e">
        <f t="shared" si="92"/>
        <v>#REF!</v>
      </c>
      <c r="X114" s="761" t="e">
        <f t="shared" si="92"/>
        <v>#REF!</v>
      </c>
      <c r="Y114" s="761" t="e">
        <f t="shared" si="92"/>
        <v>#REF!</v>
      </c>
      <c r="Z114" s="761" t="e">
        <f t="shared" si="92"/>
        <v>#REF!</v>
      </c>
      <c r="AA114" s="761" t="e">
        <f t="shared" ref="AA114" si="93">AA112+AA113</f>
        <v>#REF!</v>
      </c>
    </row>
    <row r="115" spans="1:27" ht="15">
      <c r="B115" s="736"/>
      <c r="C115" s="736"/>
      <c r="D115" s="736"/>
      <c r="E115" s="736"/>
      <c r="F115" s="736"/>
      <c r="G115" s="736"/>
      <c r="H115" s="736"/>
      <c r="I115" s="736"/>
      <c r="J115" s="736"/>
      <c r="K115" s="736"/>
      <c r="L115" s="736"/>
      <c r="M115" s="736"/>
      <c r="N115" s="736"/>
      <c r="O115" s="736"/>
      <c r="P115" s="736"/>
      <c r="Q115" s="736"/>
      <c r="R115" s="736"/>
      <c r="S115" s="736"/>
      <c r="T115" s="736"/>
      <c r="U115" s="736"/>
      <c r="V115" s="736"/>
      <c r="W115" s="736"/>
      <c r="X115" s="736"/>
      <c r="Y115" s="736"/>
      <c r="Z115" s="736"/>
      <c r="AA115" s="736"/>
    </row>
    <row r="116" spans="1:27" ht="15">
      <c r="A116" s="730" t="s">
        <v>635</v>
      </c>
      <c r="B116" s="736" t="e">
        <f>B104+B108</f>
        <v>#REF!</v>
      </c>
      <c r="C116" s="736" t="e">
        <f t="shared" ref="C116:Z117" si="94">C104+C108</f>
        <v>#REF!</v>
      </c>
      <c r="D116" s="736" t="e">
        <f t="shared" si="94"/>
        <v>#REF!</v>
      </c>
      <c r="E116" s="736" t="e">
        <f t="shared" si="94"/>
        <v>#REF!</v>
      </c>
      <c r="F116" s="736" t="e">
        <f t="shared" si="94"/>
        <v>#REF!</v>
      </c>
      <c r="G116" s="736" t="e">
        <f t="shared" si="94"/>
        <v>#REF!</v>
      </c>
      <c r="H116" s="736" t="e">
        <f t="shared" si="94"/>
        <v>#REF!</v>
      </c>
      <c r="I116" s="736" t="e">
        <f t="shared" si="94"/>
        <v>#REF!</v>
      </c>
      <c r="J116" s="736" t="e">
        <f t="shared" si="94"/>
        <v>#REF!</v>
      </c>
      <c r="K116" s="736" t="e">
        <f t="shared" si="94"/>
        <v>#REF!</v>
      </c>
      <c r="L116" s="736" t="e">
        <f t="shared" si="94"/>
        <v>#REF!</v>
      </c>
      <c r="M116" s="736" t="e">
        <f t="shared" si="94"/>
        <v>#REF!</v>
      </c>
      <c r="N116" s="736" t="e">
        <f t="shared" si="94"/>
        <v>#REF!</v>
      </c>
      <c r="O116" s="736" t="e">
        <f t="shared" si="94"/>
        <v>#REF!</v>
      </c>
      <c r="P116" s="736" t="e">
        <f t="shared" si="94"/>
        <v>#REF!</v>
      </c>
      <c r="Q116" s="736" t="e">
        <f t="shared" si="94"/>
        <v>#REF!</v>
      </c>
      <c r="R116" s="736" t="e">
        <f t="shared" si="94"/>
        <v>#REF!</v>
      </c>
      <c r="S116" s="736" t="e">
        <f t="shared" si="94"/>
        <v>#REF!</v>
      </c>
      <c r="T116" s="736" t="e">
        <f t="shared" si="94"/>
        <v>#REF!</v>
      </c>
      <c r="U116" s="736" t="e">
        <f t="shared" si="94"/>
        <v>#REF!</v>
      </c>
      <c r="V116" s="736" t="e">
        <f t="shared" si="94"/>
        <v>#REF!</v>
      </c>
      <c r="W116" s="736" t="e">
        <f t="shared" si="94"/>
        <v>#REF!</v>
      </c>
      <c r="X116" s="736" t="e">
        <f t="shared" si="94"/>
        <v>#REF!</v>
      </c>
      <c r="Y116" s="736" t="e">
        <f t="shared" si="94"/>
        <v>#REF!</v>
      </c>
      <c r="Z116" s="736" t="e">
        <f t="shared" si="94"/>
        <v>#REF!</v>
      </c>
      <c r="AA116" s="736" t="e">
        <f t="shared" ref="AA116" si="95">AA104+AA108</f>
        <v>#REF!</v>
      </c>
    </row>
    <row r="117" spans="1:27" ht="15">
      <c r="A117" s="730" t="s">
        <v>636</v>
      </c>
      <c r="B117" s="736" t="e">
        <f>B105+B109</f>
        <v>#REF!</v>
      </c>
      <c r="C117" s="736" t="e">
        <f t="shared" si="94"/>
        <v>#REF!</v>
      </c>
      <c r="D117" s="736" t="e">
        <f t="shared" si="94"/>
        <v>#REF!</v>
      </c>
      <c r="E117" s="736" t="e">
        <f t="shared" si="94"/>
        <v>#REF!</v>
      </c>
      <c r="F117" s="736" t="e">
        <f t="shared" si="94"/>
        <v>#REF!</v>
      </c>
      <c r="G117" s="736" t="e">
        <f t="shared" si="94"/>
        <v>#REF!</v>
      </c>
      <c r="H117" s="736" t="e">
        <f t="shared" si="94"/>
        <v>#REF!</v>
      </c>
      <c r="I117" s="736" t="e">
        <f t="shared" si="94"/>
        <v>#REF!</v>
      </c>
      <c r="J117" s="736" t="e">
        <f t="shared" si="94"/>
        <v>#REF!</v>
      </c>
      <c r="K117" s="736" t="e">
        <f t="shared" si="94"/>
        <v>#REF!</v>
      </c>
      <c r="L117" s="736" t="e">
        <f t="shared" si="94"/>
        <v>#REF!</v>
      </c>
      <c r="M117" s="736" t="e">
        <f t="shared" si="94"/>
        <v>#REF!</v>
      </c>
      <c r="N117" s="736" t="e">
        <f t="shared" si="94"/>
        <v>#REF!</v>
      </c>
      <c r="O117" s="736" t="e">
        <f t="shared" si="94"/>
        <v>#REF!</v>
      </c>
      <c r="P117" s="736" t="e">
        <f t="shared" si="94"/>
        <v>#REF!</v>
      </c>
      <c r="Q117" s="736" t="e">
        <f t="shared" si="94"/>
        <v>#REF!</v>
      </c>
      <c r="R117" s="736" t="e">
        <f t="shared" si="94"/>
        <v>#REF!</v>
      </c>
      <c r="S117" s="736" t="e">
        <f t="shared" si="94"/>
        <v>#REF!</v>
      </c>
      <c r="T117" s="736" t="e">
        <f t="shared" si="94"/>
        <v>#REF!</v>
      </c>
      <c r="U117" s="736" t="e">
        <f t="shared" si="94"/>
        <v>#REF!</v>
      </c>
      <c r="V117" s="736" t="e">
        <f t="shared" si="94"/>
        <v>#REF!</v>
      </c>
      <c r="W117" s="736" t="e">
        <f t="shared" si="94"/>
        <v>#REF!</v>
      </c>
      <c r="X117" s="736" t="e">
        <f t="shared" si="94"/>
        <v>#REF!</v>
      </c>
      <c r="Y117" s="736" t="e">
        <f t="shared" si="94"/>
        <v>#REF!</v>
      </c>
      <c r="Z117" s="736" t="e">
        <f t="shared" si="94"/>
        <v>#REF!</v>
      </c>
      <c r="AA117" s="736" t="e">
        <f t="shared" ref="AA117" si="96">AA105+AA109</f>
        <v>#REF!</v>
      </c>
    </row>
    <row r="118" spans="1:27">
      <c r="A118" s="760" t="s">
        <v>637</v>
      </c>
      <c r="B118" s="761" t="e">
        <f>B116+B117</f>
        <v>#REF!</v>
      </c>
      <c r="C118" s="761" t="e">
        <f t="shared" ref="C118:Z118" si="97">C116+C117</f>
        <v>#REF!</v>
      </c>
      <c r="D118" s="761" t="e">
        <f t="shared" si="97"/>
        <v>#REF!</v>
      </c>
      <c r="E118" s="761" t="e">
        <f t="shared" si="97"/>
        <v>#REF!</v>
      </c>
      <c r="F118" s="761" t="e">
        <f t="shared" si="97"/>
        <v>#REF!</v>
      </c>
      <c r="G118" s="761" t="e">
        <f t="shared" si="97"/>
        <v>#REF!</v>
      </c>
      <c r="H118" s="761" t="e">
        <f t="shared" si="97"/>
        <v>#REF!</v>
      </c>
      <c r="I118" s="761" t="e">
        <f t="shared" si="97"/>
        <v>#REF!</v>
      </c>
      <c r="J118" s="761" t="e">
        <f t="shared" si="97"/>
        <v>#REF!</v>
      </c>
      <c r="K118" s="761" t="e">
        <f t="shared" si="97"/>
        <v>#REF!</v>
      </c>
      <c r="L118" s="761" t="e">
        <f t="shared" si="97"/>
        <v>#REF!</v>
      </c>
      <c r="M118" s="761" t="e">
        <f t="shared" si="97"/>
        <v>#REF!</v>
      </c>
      <c r="N118" s="761" t="e">
        <f t="shared" si="97"/>
        <v>#REF!</v>
      </c>
      <c r="O118" s="761" t="e">
        <f t="shared" si="97"/>
        <v>#REF!</v>
      </c>
      <c r="P118" s="761" t="e">
        <f t="shared" si="97"/>
        <v>#REF!</v>
      </c>
      <c r="Q118" s="761" t="e">
        <f t="shared" si="97"/>
        <v>#REF!</v>
      </c>
      <c r="R118" s="761" t="e">
        <f t="shared" si="97"/>
        <v>#REF!</v>
      </c>
      <c r="S118" s="761" t="e">
        <f t="shared" si="97"/>
        <v>#REF!</v>
      </c>
      <c r="T118" s="761" t="e">
        <f t="shared" si="97"/>
        <v>#REF!</v>
      </c>
      <c r="U118" s="761" t="e">
        <f t="shared" si="97"/>
        <v>#REF!</v>
      </c>
      <c r="V118" s="761" t="e">
        <f t="shared" si="97"/>
        <v>#REF!</v>
      </c>
      <c r="W118" s="761" t="e">
        <f t="shared" si="97"/>
        <v>#REF!</v>
      </c>
      <c r="X118" s="761" t="e">
        <f t="shared" si="97"/>
        <v>#REF!</v>
      </c>
      <c r="Y118" s="761" t="e">
        <f t="shared" si="97"/>
        <v>#REF!</v>
      </c>
      <c r="Z118" s="761" t="e">
        <f t="shared" si="97"/>
        <v>#REF!</v>
      </c>
      <c r="AA118" s="761" t="e">
        <f t="shared" ref="AA118" si="98">AA116+AA117</f>
        <v>#REF!</v>
      </c>
    </row>
    <row r="119" spans="1:27" ht="15">
      <c r="B119" s="736"/>
      <c r="C119" s="736"/>
      <c r="D119" s="736"/>
      <c r="E119" s="736"/>
      <c r="F119" s="736"/>
      <c r="G119" s="736"/>
      <c r="H119" s="736"/>
      <c r="I119" s="736"/>
      <c r="J119" s="736"/>
      <c r="K119" s="736"/>
      <c r="L119" s="736"/>
      <c r="M119" s="736"/>
      <c r="N119" s="736"/>
      <c r="O119" s="736"/>
      <c r="P119" s="736"/>
      <c r="Q119" s="736"/>
      <c r="R119" s="736"/>
      <c r="S119" s="736"/>
      <c r="T119" s="736"/>
      <c r="U119" s="736"/>
      <c r="V119" s="736"/>
      <c r="W119" s="736"/>
      <c r="X119" s="736"/>
      <c r="Y119" s="736"/>
      <c r="Z119" s="736"/>
      <c r="AA119" s="736"/>
    </row>
    <row r="120" spans="1:27" ht="15">
      <c r="A120" s="730" t="s">
        <v>638</v>
      </c>
      <c r="B120" s="746" t="e">
        <f>B108+B112</f>
        <v>#REF!</v>
      </c>
      <c r="C120" s="746" t="e">
        <f t="shared" ref="C120:Z121" si="99">C108+C112</f>
        <v>#REF!</v>
      </c>
      <c r="D120" s="746" t="e">
        <f t="shared" si="99"/>
        <v>#REF!</v>
      </c>
      <c r="E120" s="746" t="e">
        <f t="shared" si="99"/>
        <v>#REF!</v>
      </c>
      <c r="F120" s="746" t="e">
        <f t="shared" si="99"/>
        <v>#REF!</v>
      </c>
      <c r="G120" s="746" t="e">
        <f t="shared" si="99"/>
        <v>#REF!</v>
      </c>
      <c r="H120" s="746" t="e">
        <f t="shared" si="99"/>
        <v>#REF!</v>
      </c>
      <c r="I120" s="746" t="e">
        <f t="shared" si="99"/>
        <v>#REF!</v>
      </c>
      <c r="J120" s="746" t="e">
        <f t="shared" si="99"/>
        <v>#REF!</v>
      </c>
      <c r="K120" s="746" t="e">
        <f t="shared" si="99"/>
        <v>#REF!</v>
      </c>
      <c r="L120" s="746" t="e">
        <f t="shared" si="99"/>
        <v>#REF!</v>
      </c>
      <c r="M120" s="746" t="e">
        <f t="shared" si="99"/>
        <v>#REF!</v>
      </c>
      <c r="N120" s="746" t="e">
        <f t="shared" si="99"/>
        <v>#REF!</v>
      </c>
      <c r="O120" s="746" t="e">
        <f t="shared" si="99"/>
        <v>#REF!</v>
      </c>
      <c r="P120" s="746" t="e">
        <f t="shared" si="99"/>
        <v>#REF!</v>
      </c>
      <c r="Q120" s="746" t="e">
        <f t="shared" si="99"/>
        <v>#REF!</v>
      </c>
      <c r="R120" s="746" t="e">
        <f t="shared" si="99"/>
        <v>#REF!</v>
      </c>
      <c r="S120" s="746" t="e">
        <f t="shared" si="99"/>
        <v>#REF!</v>
      </c>
      <c r="T120" s="746" t="e">
        <f t="shared" si="99"/>
        <v>#REF!</v>
      </c>
      <c r="U120" s="746" t="e">
        <f t="shared" si="99"/>
        <v>#REF!</v>
      </c>
      <c r="V120" s="746" t="e">
        <f t="shared" si="99"/>
        <v>#REF!</v>
      </c>
      <c r="W120" s="746" t="e">
        <f t="shared" si="99"/>
        <v>#REF!</v>
      </c>
      <c r="X120" s="746" t="e">
        <f t="shared" si="99"/>
        <v>#REF!</v>
      </c>
      <c r="Y120" s="746" t="e">
        <f t="shared" si="99"/>
        <v>#REF!</v>
      </c>
      <c r="Z120" s="746" t="e">
        <f t="shared" si="99"/>
        <v>#REF!</v>
      </c>
      <c r="AA120" s="746" t="e">
        <f t="shared" ref="AA120" si="100">AA108+AA112</f>
        <v>#REF!</v>
      </c>
    </row>
    <row r="121" spans="1:27" ht="15">
      <c r="A121" s="730" t="s">
        <v>639</v>
      </c>
      <c r="B121" s="746" t="e">
        <f>B109+B113</f>
        <v>#REF!</v>
      </c>
      <c r="C121" s="746" t="e">
        <f t="shared" si="99"/>
        <v>#REF!</v>
      </c>
      <c r="D121" s="746" t="e">
        <f t="shared" si="99"/>
        <v>#REF!</v>
      </c>
      <c r="E121" s="746" t="e">
        <f t="shared" si="99"/>
        <v>#REF!</v>
      </c>
      <c r="F121" s="746" t="e">
        <f t="shared" si="99"/>
        <v>#REF!</v>
      </c>
      <c r="G121" s="746" t="e">
        <f t="shared" si="99"/>
        <v>#REF!</v>
      </c>
      <c r="H121" s="746" t="e">
        <f t="shared" si="99"/>
        <v>#REF!</v>
      </c>
      <c r="I121" s="746" t="e">
        <f t="shared" si="99"/>
        <v>#REF!</v>
      </c>
      <c r="J121" s="746" t="e">
        <f t="shared" si="99"/>
        <v>#REF!</v>
      </c>
      <c r="K121" s="746" t="e">
        <f t="shared" si="99"/>
        <v>#REF!</v>
      </c>
      <c r="L121" s="746" t="e">
        <f t="shared" si="99"/>
        <v>#REF!</v>
      </c>
      <c r="M121" s="746" t="e">
        <f t="shared" si="99"/>
        <v>#REF!</v>
      </c>
      <c r="N121" s="746" t="e">
        <f t="shared" si="99"/>
        <v>#REF!</v>
      </c>
      <c r="O121" s="746" t="e">
        <f t="shared" si="99"/>
        <v>#REF!</v>
      </c>
      <c r="P121" s="746" t="e">
        <f t="shared" si="99"/>
        <v>#REF!</v>
      </c>
      <c r="Q121" s="746" t="e">
        <f t="shared" si="99"/>
        <v>#REF!</v>
      </c>
      <c r="R121" s="746" t="e">
        <f t="shared" si="99"/>
        <v>#REF!</v>
      </c>
      <c r="S121" s="746" t="e">
        <f t="shared" si="99"/>
        <v>#REF!</v>
      </c>
      <c r="T121" s="746" t="e">
        <f t="shared" si="99"/>
        <v>#REF!</v>
      </c>
      <c r="U121" s="746" t="e">
        <f t="shared" si="99"/>
        <v>#REF!</v>
      </c>
      <c r="V121" s="746" t="e">
        <f t="shared" si="99"/>
        <v>#REF!</v>
      </c>
      <c r="W121" s="746" t="e">
        <f t="shared" si="99"/>
        <v>#REF!</v>
      </c>
      <c r="X121" s="746" t="e">
        <f t="shared" si="99"/>
        <v>#REF!</v>
      </c>
      <c r="Y121" s="746" t="e">
        <f t="shared" si="99"/>
        <v>#REF!</v>
      </c>
      <c r="Z121" s="746" t="e">
        <f t="shared" si="99"/>
        <v>#REF!</v>
      </c>
      <c r="AA121" s="746" t="e">
        <f t="shared" ref="AA121" si="101">AA109+AA113</f>
        <v>#REF!</v>
      </c>
    </row>
    <row r="122" spans="1:27">
      <c r="A122" s="760" t="s">
        <v>640</v>
      </c>
      <c r="B122" s="761" t="e">
        <f>B120+B121</f>
        <v>#REF!</v>
      </c>
      <c r="C122" s="761" t="e">
        <f t="shared" ref="C122:Z122" si="102">C120+C121</f>
        <v>#REF!</v>
      </c>
      <c r="D122" s="761" t="e">
        <f t="shared" si="102"/>
        <v>#REF!</v>
      </c>
      <c r="E122" s="761" t="e">
        <f t="shared" si="102"/>
        <v>#REF!</v>
      </c>
      <c r="F122" s="761" t="e">
        <f t="shared" si="102"/>
        <v>#REF!</v>
      </c>
      <c r="G122" s="761" t="e">
        <f t="shared" si="102"/>
        <v>#REF!</v>
      </c>
      <c r="H122" s="761" t="e">
        <f t="shared" si="102"/>
        <v>#REF!</v>
      </c>
      <c r="I122" s="761" t="e">
        <f t="shared" si="102"/>
        <v>#REF!</v>
      </c>
      <c r="J122" s="761" t="e">
        <f t="shared" si="102"/>
        <v>#REF!</v>
      </c>
      <c r="K122" s="761" t="e">
        <f t="shared" si="102"/>
        <v>#REF!</v>
      </c>
      <c r="L122" s="761" t="e">
        <f t="shared" si="102"/>
        <v>#REF!</v>
      </c>
      <c r="M122" s="761" t="e">
        <f t="shared" si="102"/>
        <v>#REF!</v>
      </c>
      <c r="N122" s="761" t="e">
        <f t="shared" si="102"/>
        <v>#REF!</v>
      </c>
      <c r="O122" s="761" t="e">
        <f t="shared" si="102"/>
        <v>#REF!</v>
      </c>
      <c r="P122" s="761" t="e">
        <f t="shared" si="102"/>
        <v>#REF!</v>
      </c>
      <c r="Q122" s="761" t="e">
        <f t="shared" si="102"/>
        <v>#REF!</v>
      </c>
      <c r="R122" s="761" t="e">
        <f t="shared" si="102"/>
        <v>#REF!</v>
      </c>
      <c r="S122" s="761" t="e">
        <f t="shared" si="102"/>
        <v>#REF!</v>
      </c>
      <c r="T122" s="761" t="e">
        <f t="shared" si="102"/>
        <v>#REF!</v>
      </c>
      <c r="U122" s="761" t="e">
        <f t="shared" si="102"/>
        <v>#REF!</v>
      </c>
      <c r="V122" s="761" t="e">
        <f t="shared" si="102"/>
        <v>#REF!</v>
      </c>
      <c r="W122" s="761" t="e">
        <f t="shared" si="102"/>
        <v>#REF!</v>
      </c>
      <c r="X122" s="761" t="e">
        <f t="shared" si="102"/>
        <v>#REF!</v>
      </c>
      <c r="Y122" s="761" t="e">
        <f t="shared" si="102"/>
        <v>#REF!</v>
      </c>
      <c r="Z122" s="761" t="e">
        <f t="shared" si="102"/>
        <v>#REF!</v>
      </c>
      <c r="AA122" s="761" t="e">
        <f t="shared" ref="AA122" si="103">AA120+AA121</f>
        <v>#REF!</v>
      </c>
    </row>
    <row r="123" spans="1:27" ht="15">
      <c r="B123" s="736"/>
      <c r="C123" s="736"/>
      <c r="D123" s="736"/>
      <c r="E123" s="736"/>
      <c r="F123" s="736"/>
      <c r="G123" s="736"/>
      <c r="H123" s="736"/>
      <c r="I123" s="736"/>
      <c r="J123" s="736"/>
      <c r="K123" s="736"/>
      <c r="L123" s="736"/>
      <c r="M123" s="736"/>
      <c r="N123" s="736"/>
      <c r="O123" s="736"/>
      <c r="P123" s="736"/>
      <c r="Q123" s="736"/>
      <c r="R123" s="736"/>
      <c r="S123" s="736"/>
      <c r="T123" s="736"/>
      <c r="U123" s="736"/>
      <c r="V123" s="736"/>
      <c r="W123" s="736"/>
      <c r="X123" s="736"/>
      <c r="Y123" s="736"/>
      <c r="Z123" s="736"/>
      <c r="AA123" s="736"/>
    </row>
    <row r="124" spans="1:27" ht="15">
      <c r="A124" s="730" t="s">
        <v>641</v>
      </c>
      <c r="B124" s="736" t="e">
        <f>B104+B108+B112</f>
        <v>#REF!</v>
      </c>
      <c r="C124" s="736" t="e">
        <f t="shared" ref="C124:Z125" si="104">C104+C108+C112</f>
        <v>#REF!</v>
      </c>
      <c r="D124" s="736" t="e">
        <f t="shared" si="104"/>
        <v>#REF!</v>
      </c>
      <c r="E124" s="736" t="e">
        <f t="shared" si="104"/>
        <v>#REF!</v>
      </c>
      <c r="F124" s="736" t="e">
        <f t="shared" si="104"/>
        <v>#REF!</v>
      </c>
      <c r="G124" s="736" t="e">
        <f t="shared" si="104"/>
        <v>#REF!</v>
      </c>
      <c r="H124" s="736" t="e">
        <f t="shared" si="104"/>
        <v>#REF!</v>
      </c>
      <c r="I124" s="736" t="e">
        <f t="shared" si="104"/>
        <v>#REF!</v>
      </c>
      <c r="J124" s="736" t="e">
        <f t="shared" si="104"/>
        <v>#REF!</v>
      </c>
      <c r="K124" s="736" t="e">
        <f t="shared" si="104"/>
        <v>#REF!</v>
      </c>
      <c r="L124" s="736" t="e">
        <f t="shared" si="104"/>
        <v>#REF!</v>
      </c>
      <c r="M124" s="736" t="e">
        <f t="shared" si="104"/>
        <v>#REF!</v>
      </c>
      <c r="N124" s="736" t="e">
        <f t="shared" si="104"/>
        <v>#REF!</v>
      </c>
      <c r="O124" s="736" t="e">
        <f t="shared" si="104"/>
        <v>#REF!</v>
      </c>
      <c r="P124" s="736" t="e">
        <f t="shared" si="104"/>
        <v>#REF!</v>
      </c>
      <c r="Q124" s="736" t="e">
        <f t="shared" si="104"/>
        <v>#REF!</v>
      </c>
      <c r="R124" s="736" t="e">
        <f t="shared" si="104"/>
        <v>#REF!</v>
      </c>
      <c r="S124" s="736" t="e">
        <f t="shared" si="104"/>
        <v>#REF!</v>
      </c>
      <c r="T124" s="736" t="e">
        <f t="shared" si="104"/>
        <v>#REF!</v>
      </c>
      <c r="U124" s="736" t="e">
        <f t="shared" si="104"/>
        <v>#REF!</v>
      </c>
      <c r="V124" s="736" t="e">
        <f t="shared" si="104"/>
        <v>#REF!</v>
      </c>
      <c r="W124" s="736" t="e">
        <f t="shared" si="104"/>
        <v>#REF!</v>
      </c>
      <c r="X124" s="736" t="e">
        <f t="shared" si="104"/>
        <v>#REF!</v>
      </c>
      <c r="Y124" s="736" t="e">
        <f t="shared" si="104"/>
        <v>#REF!</v>
      </c>
      <c r="Z124" s="736" t="e">
        <f t="shared" si="104"/>
        <v>#REF!</v>
      </c>
      <c r="AA124" s="736" t="e">
        <f t="shared" ref="AA124" si="105">AA104+AA108+AA112</f>
        <v>#REF!</v>
      </c>
    </row>
    <row r="125" spans="1:27" ht="15">
      <c r="A125" s="730" t="s">
        <v>642</v>
      </c>
      <c r="B125" s="736" t="e">
        <f>B105+B109+B113</f>
        <v>#REF!</v>
      </c>
      <c r="C125" s="736" t="e">
        <f t="shared" si="104"/>
        <v>#REF!</v>
      </c>
      <c r="D125" s="736" t="e">
        <f t="shared" si="104"/>
        <v>#REF!</v>
      </c>
      <c r="E125" s="736" t="e">
        <f t="shared" si="104"/>
        <v>#REF!</v>
      </c>
      <c r="F125" s="736" t="e">
        <f t="shared" si="104"/>
        <v>#REF!</v>
      </c>
      <c r="G125" s="736" t="e">
        <f t="shared" si="104"/>
        <v>#REF!</v>
      </c>
      <c r="H125" s="736" t="e">
        <f t="shared" si="104"/>
        <v>#REF!</v>
      </c>
      <c r="I125" s="736" t="e">
        <f t="shared" si="104"/>
        <v>#REF!</v>
      </c>
      <c r="J125" s="736" t="e">
        <f t="shared" si="104"/>
        <v>#REF!</v>
      </c>
      <c r="K125" s="736" t="e">
        <f t="shared" si="104"/>
        <v>#REF!</v>
      </c>
      <c r="L125" s="736" t="e">
        <f t="shared" si="104"/>
        <v>#REF!</v>
      </c>
      <c r="M125" s="736" t="e">
        <f t="shared" si="104"/>
        <v>#REF!</v>
      </c>
      <c r="N125" s="736" t="e">
        <f t="shared" si="104"/>
        <v>#REF!</v>
      </c>
      <c r="O125" s="736" t="e">
        <f t="shared" si="104"/>
        <v>#REF!</v>
      </c>
      <c r="P125" s="736" t="e">
        <f t="shared" si="104"/>
        <v>#REF!</v>
      </c>
      <c r="Q125" s="736" t="e">
        <f t="shared" si="104"/>
        <v>#REF!</v>
      </c>
      <c r="R125" s="736" t="e">
        <f t="shared" si="104"/>
        <v>#REF!</v>
      </c>
      <c r="S125" s="736" t="e">
        <f t="shared" si="104"/>
        <v>#REF!</v>
      </c>
      <c r="T125" s="736" t="e">
        <f t="shared" si="104"/>
        <v>#REF!</v>
      </c>
      <c r="U125" s="736" t="e">
        <f t="shared" si="104"/>
        <v>#REF!</v>
      </c>
      <c r="V125" s="736" t="e">
        <f t="shared" si="104"/>
        <v>#REF!</v>
      </c>
      <c r="W125" s="736" t="e">
        <f t="shared" si="104"/>
        <v>#REF!</v>
      </c>
      <c r="X125" s="736" t="e">
        <f t="shared" si="104"/>
        <v>#REF!</v>
      </c>
      <c r="Y125" s="736" t="e">
        <f t="shared" si="104"/>
        <v>#REF!</v>
      </c>
      <c r="Z125" s="736" t="e">
        <f t="shared" si="104"/>
        <v>#REF!</v>
      </c>
      <c r="AA125" s="736" t="e">
        <f t="shared" ref="AA125" si="106">AA105+AA109+AA113</f>
        <v>#REF!</v>
      </c>
    </row>
    <row r="126" spans="1:27" ht="14" thickBot="1">
      <c r="A126" s="754" t="s">
        <v>262</v>
      </c>
      <c r="B126" s="762" t="e">
        <f>B124+B125</f>
        <v>#REF!</v>
      </c>
      <c r="C126" s="762" t="e">
        <f t="shared" ref="C126:Z126" si="107">C124+C125</f>
        <v>#REF!</v>
      </c>
      <c r="D126" s="762" t="e">
        <f t="shared" si="107"/>
        <v>#REF!</v>
      </c>
      <c r="E126" s="762" t="e">
        <f t="shared" si="107"/>
        <v>#REF!</v>
      </c>
      <c r="F126" s="762" t="e">
        <f t="shared" si="107"/>
        <v>#REF!</v>
      </c>
      <c r="G126" s="762" t="e">
        <f t="shared" si="107"/>
        <v>#REF!</v>
      </c>
      <c r="H126" s="762" t="e">
        <f t="shared" si="107"/>
        <v>#REF!</v>
      </c>
      <c r="I126" s="762" t="e">
        <f t="shared" si="107"/>
        <v>#REF!</v>
      </c>
      <c r="J126" s="762" t="e">
        <f t="shared" si="107"/>
        <v>#REF!</v>
      </c>
      <c r="K126" s="762" t="e">
        <f t="shared" si="107"/>
        <v>#REF!</v>
      </c>
      <c r="L126" s="762" t="e">
        <f t="shared" si="107"/>
        <v>#REF!</v>
      </c>
      <c r="M126" s="762" t="e">
        <f t="shared" si="107"/>
        <v>#REF!</v>
      </c>
      <c r="N126" s="762" t="e">
        <f t="shared" si="107"/>
        <v>#REF!</v>
      </c>
      <c r="O126" s="762" t="e">
        <f t="shared" si="107"/>
        <v>#REF!</v>
      </c>
      <c r="P126" s="762" t="e">
        <f t="shared" si="107"/>
        <v>#REF!</v>
      </c>
      <c r="Q126" s="762" t="e">
        <f t="shared" si="107"/>
        <v>#REF!</v>
      </c>
      <c r="R126" s="762" t="e">
        <f t="shared" si="107"/>
        <v>#REF!</v>
      </c>
      <c r="S126" s="762" t="e">
        <f t="shared" si="107"/>
        <v>#REF!</v>
      </c>
      <c r="T126" s="762" t="e">
        <f t="shared" si="107"/>
        <v>#REF!</v>
      </c>
      <c r="U126" s="762" t="e">
        <f t="shared" si="107"/>
        <v>#REF!</v>
      </c>
      <c r="V126" s="762" t="e">
        <f t="shared" si="107"/>
        <v>#REF!</v>
      </c>
      <c r="W126" s="762" t="e">
        <f t="shared" si="107"/>
        <v>#REF!</v>
      </c>
      <c r="X126" s="762" t="e">
        <f t="shared" si="107"/>
        <v>#REF!</v>
      </c>
      <c r="Y126" s="762" t="e">
        <f t="shared" si="107"/>
        <v>#REF!</v>
      </c>
      <c r="Z126" s="762" t="e">
        <f t="shared" si="107"/>
        <v>#REF!</v>
      </c>
      <c r="AA126" s="762" t="e">
        <f t="shared" ref="AA126" si="108">AA124+AA125</f>
        <v>#REF!</v>
      </c>
    </row>
    <row r="140" spans="1:27">
      <c r="A140" s="735" t="s">
        <v>643</v>
      </c>
      <c r="B140" s="735">
        <f>B$12</f>
        <v>2003</v>
      </c>
      <c r="C140" s="735">
        <f t="shared" ref="C140:AA140" si="109">C$12</f>
        <v>2004</v>
      </c>
      <c r="D140" s="735">
        <f t="shared" si="109"/>
        <v>2005</v>
      </c>
      <c r="E140" s="735">
        <f t="shared" si="109"/>
        <v>2006</v>
      </c>
      <c r="F140" s="735">
        <f t="shared" si="109"/>
        <v>2007</v>
      </c>
      <c r="G140" s="735">
        <f t="shared" si="109"/>
        <v>2008</v>
      </c>
      <c r="H140" s="735">
        <f t="shared" si="109"/>
        <v>2009</v>
      </c>
      <c r="I140" s="735">
        <f t="shared" si="109"/>
        <v>2010</v>
      </c>
      <c r="J140" s="735">
        <f t="shared" si="109"/>
        <v>2011</v>
      </c>
      <c r="K140" s="735">
        <f t="shared" si="109"/>
        <v>2012</v>
      </c>
      <c r="L140" s="735">
        <f t="shared" si="109"/>
        <v>2013</v>
      </c>
      <c r="M140" s="735">
        <f t="shared" si="109"/>
        <v>2014</v>
      </c>
      <c r="N140" s="735">
        <f t="shared" si="109"/>
        <v>2015</v>
      </c>
      <c r="O140" s="735">
        <f t="shared" si="109"/>
        <v>2016</v>
      </c>
      <c r="P140" s="735">
        <f t="shared" si="109"/>
        <v>2017</v>
      </c>
      <c r="Q140" s="735">
        <f t="shared" si="109"/>
        <v>2018</v>
      </c>
      <c r="R140" s="735">
        <f t="shared" si="109"/>
        <v>2019</v>
      </c>
      <c r="S140" s="735">
        <f t="shared" si="109"/>
        <v>2020</v>
      </c>
      <c r="T140" s="735">
        <f t="shared" si="109"/>
        <v>2021</v>
      </c>
      <c r="U140" s="735">
        <f t="shared" si="109"/>
        <v>2022</v>
      </c>
      <c r="V140" s="735">
        <f t="shared" si="109"/>
        <v>2023</v>
      </c>
      <c r="W140" s="735">
        <f t="shared" si="109"/>
        <v>2024</v>
      </c>
      <c r="X140" s="735">
        <f t="shared" si="109"/>
        <v>2025</v>
      </c>
      <c r="Y140" s="735">
        <f t="shared" si="109"/>
        <v>2026</v>
      </c>
      <c r="Z140" s="735">
        <f t="shared" si="109"/>
        <v>2027</v>
      </c>
      <c r="AA140" s="735">
        <f t="shared" si="109"/>
        <v>2028</v>
      </c>
    </row>
    <row r="142" spans="1:27" ht="15">
      <c r="A142" s="730" t="s">
        <v>644</v>
      </c>
      <c r="B142" s="742" t="e">
        <f>#REF!/$B$6</f>
        <v>#REF!</v>
      </c>
      <c r="C142" s="742" t="e">
        <f>#REF!/$B$6</f>
        <v>#REF!</v>
      </c>
      <c r="D142" s="742" t="e">
        <f>#REF!/$B$6</f>
        <v>#REF!</v>
      </c>
      <c r="E142" s="742" t="e">
        <f>#REF!/$B$6</f>
        <v>#REF!</v>
      </c>
      <c r="F142" s="742" t="e">
        <f>#REF!/$B$6</f>
        <v>#REF!</v>
      </c>
      <c r="G142" s="742" t="e">
        <f>#REF!/$B$6</f>
        <v>#REF!</v>
      </c>
      <c r="H142" s="742" t="e">
        <f>#REF!/$B$6</f>
        <v>#REF!</v>
      </c>
      <c r="I142" s="742" t="e">
        <f>#REF!/$B$6</f>
        <v>#REF!</v>
      </c>
      <c r="J142" s="742" t="e">
        <f>#REF!/$B$6</f>
        <v>#REF!</v>
      </c>
      <c r="K142" s="742" t="e">
        <f>#REF!/$B$6</f>
        <v>#REF!</v>
      </c>
      <c r="L142" s="742" t="e">
        <f>#REF!/$B$6</f>
        <v>#REF!</v>
      </c>
      <c r="M142" s="742" t="e">
        <f>#REF!/$B$6</f>
        <v>#REF!</v>
      </c>
      <c r="N142" s="742" t="e">
        <f>#REF!/$B$6</f>
        <v>#REF!</v>
      </c>
      <c r="O142" s="742" t="e">
        <f>#REF!/$B$6</f>
        <v>#REF!</v>
      </c>
      <c r="P142" s="742" t="e">
        <f>#REF!/$B$6</f>
        <v>#REF!</v>
      </c>
      <c r="Q142" s="742" t="e">
        <f>#REF!/$B$6</f>
        <v>#REF!</v>
      </c>
      <c r="R142" s="742" t="e">
        <f>#REF!/$B$6</f>
        <v>#REF!</v>
      </c>
      <c r="S142" s="742" t="e">
        <f>#REF!/$B$6</f>
        <v>#REF!</v>
      </c>
      <c r="T142" s="742" t="e">
        <f>#REF!/$B$6</f>
        <v>#REF!</v>
      </c>
      <c r="U142" s="742" t="e">
        <f>#REF!/$B$6</f>
        <v>#REF!</v>
      </c>
      <c r="V142" s="742" t="e">
        <f>#REF!/$B$6</f>
        <v>#REF!</v>
      </c>
      <c r="W142" s="742" t="e">
        <f>#REF!/$B$6</f>
        <v>#REF!</v>
      </c>
      <c r="X142" s="742" t="e">
        <f>#REF!/$B$6</f>
        <v>#REF!</v>
      </c>
      <c r="Y142" s="742" t="e">
        <f>#REF!/$B$6</f>
        <v>#REF!</v>
      </c>
      <c r="Z142" s="742" t="e">
        <f>#REF!/$B$6</f>
        <v>#REF!</v>
      </c>
      <c r="AA142" s="742" t="e">
        <f>#REF!/$B$6</f>
        <v>#REF!</v>
      </c>
    </row>
    <row r="143" spans="1:27" ht="15">
      <c r="A143" s="730" t="s">
        <v>645</v>
      </c>
      <c r="B143" s="742" t="e">
        <f>#REF!/$B$6</f>
        <v>#REF!</v>
      </c>
      <c r="C143" s="742" t="e">
        <f>#REF!/$B$6</f>
        <v>#REF!</v>
      </c>
      <c r="D143" s="742" t="e">
        <f>#REF!/$B$6</f>
        <v>#REF!</v>
      </c>
      <c r="E143" s="742" t="e">
        <f>#REF!/$B$6</f>
        <v>#REF!</v>
      </c>
      <c r="F143" s="742" t="e">
        <f>#REF!/$B$6</f>
        <v>#REF!</v>
      </c>
      <c r="G143" s="742" t="e">
        <f>#REF!/$B$6</f>
        <v>#REF!</v>
      </c>
      <c r="H143" s="742" t="e">
        <f>#REF!/$B$6</f>
        <v>#REF!</v>
      </c>
      <c r="I143" s="742" t="e">
        <f>#REF!/$B$6</f>
        <v>#REF!</v>
      </c>
      <c r="J143" s="742" t="e">
        <f>#REF!/$B$6</f>
        <v>#REF!</v>
      </c>
      <c r="K143" s="742" t="e">
        <f>#REF!/$B$6</f>
        <v>#REF!</v>
      </c>
      <c r="L143" s="742" t="e">
        <f>#REF!/$B$6</f>
        <v>#REF!</v>
      </c>
      <c r="M143" s="742" t="e">
        <f>#REF!/$B$6</f>
        <v>#REF!</v>
      </c>
      <c r="N143" s="742" t="e">
        <f>#REF!/$B$6</f>
        <v>#REF!</v>
      </c>
      <c r="O143" s="742" t="e">
        <f>#REF!/$B$6</f>
        <v>#REF!</v>
      </c>
      <c r="P143" s="742" t="e">
        <f>#REF!/$B$6</f>
        <v>#REF!</v>
      </c>
      <c r="Q143" s="742" t="e">
        <f>#REF!/$B$6</f>
        <v>#REF!</v>
      </c>
      <c r="R143" s="742" t="e">
        <f>#REF!/$B$6</f>
        <v>#REF!</v>
      </c>
      <c r="S143" s="742" t="e">
        <f>#REF!/$B$6</f>
        <v>#REF!</v>
      </c>
      <c r="T143" s="742" t="e">
        <f>#REF!/$B$6</f>
        <v>#REF!</v>
      </c>
      <c r="U143" s="742" t="e">
        <f>#REF!/$B$6</f>
        <v>#REF!</v>
      </c>
      <c r="V143" s="742" t="e">
        <f>#REF!/$B$6</f>
        <v>#REF!</v>
      </c>
      <c r="W143" s="742" t="e">
        <f>#REF!/$B$6</f>
        <v>#REF!</v>
      </c>
      <c r="X143" s="742" t="e">
        <f>#REF!/$B$6</f>
        <v>#REF!</v>
      </c>
      <c r="Y143" s="742" t="e">
        <f>#REF!/$B$6</f>
        <v>#REF!</v>
      </c>
      <c r="Z143" s="742" t="e">
        <f>#REF!/$B$6</f>
        <v>#REF!</v>
      </c>
      <c r="AA143" s="742" t="e">
        <f>#REF!/$B$6</f>
        <v>#REF!</v>
      </c>
    </row>
    <row r="144" spans="1:27">
      <c r="A144" s="732" t="s">
        <v>646</v>
      </c>
      <c r="B144" s="745" t="e">
        <f>#REF!/$B$6</f>
        <v>#REF!</v>
      </c>
      <c r="C144" s="745" t="e">
        <f>#REF!/$B$6</f>
        <v>#REF!</v>
      </c>
      <c r="D144" s="745" t="e">
        <f>#REF!/$B$6</f>
        <v>#REF!</v>
      </c>
      <c r="E144" s="745" t="e">
        <f>#REF!/$B$6</f>
        <v>#REF!</v>
      </c>
      <c r="F144" s="745" t="e">
        <f>#REF!/$B$6</f>
        <v>#REF!</v>
      </c>
      <c r="G144" s="745" t="e">
        <f>#REF!/$B$6</f>
        <v>#REF!</v>
      </c>
      <c r="H144" s="745" t="e">
        <f>#REF!/$B$6</f>
        <v>#REF!</v>
      </c>
      <c r="I144" s="745" t="e">
        <f>#REF!/$B$6</f>
        <v>#REF!</v>
      </c>
      <c r="J144" s="745" t="e">
        <f>#REF!/$B$6</f>
        <v>#REF!</v>
      </c>
      <c r="K144" s="745" t="e">
        <f>#REF!/$B$6</f>
        <v>#REF!</v>
      </c>
      <c r="L144" s="745" t="e">
        <f>#REF!/$B$6</f>
        <v>#REF!</v>
      </c>
      <c r="M144" s="745" t="e">
        <f>#REF!/$B$6</f>
        <v>#REF!</v>
      </c>
      <c r="N144" s="745" t="e">
        <f>#REF!/$B$6</f>
        <v>#REF!</v>
      </c>
      <c r="O144" s="745" t="e">
        <f>#REF!/$B$6</f>
        <v>#REF!</v>
      </c>
      <c r="P144" s="745" t="e">
        <f>#REF!/$B$6</f>
        <v>#REF!</v>
      </c>
      <c r="Q144" s="745" t="e">
        <f>#REF!/$B$6</f>
        <v>#REF!</v>
      </c>
      <c r="R144" s="745" t="e">
        <f>#REF!/$B$6</f>
        <v>#REF!</v>
      </c>
      <c r="S144" s="745" t="e">
        <f>#REF!/$B$6</f>
        <v>#REF!</v>
      </c>
      <c r="T144" s="745" t="e">
        <f>#REF!/$B$6</f>
        <v>#REF!</v>
      </c>
      <c r="U144" s="745" t="e">
        <f>#REF!/$B$6</f>
        <v>#REF!</v>
      </c>
      <c r="V144" s="745" t="e">
        <f>#REF!/$B$6</f>
        <v>#REF!</v>
      </c>
      <c r="W144" s="745" t="e">
        <f>#REF!/$B$6</f>
        <v>#REF!</v>
      </c>
      <c r="X144" s="745" t="e">
        <f>#REF!/$B$6</f>
        <v>#REF!</v>
      </c>
      <c r="Y144" s="745" t="e">
        <f>#REF!/$B$6</f>
        <v>#REF!</v>
      </c>
      <c r="Z144" s="745" t="e">
        <f>#REF!/$B$6</f>
        <v>#REF!</v>
      </c>
      <c r="AA144" s="745" t="e">
        <f>#REF!/$B$6</f>
        <v>#REF!</v>
      </c>
    </row>
    <row r="146" spans="1:27" ht="15">
      <c r="A146" s="730" t="s">
        <v>647</v>
      </c>
      <c r="B146" s="742" t="e">
        <f>#REF!/$B$6</f>
        <v>#REF!</v>
      </c>
      <c r="C146" s="742" t="e">
        <f>#REF!/$B$6</f>
        <v>#REF!</v>
      </c>
      <c r="D146" s="742" t="e">
        <f>#REF!/$B$6</f>
        <v>#REF!</v>
      </c>
      <c r="E146" s="742" t="e">
        <f>#REF!/$B$6</f>
        <v>#REF!</v>
      </c>
      <c r="F146" s="742" t="e">
        <f>#REF!/$B$6</f>
        <v>#REF!</v>
      </c>
      <c r="G146" s="742" t="e">
        <f>#REF!/$B$6</f>
        <v>#REF!</v>
      </c>
      <c r="H146" s="742" t="e">
        <f>#REF!/$B$6</f>
        <v>#REF!</v>
      </c>
      <c r="I146" s="742" t="e">
        <f>#REF!/$B$6</f>
        <v>#REF!</v>
      </c>
      <c r="J146" s="742" t="e">
        <f>#REF!/$B$6</f>
        <v>#REF!</v>
      </c>
      <c r="K146" s="742" t="e">
        <f>#REF!/$B$6</f>
        <v>#REF!</v>
      </c>
      <c r="L146" s="742" t="e">
        <f>#REF!/$B$6</f>
        <v>#REF!</v>
      </c>
      <c r="M146" s="742" t="e">
        <f>#REF!/$B$6</f>
        <v>#REF!</v>
      </c>
      <c r="N146" s="742" t="e">
        <f>#REF!/$B$6</f>
        <v>#REF!</v>
      </c>
      <c r="O146" s="742" t="e">
        <f>#REF!/$B$6</f>
        <v>#REF!</v>
      </c>
      <c r="P146" s="742" t="e">
        <f>#REF!/$B$6</f>
        <v>#REF!</v>
      </c>
      <c r="Q146" s="742" t="e">
        <f>#REF!/$B$6</f>
        <v>#REF!</v>
      </c>
      <c r="R146" s="742" t="e">
        <f>#REF!/$B$6</f>
        <v>#REF!</v>
      </c>
      <c r="S146" s="742" t="e">
        <f>#REF!/$B$6</f>
        <v>#REF!</v>
      </c>
      <c r="T146" s="742" t="e">
        <f>#REF!/$B$6</f>
        <v>#REF!</v>
      </c>
      <c r="U146" s="742" t="e">
        <f>#REF!/$B$6</f>
        <v>#REF!</v>
      </c>
      <c r="V146" s="742" t="e">
        <f>#REF!/$B$6</f>
        <v>#REF!</v>
      </c>
      <c r="W146" s="742" t="e">
        <f>#REF!/$B$6</f>
        <v>#REF!</v>
      </c>
      <c r="X146" s="742" t="e">
        <f>#REF!/$B$6</f>
        <v>#REF!</v>
      </c>
      <c r="Y146" s="742" t="e">
        <f>#REF!/$B$6</f>
        <v>#REF!</v>
      </c>
      <c r="Z146" s="742" t="e">
        <f>#REF!/$B$6</f>
        <v>#REF!</v>
      </c>
      <c r="AA146" s="742" t="e">
        <f>#REF!/$B$6</f>
        <v>#REF!</v>
      </c>
    </row>
    <row r="147" spans="1:27" ht="15">
      <c r="A147" s="730" t="s">
        <v>648</v>
      </c>
      <c r="B147" s="742" t="e">
        <f>#REF!/$B$6</f>
        <v>#REF!</v>
      </c>
      <c r="C147" s="742" t="e">
        <f>#REF!/$B$6</f>
        <v>#REF!</v>
      </c>
      <c r="D147" s="742" t="e">
        <f>#REF!/$B$6</f>
        <v>#REF!</v>
      </c>
      <c r="E147" s="742" t="e">
        <f>#REF!/$B$6</f>
        <v>#REF!</v>
      </c>
      <c r="F147" s="742" t="e">
        <f>#REF!/$B$6</f>
        <v>#REF!</v>
      </c>
      <c r="G147" s="742" t="e">
        <f>#REF!/$B$6</f>
        <v>#REF!</v>
      </c>
      <c r="H147" s="742" t="e">
        <f>#REF!/$B$6</f>
        <v>#REF!</v>
      </c>
      <c r="I147" s="742" t="e">
        <f>#REF!/$B$6</f>
        <v>#REF!</v>
      </c>
      <c r="J147" s="742" t="e">
        <f>#REF!/$B$6</f>
        <v>#REF!</v>
      </c>
      <c r="K147" s="742" t="e">
        <f>#REF!/$B$6</f>
        <v>#REF!</v>
      </c>
      <c r="L147" s="742" t="e">
        <f>#REF!/$B$6</f>
        <v>#REF!</v>
      </c>
      <c r="M147" s="742" t="e">
        <f>#REF!/$B$6</f>
        <v>#REF!</v>
      </c>
      <c r="N147" s="742" t="e">
        <f>#REF!/$B$6</f>
        <v>#REF!</v>
      </c>
      <c r="O147" s="742" t="e">
        <f>#REF!/$B$6</f>
        <v>#REF!</v>
      </c>
      <c r="P147" s="742" t="e">
        <f>#REF!/$B$6</f>
        <v>#REF!</v>
      </c>
      <c r="Q147" s="742" t="e">
        <f>#REF!/$B$6</f>
        <v>#REF!</v>
      </c>
      <c r="R147" s="742" t="e">
        <f>#REF!/$B$6</f>
        <v>#REF!</v>
      </c>
      <c r="S147" s="742" t="e">
        <f>#REF!/$B$6</f>
        <v>#REF!</v>
      </c>
      <c r="T147" s="742" t="e">
        <f>#REF!/$B$6</f>
        <v>#REF!</v>
      </c>
      <c r="U147" s="742" t="e">
        <f>#REF!/$B$6</f>
        <v>#REF!</v>
      </c>
      <c r="V147" s="742" t="e">
        <f>#REF!/$B$6</f>
        <v>#REF!</v>
      </c>
      <c r="W147" s="742" t="e">
        <f>#REF!/$B$6</f>
        <v>#REF!</v>
      </c>
      <c r="X147" s="742" t="e">
        <f>#REF!/$B$6</f>
        <v>#REF!</v>
      </c>
      <c r="Y147" s="742" t="e">
        <f>#REF!/$B$6</f>
        <v>#REF!</v>
      </c>
      <c r="Z147" s="742" t="e">
        <f>#REF!/$B$6</f>
        <v>#REF!</v>
      </c>
      <c r="AA147" s="742" t="e">
        <f>#REF!/$B$6</f>
        <v>#REF!</v>
      </c>
    </row>
    <row r="148" spans="1:27">
      <c r="A148" s="732" t="s">
        <v>646</v>
      </c>
      <c r="B148" s="745" t="e">
        <f>#REF!/$B$6</f>
        <v>#REF!</v>
      </c>
      <c r="C148" s="745" t="e">
        <f>#REF!/$B$6</f>
        <v>#REF!</v>
      </c>
      <c r="D148" s="745" t="e">
        <f>#REF!/$B$6</f>
        <v>#REF!</v>
      </c>
      <c r="E148" s="745" t="e">
        <f>#REF!/$B$6</f>
        <v>#REF!</v>
      </c>
      <c r="F148" s="745" t="e">
        <f>#REF!/$B$6</f>
        <v>#REF!</v>
      </c>
      <c r="G148" s="745" t="e">
        <f>#REF!/$B$6</f>
        <v>#REF!</v>
      </c>
      <c r="H148" s="745" t="e">
        <f>#REF!/$B$6</f>
        <v>#REF!</v>
      </c>
      <c r="I148" s="745" t="e">
        <f>#REF!/$B$6</f>
        <v>#REF!</v>
      </c>
      <c r="J148" s="745" t="e">
        <f>#REF!/$B$6</f>
        <v>#REF!</v>
      </c>
      <c r="K148" s="745" t="e">
        <f>#REF!/$B$6</f>
        <v>#REF!</v>
      </c>
      <c r="L148" s="745" t="e">
        <f>#REF!/$B$6</f>
        <v>#REF!</v>
      </c>
      <c r="M148" s="745" t="e">
        <f>#REF!/$B$6</f>
        <v>#REF!</v>
      </c>
      <c r="N148" s="745" t="e">
        <f>#REF!/$B$6</f>
        <v>#REF!</v>
      </c>
      <c r="O148" s="745" t="e">
        <f>#REF!/$B$6</f>
        <v>#REF!</v>
      </c>
      <c r="P148" s="745" t="e">
        <f>#REF!/$B$6</f>
        <v>#REF!</v>
      </c>
      <c r="Q148" s="745" t="e">
        <f>#REF!/$B$6</f>
        <v>#REF!</v>
      </c>
      <c r="R148" s="745" t="e">
        <f>#REF!/$B$6</f>
        <v>#REF!</v>
      </c>
      <c r="S148" s="745" t="e">
        <f>#REF!/$B$6</f>
        <v>#REF!</v>
      </c>
      <c r="T148" s="745" t="e">
        <f>#REF!/$B$6</f>
        <v>#REF!</v>
      </c>
      <c r="U148" s="745" t="e">
        <f>#REF!/$B$6</f>
        <v>#REF!</v>
      </c>
      <c r="V148" s="745" t="e">
        <f>#REF!/$B$6</f>
        <v>#REF!</v>
      </c>
      <c r="W148" s="745" t="e">
        <f>#REF!/$B$6</f>
        <v>#REF!</v>
      </c>
      <c r="X148" s="745" t="e">
        <f>#REF!/$B$6</f>
        <v>#REF!</v>
      </c>
      <c r="Y148" s="745" t="e">
        <f>#REF!/$B$6</f>
        <v>#REF!</v>
      </c>
      <c r="Z148" s="745" t="e">
        <f>#REF!/$B$6</f>
        <v>#REF!</v>
      </c>
      <c r="AA148" s="745" t="e">
        <f>#REF!/$B$6</f>
        <v>#REF!</v>
      </c>
    </row>
    <row r="150" spans="1:27" ht="15">
      <c r="A150" s="730" t="s">
        <v>649</v>
      </c>
      <c r="B150" s="742" t="e">
        <f>#REF!/$B$6</f>
        <v>#REF!</v>
      </c>
      <c r="C150" s="742" t="e">
        <f>#REF!/$B$6</f>
        <v>#REF!</v>
      </c>
      <c r="D150" s="742" t="e">
        <f>#REF!/$B$6</f>
        <v>#REF!</v>
      </c>
      <c r="E150" s="742" t="e">
        <f>#REF!/$B$6</f>
        <v>#REF!</v>
      </c>
      <c r="F150" s="742" t="e">
        <f>#REF!/$B$6</f>
        <v>#REF!</v>
      </c>
      <c r="G150" s="742" t="e">
        <f>#REF!/$B$6</f>
        <v>#REF!</v>
      </c>
      <c r="H150" s="742" t="e">
        <f>#REF!/$B$6</f>
        <v>#REF!</v>
      </c>
      <c r="I150" s="742" t="e">
        <f>#REF!/$B$6</f>
        <v>#REF!</v>
      </c>
      <c r="J150" s="742" t="e">
        <f>#REF!/$B$6</f>
        <v>#REF!</v>
      </c>
      <c r="K150" s="742" t="e">
        <f>#REF!/$B$6</f>
        <v>#REF!</v>
      </c>
      <c r="L150" s="742" t="e">
        <f>#REF!/$B$6</f>
        <v>#REF!</v>
      </c>
      <c r="M150" s="742" t="e">
        <f>#REF!/$B$6</f>
        <v>#REF!</v>
      </c>
      <c r="N150" s="742" t="e">
        <f>#REF!/$B$6</f>
        <v>#REF!</v>
      </c>
      <c r="O150" s="742" t="e">
        <f>#REF!/$B$6</f>
        <v>#REF!</v>
      </c>
      <c r="P150" s="742" t="e">
        <f>#REF!/$B$6</f>
        <v>#REF!</v>
      </c>
      <c r="Q150" s="742" t="e">
        <f>#REF!/$B$6</f>
        <v>#REF!</v>
      </c>
      <c r="R150" s="742" t="e">
        <f>#REF!/$B$6</f>
        <v>#REF!</v>
      </c>
      <c r="S150" s="742" t="e">
        <f>#REF!/$B$6</f>
        <v>#REF!</v>
      </c>
      <c r="T150" s="742" t="e">
        <f>#REF!/$B$6</f>
        <v>#REF!</v>
      </c>
      <c r="U150" s="742" t="e">
        <f>#REF!/$B$6</f>
        <v>#REF!</v>
      </c>
      <c r="V150" s="742" t="e">
        <f>#REF!/$B$6</f>
        <v>#REF!</v>
      </c>
      <c r="W150" s="742" t="e">
        <f>#REF!/$B$6</f>
        <v>#REF!</v>
      </c>
      <c r="X150" s="742" t="e">
        <f>#REF!/$B$6</f>
        <v>#REF!</v>
      </c>
      <c r="Y150" s="742" t="e">
        <f>#REF!/$B$6</f>
        <v>#REF!</v>
      </c>
      <c r="Z150" s="742" t="e">
        <f>#REF!/$B$6</f>
        <v>#REF!</v>
      </c>
      <c r="AA150" s="742" t="e">
        <f>#REF!/$B$6</f>
        <v>#REF!</v>
      </c>
    </row>
    <row r="151" spans="1:27" ht="15">
      <c r="A151" s="730" t="s">
        <v>650</v>
      </c>
      <c r="B151" s="742" t="e">
        <f>#REF!/$B$6</f>
        <v>#REF!</v>
      </c>
      <c r="C151" s="742" t="e">
        <f>#REF!/$B$6</f>
        <v>#REF!</v>
      </c>
      <c r="D151" s="742" t="e">
        <f>#REF!/$B$6</f>
        <v>#REF!</v>
      </c>
      <c r="E151" s="742" t="e">
        <f>#REF!/$B$6</f>
        <v>#REF!</v>
      </c>
      <c r="F151" s="742" t="e">
        <f>#REF!/$B$6</f>
        <v>#REF!</v>
      </c>
      <c r="G151" s="742" t="e">
        <f>#REF!/$B$6</f>
        <v>#REF!</v>
      </c>
      <c r="H151" s="742" t="e">
        <f>#REF!/$B$6</f>
        <v>#REF!</v>
      </c>
      <c r="I151" s="742" t="e">
        <f>#REF!/$B$6</f>
        <v>#REF!</v>
      </c>
      <c r="J151" s="742" t="e">
        <f>#REF!/$B$6</f>
        <v>#REF!</v>
      </c>
      <c r="K151" s="742" t="e">
        <f>#REF!/$B$6</f>
        <v>#REF!</v>
      </c>
      <c r="L151" s="742" t="e">
        <f>#REF!/$B$6</f>
        <v>#REF!</v>
      </c>
      <c r="M151" s="742" t="e">
        <f>#REF!/$B$6</f>
        <v>#REF!</v>
      </c>
      <c r="N151" s="742" t="e">
        <f>#REF!/$B$6</f>
        <v>#REF!</v>
      </c>
      <c r="O151" s="742" t="e">
        <f>#REF!/$B$6</f>
        <v>#REF!</v>
      </c>
      <c r="P151" s="742" t="e">
        <f>#REF!/$B$6</f>
        <v>#REF!</v>
      </c>
      <c r="Q151" s="742" t="e">
        <f>#REF!/$B$6</f>
        <v>#REF!</v>
      </c>
      <c r="R151" s="742" t="e">
        <f>#REF!/$B$6</f>
        <v>#REF!</v>
      </c>
      <c r="S151" s="742" t="e">
        <f>#REF!/$B$6</f>
        <v>#REF!</v>
      </c>
      <c r="T151" s="742" t="e">
        <f>#REF!/$B$6</f>
        <v>#REF!</v>
      </c>
      <c r="U151" s="742" t="e">
        <f>#REF!/$B$6</f>
        <v>#REF!</v>
      </c>
      <c r="V151" s="742" t="e">
        <f>#REF!/$B$6</f>
        <v>#REF!</v>
      </c>
      <c r="W151" s="742" t="e">
        <f>#REF!/$B$6</f>
        <v>#REF!</v>
      </c>
      <c r="X151" s="742" t="e">
        <f>#REF!/$B$6</f>
        <v>#REF!</v>
      </c>
      <c r="Y151" s="742" t="e">
        <f>#REF!/$B$6</f>
        <v>#REF!</v>
      </c>
      <c r="Z151" s="742" t="e">
        <f>#REF!/$B$6</f>
        <v>#REF!</v>
      </c>
      <c r="AA151" s="742" t="e">
        <f>#REF!/$B$6</f>
        <v>#REF!</v>
      </c>
    </row>
    <row r="152" spans="1:27">
      <c r="A152" s="732" t="s">
        <v>651</v>
      </c>
      <c r="B152" s="745" t="e">
        <f>#REF!/$B$6</f>
        <v>#REF!</v>
      </c>
      <c r="C152" s="745" t="e">
        <f>#REF!/$B$6</f>
        <v>#REF!</v>
      </c>
      <c r="D152" s="745" t="e">
        <f>#REF!/$B$6</f>
        <v>#REF!</v>
      </c>
      <c r="E152" s="745" t="e">
        <f>#REF!/$B$6</f>
        <v>#REF!</v>
      </c>
      <c r="F152" s="745" t="e">
        <f>#REF!/$B$6</f>
        <v>#REF!</v>
      </c>
      <c r="G152" s="745" t="e">
        <f>#REF!/$B$6</f>
        <v>#REF!</v>
      </c>
      <c r="H152" s="745" t="e">
        <f>#REF!/$B$6</f>
        <v>#REF!</v>
      </c>
      <c r="I152" s="745" t="e">
        <f>#REF!/$B$6</f>
        <v>#REF!</v>
      </c>
      <c r="J152" s="745" t="e">
        <f>#REF!/$B$6</f>
        <v>#REF!</v>
      </c>
      <c r="K152" s="745" t="e">
        <f>#REF!/$B$6</f>
        <v>#REF!</v>
      </c>
      <c r="L152" s="745" t="e">
        <f>#REF!/$B$6</f>
        <v>#REF!</v>
      </c>
      <c r="M152" s="745" t="e">
        <f>#REF!/$B$6</f>
        <v>#REF!</v>
      </c>
      <c r="N152" s="745" t="e">
        <f>#REF!/$B$6</f>
        <v>#REF!</v>
      </c>
      <c r="O152" s="745" t="e">
        <f>#REF!/$B$6</f>
        <v>#REF!</v>
      </c>
      <c r="P152" s="745" t="e">
        <f>#REF!/$B$6</f>
        <v>#REF!</v>
      </c>
      <c r="Q152" s="745" t="e">
        <f>#REF!/$B$6</f>
        <v>#REF!</v>
      </c>
      <c r="R152" s="745" t="e">
        <f>#REF!/$B$6</f>
        <v>#REF!</v>
      </c>
      <c r="S152" s="745" t="e">
        <f>#REF!/$B$6</f>
        <v>#REF!</v>
      </c>
      <c r="T152" s="745" t="e">
        <f>#REF!/$B$6</f>
        <v>#REF!</v>
      </c>
      <c r="U152" s="745" t="e">
        <f>#REF!/$B$6</f>
        <v>#REF!</v>
      </c>
      <c r="V152" s="745" t="e">
        <f>#REF!/$B$6</f>
        <v>#REF!</v>
      </c>
      <c r="W152" s="745" t="e">
        <f>#REF!/$B$6</f>
        <v>#REF!</v>
      </c>
      <c r="X152" s="745" t="e">
        <f>#REF!/$B$6</f>
        <v>#REF!</v>
      </c>
      <c r="Y152" s="745" t="e">
        <f>#REF!/$B$6</f>
        <v>#REF!</v>
      </c>
      <c r="Z152" s="745" t="e">
        <f>#REF!/$B$6</f>
        <v>#REF!</v>
      </c>
      <c r="AA152" s="745" t="e">
        <f>#REF!/$B$6</f>
        <v>#REF!</v>
      </c>
    </row>
    <row r="154" spans="1:27">
      <c r="A154" s="730" t="s">
        <v>652</v>
      </c>
      <c r="B154" s="739" t="e">
        <f>B142+B150</f>
        <v>#REF!</v>
      </c>
      <c r="C154" s="739" t="e">
        <f t="shared" ref="C154:Z155" si="110">C142+C150</f>
        <v>#REF!</v>
      </c>
      <c r="D154" s="739" t="e">
        <f t="shared" si="110"/>
        <v>#REF!</v>
      </c>
      <c r="E154" s="739" t="e">
        <f t="shared" si="110"/>
        <v>#REF!</v>
      </c>
      <c r="F154" s="739" t="e">
        <f t="shared" si="110"/>
        <v>#REF!</v>
      </c>
      <c r="G154" s="739" t="e">
        <f t="shared" si="110"/>
        <v>#REF!</v>
      </c>
      <c r="H154" s="739" t="e">
        <f t="shared" si="110"/>
        <v>#REF!</v>
      </c>
      <c r="I154" s="739" t="e">
        <f t="shared" si="110"/>
        <v>#REF!</v>
      </c>
      <c r="J154" s="739" t="e">
        <f t="shared" si="110"/>
        <v>#REF!</v>
      </c>
      <c r="K154" s="739" t="e">
        <f t="shared" si="110"/>
        <v>#REF!</v>
      </c>
      <c r="L154" s="739" t="e">
        <f t="shared" si="110"/>
        <v>#REF!</v>
      </c>
      <c r="M154" s="739" t="e">
        <f t="shared" si="110"/>
        <v>#REF!</v>
      </c>
      <c r="N154" s="739" t="e">
        <f t="shared" si="110"/>
        <v>#REF!</v>
      </c>
      <c r="O154" s="739" t="e">
        <f t="shared" si="110"/>
        <v>#REF!</v>
      </c>
      <c r="P154" s="739" t="e">
        <f t="shared" si="110"/>
        <v>#REF!</v>
      </c>
      <c r="Q154" s="739" t="e">
        <f t="shared" si="110"/>
        <v>#REF!</v>
      </c>
      <c r="R154" s="739" t="e">
        <f t="shared" si="110"/>
        <v>#REF!</v>
      </c>
      <c r="S154" s="739" t="e">
        <f t="shared" si="110"/>
        <v>#REF!</v>
      </c>
      <c r="T154" s="739" t="e">
        <f t="shared" si="110"/>
        <v>#REF!</v>
      </c>
      <c r="U154" s="739" t="e">
        <f t="shared" si="110"/>
        <v>#REF!</v>
      </c>
      <c r="V154" s="739" t="e">
        <f t="shared" si="110"/>
        <v>#REF!</v>
      </c>
      <c r="W154" s="739" t="e">
        <f t="shared" si="110"/>
        <v>#REF!</v>
      </c>
      <c r="X154" s="739" t="e">
        <f t="shared" si="110"/>
        <v>#REF!</v>
      </c>
      <c r="Y154" s="739" t="e">
        <f t="shared" si="110"/>
        <v>#REF!</v>
      </c>
      <c r="Z154" s="739" t="e">
        <f t="shared" si="110"/>
        <v>#REF!</v>
      </c>
      <c r="AA154" s="739" t="e">
        <f t="shared" ref="AA154" si="111">AA142+AA150</f>
        <v>#REF!</v>
      </c>
    </row>
    <row r="155" spans="1:27">
      <c r="A155" s="730" t="s">
        <v>653</v>
      </c>
      <c r="B155" s="739" t="e">
        <f>B143+B151</f>
        <v>#REF!</v>
      </c>
      <c r="C155" s="739" t="e">
        <f t="shared" si="110"/>
        <v>#REF!</v>
      </c>
      <c r="D155" s="739" t="e">
        <f t="shared" si="110"/>
        <v>#REF!</v>
      </c>
      <c r="E155" s="739" t="e">
        <f t="shared" si="110"/>
        <v>#REF!</v>
      </c>
      <c r="F155" s="739" t="e">
        <f t="shared" si="110"/>
        <v>#REF!</v>
      </c>
      <c r="G155" s="739" t="e">
        <f t="shared" si="110"/>
        <v>#REF!</v>
      </c>
      <c r="H155" s="739" t="e">
        <f t="shared" si="110"/>
        <v>#REF!</v>
      </c>
      <c r="I155" s="739" t="e">
        <f t="shared" si="110"/>
        <v>#REF!</v>
      </c>
      <c r="J155" s="739" t="e">
        <f t="shared" si="110"/>
        <v>#REF!</v>
      </c>
      <c r="K155" s="739" t="e">
        <f t="shared" si="110"/>
        <v>#REF!</v>
      </c>
      <c r="L155" s="739" t="e">
        <f t="shared" si="110"/>
        <v>#REF!</v>
      </c>
      <c r="M155" s="739" t="e">
        <f t="shared" si="110"/>
        <v>#REF!</v>
      </c>
      <c r="N155" s="739" t="e">
        <f t="shared" si="110"/>
        <v>#REF!</v>
      </c>
      <c r="O155" s="739" t="e">
        <f t="shared" si="110"/>
        <v>#REF!</v>
      </c>
      <c r="P155" s="739" t="e">
        <f t="shared" si="110"/>
        <v>#REF!</v>
      </c>
      <c r="Q155" s="739" t="e">
        <f t="shared" si="110"/>
        <v>#REF!</v>
      </c>
      <c r="R155" s="739" t="e">
        <f t="shared" si="110"/>
        <v>#REF!</v>
      </c>
      <c r="S155" s="739" t="e">
        <f t="shared" si="110"/>
        <v>#REF!</v>
      </c>
      <c r="T155" s="739" t="e">
        <f t="shared" si="110"/>
        <v>#REF!</v>
      </c>
      <c r="U155" s="739" t="e">
        <f t="shared" si="110"/>
        <v>#REF!</v>
      </c>
      <c r="V155" s="739" t="e">
        <f t="shared" si="110"/>
        <v>#REF!</v>
      </c>
      <c r="W155" s="739" t="e">
        <f t="shared" si="110"/>
        <v>#REF!</v>
      </c>
      <c r="X155" s="739" t="e">
        <f t="shared" si="110"/>
        <v>#REF!</v>
      </c>
      <c r="Y155" s="739" t="e">
        <f t="shared" si="110"/>
        <v>#REF!</v>
      </c>
      <c r="Z155" s="739" t="e">
        <f t="shared" si="110"/>
        <v>#REF!</v>
      </c>
      <c r="AA155" s="739" t="e">
        <f t="shared" ref="AA155" si="112">AA143+AA151</f>
        <v>#REF!</v>
      </c>
    </row>
    <row r="156" spans="1:27">
      <c r="A156" s="732" t="s">
        <v>654</v>
      </c>
      <c r="B156" s="748" t="e">
        <f>B154+B155</f>
        <v>#REF!</v>
      </c>
      <c r="C156" s="748" t="e">
        <f t="shared" ref="C156:Z156" si="113">C154+C155</f>
        <v>#REF!</v>
      </c>
      <c r="D156" s="748" t="e">
        <f t="shared" si="113"/>
        <v>#REF!</v>
      </c>
      <c r="E156" s="748" t="e">
        <f t="shared" si="113"/>
        <v>#REF!</v>
      </c>
      <c r="F156" s="748" t="e">
        <f t="shared" si="113"/>
        <v>#REF!</v>
      </c>
      <c r="G156" s="748" t="e">
        <f t="shared" si="113"/>
        <v>#REF!</v>
      </c>
      <c r="H156" s="748" t="e">
        <f t="shared" si="113"/>
        <v>#REF!</v>
      </c>
      <c r="I156" s="748" t="e">
        <f t="shared" si="113"/>
        <v>#REF!</v>
      </c>
      <c r="J156" s="748" t="e">
        <f t="shared" si="113"/>
        <v>#REF!</v>
      </c>
      <c r="K156" s="748" t="e">
        <f t="shared" si="113"/>
        <v>#REF!</v>
      </c>
      <c r="L156" s="748" t="e">
        <f t="shared" si="113"/>
        <v>#REF!</v>
      </c>
      <c r="M156" s="748" t="e">
        <f t="shared" si="113"/>
        <v>#REF!</v>
      </c>
      <c r="N156" s="748" t="e">
        <f t="shared" si="113"/>
        <v>#REF!</v>
      </c>
      <c r="O156" s="748" t="e">
        <f t="shared" si="113"/>
        <v>#REF!</v>
      </c>
      <c r="P156" s="748" t="e">
        <f t="shared" si="113"/>
        <v>#REF!</v>
      </c>
      <c r="Q156" s="748" t="e">
        <f t="shared" si="113"/>
        <v>#REF!</v>
      </c>
      <c r="R156" s="748" t="e">
        <f t="shared" si="113"/>
        <v>#REF!</v>
      </c>
      <c r="S156" s="748" t="e">
        <f t="shared" si="113"/>
        <v>#REF!</v>
      </c>
      <c r="T156" s="748" t="e">
        <f t="shared" si="113"/>
        <v>#REF!</v>
      </c>
      <c r="U156" s="748" t="e">
        <f t="shared" si="113"/>
        <v>#REF!</v>
      </c>
      <c r="V156" s="748" t="e">
        <f t="shared" si="113"/>
        <v>#REF!</v>
      </c>
      <c r="W156" s="748" t="e">
        <f t="shared" si="113"/>
        <v>#REF!</v>
      </c>
      <c r="X156" s="748" t="e">
        <f t="shared" si="113"/>
        <v>#REF!</v>
      </c>
      <c r="Y156" s="748" t="e">
        <f t="shared" si="113"/>
        <v>#REF!</v>
      </c>
      <c r="Z156" s="748" t="e">
        <f t="shared" si="113"/>
        <v>#REF!</v>
      </c>
      <c r="AA156" s="748" t="e">
        <f t="shared" ref="AA156" si="114">AA154+AA155</f>
        <v>#REF!</v>
      </c>
    </row>
    <row r="158" spans="1:27" ht="15">
      <c r="A158" s="730" t="s">
        <v>655</v>
      </c>
      <c r="B158" s="742" t="e">
        <f>#REF!/$B$6</f>
        <v>#REF!</v>
      </c>
      <c r="C158" s="742" t="e">
        <f>#REF!/$B$6</f>
        <v>#REF!</v>
      </c>
      <c r="D158" s="742" t="e">
        <f>#REF!/$B$6</f>
        <v>#REF!</v>
      </c>
      <c r="E158" s="742" t="e">
        <f>#REF!/$B$6</f>
        <v>#REF!</v>
      </c>
      <c r="F158" s="742" t="e">
        <f>#REF!/$B$6</f>
        <v>#REF!</v>
      </c>
      <c r="G158" s="742" t="e">
        <f>#REF!/$B$6</f>
        <v>#REF!</v>
      </c>
      <c r="H158" s="742" t="e">
        <f>#REF!/$B$6</f>
        <v>#REF!</v>
      </c>
      <c r="I158" s="742" t="e">
        <f>#REF!/$B$6</f>
        <v>#REF!</v>
      </c>
      <c r="J158" s="742" t="e">
        <f>#REF!/$B$6</f>
        <v>#REF!</v>
      </c>
      <c r="K158" s="742" t="e">
        <f>#REF!/$B$6</f>
        <v>#REF!</v>
      </c>
      <c r="L158" s="742" t="e">
        <f>#REF!/$B$6</f>
        <v>#REF!</v>
      </c>
      <c r="M158" s="742" t="e">
        <f>#REF!/$B$6</f>
        <v>#REF!</v>
      </c>
      <c r="N158" s="742" t="e">
        <f>#REF!/$B$6</f>
        <v>#REF!</v>
      </c>
      <c r="O158" s="742" t="e">
        <f>#REF!/$B$6</f>
        <v>#REF!</v>
      </c>
      <c r="P158" s="742" t="e">
        <f>#REF!/$B$6</f>
        <v>#REF!</v>
      </c>
      <c r="Q158" s="742" t="e">
        <f>#REF!/$B$6</f>
        <v>#REF!</v>
      </c>
      <c r="R158" s="742" t="e">
        <f>#REF!/$B$6</f>
        <v>#REF!</v>
      </c>
      <c r="S158" s="742" t="e">
        <f>#REF!/$B$6</f>
        <v>#REF!</v>
      </c>
      <c r="T158" s="742" t="e">
        <f>#REF!/$B$6</f>
        <v>#REF!</v>
      </c>
      <c r="U158" s="742" t="e">
        <f>#REF!/$B$6</f>
        <v>#REF!</v>
      </c>
      <c r="V158" s="742" t="e">
        <f>#REF!/$B$6</f>
        <v>#REF!</v>
      </c>
      <c r="W158" s="742" t="e">
        <f>#REF!/$B$6</f>
        <v>#REF!</v>
      </c>
      <c r="X158" s="742" t="e">
        <f>#REF!/$B$6</f>
        <v>#REF!</v>
      </c>
      <c r="Y158" s="742" t="e">
        <f>#REF!/$B$6</f>
        <v>#REF!</v>
      </c>
      <c r="Z158" s="742" t="e">
        <f>#REF!/$B$6</f>
        <v>#REF!</v>
      </c>
      <c r="AA158" s="742" t="e">
        <f>#REF!/$B$6</f>
        <v>#REF!</v>
      </c>
    </row>
    <row r="159" spans="1:27" ht="15">
      <c r="A159" s="730" t="s">
        <v>656</v>
      </c>
      <c r="B159" s="742" t="e">
        <f>#REF!/$B$6</f>
        <v>#REF!</v>
      </c>
      <c r="C159" s="742" t="e">
        <f>#REF!/$B$6</f>
        <v>#REF!</v>
      </c>
      <c r="D159" s="742" t="e">
        <f>#REF!/$B$6</f>
        <v>#REF!</v>
      </c>
      <c r="E159" s="742" t="e">
        <f>#REF!/$B$6</f>
        <v>#REF!</v>
      </c>
      <c r="F159" s="742" t="e">
        <f>#REF!/$B$6</f>
        <v>#REF!</v>
      </c>
      <c r="G159" s="742" t="e">
        <f>#REF!/$B$6</f>
        <v>#REF!</v>
      </c>
      <c r="H159" s="742" t="e">
        <f>#REF!/$B$6</f>
        <v>#REF!</v>
      </c>
      <c r="I159" s="742" t="e">
        <f>#REF!/$B$6</f>
        <v>#REF!</v>
      </c>
      <c r="J159" s="742" t="e">
        <f>#REF!/$B$6</f>
        <v>#REF!</v>
      </c>
      <c r="K159" s="742" t="e">
        <f>#REF!/$B$6</f>
        <v>#REF!</v>
      </c>
      <c r="L159" s="742" t="e">
        <f>#REF!/$B$6</f>
        <v>#REF!</v>
      </c>
      <c r="M159" s="742" t="e">
        <f>#REF!/$B$6</f>
        <v>#REF!</v>
      </c>
      <c r="N159" s="742" t="e">
        <f>#REF!/$B$6</f>
        <v>#REF!</v>
      </c>
      <c r="O159" s="742" t="e">
        <f>#REF!/$B$6</f>
        <v>#REF!</v>
      </c>
      <c r="P159" s="742" t="e">
        <f>#REF!/$B$6</f>
        <v>#REF!</v>
      </c>
      <c r="Q159" s="742" t="e">
        <f>#REF!/$B$6</f>
        <v>#REF!</v>
      </c>
      <c r="R159" s="742" t="e">
        <f>#REF!/$B$6</f>
        <v>#REF!</v>
      </c>
      <c r="S159" s="742" t="e">
        <f>#REF!/$B$6</f>
        <v>#REF!</v>
      </c>
      <c r="T159" s="742" t="e">
        <f>#REF!/$B$6</f>
        <v>#REF!</v>
      </c>
      <c r="U159" s="742" t="e">
        <f>#REF!/$B$6</f>
        <v>#REF!</v>
      </c>
      <c r="V159" s="742" t="e">
        <f>#REF!/$B$6</f>
        <v>#REF!</v>
      </c>
      <c r="W159" s="742" t="e">
        <f>#REF!/$B$6</f>
        <v>#REF!</v>
      </c>
      <c r="X159" s="742" t="e">
        <f>#REF!/$B$6</f>
        <v>#REF!</v>
      </c>
      <c r="Y159" s="742" t="e">
        <f>#REF!/$B$6</f>
        <v>#REF!</v>
      </c>
      <c r="Z159" s="742" t="e">
        <f>#REF!/$B$6</f>
        <v>#REF!</v>
      </c>
      <c r="AA159" s="742" t="e">
        <f>#REF!/$B$6</f>
        <v>#REF!</v>
      </c>
    </row>
    <row r="160" spans="1:27">
      <c r="A160" s="732" t="s">
        <v>657</v>
      </c>
      <c r="B160" s="745" t="e">
        <f>#REF!/$B$6</f>
        <v>#REF!</v>
      </c>
      <c r="C160" s="745" t="e">
        <f>#REF!/$B$6</f>
        <v>#REF!</v>
      </c>
      <c r="D160" s="745" t="e">
        <f>#REF!/$B$6</f>
        <v>#REF!</v>
      </c>
      <c r="E160" s="745" t="e">
        <f>#REF!/$B$6</f>
        <v>#REF!</v>
      </c>
      <c r="F160" s="745" t="e">
        <f>#REF!/$B$6</f>
        <v>#REF!</v>
      </c>
      <c r="G160" s="745" t="e">
        <f>#REF!/$B$6</f>
        <v>#REF!</v>
      </c>
      <c r="H160" s="745" t="e">
        <f>#REF!/$B$6</f>
        <v>#REF!</v>
      </c>
      <c r="I160" s="745" t="e">
        <f>#REF!/$B$6</f>
        <v>#REF!</v>
      </c>
      <c r="J160" s="745" t="e">
        <f>#REF!/$B$6</f>
        <v>#REF!</v>
      </c>
      <c r="K160" s="745" t="e">
        <f>#REF!/$B$6</f>
        <v>#REF!</v>
      </c>
      <c r="L160" s="745" t="e">
        <f>#REF!/$B$6</f>
        <v>#REF!</v>
      </c>
      <c r="M160" s="745" t="e">
        <f>#REF!/$B$6</f>
        <v>#REF!</v>
      </c>
      <c r="N160" s="745" t="e">
        <f>#REF!/$B$6</f>
        <v>#REF!</v>
      </c>
      <c r="O160" s="745" t="e">
        <f>#REF!/$B$6</f>
        <v>#REF!</v>
      </c>
      <c r="P160" s="745" t="e">
        <f>#REF!/$B$6</f>
        <v>#REF!</v>
      </c>
      <c r="Q160" s="745" t="e">
        <f>#REF!/$B$6</f>
        <v>#REF!</v>
      </c>
      <c r="R160" s="745" t="e">
        <f>#REF!/$B$6</f>
        <v>#REF!</v>
      </c>
      <c r="S160" s="745" t="e">
        <f>#REF!/$B$6</f>
        <v>#REF!</v>
      </c>
      <c r="T160" s="745" t="e">
        <f>#REF!/$B$6</f>
        <v>#REF!</v>
      </c>
      <c r="U160" s="745" t="e">
        <f>#REF!/$B$6</f>
        <v>#REF!</v>
      </c>
      <c r="V160" s="745" t="e">
        <f>#REF!/$B$6</f>
        <v>#REF!</v>
      </c>
      <c r="W160" s="745" t="e">
        <f>#REF!/$B$6</f>
        <v>#REF!</v>
      </c>
      <c r="X160" s="745" t="e">
        <f>#REF!/$B$6</f>
        <v>#REF!</v>
      </c>
      <c r="Y160" s="745" t="e">
        <f>#REF!/$B$6</f>
        <v>#REF!</v>
      </c>
      <c r="Z160" s="745" t="e">
        <f>#REF!/$B$6</f>
        <v>#REF!</v>
      </c>
      <c r="AA160" s="745" t="e">
        <f>#REF!/$B$6</f>
        <v>#REF!</v>
      </c>
    </row>
    <row r="162" spans="1:27" ht="15">
      <c r="A162" s="730" t="s">
        <v>658</v>
      </c>
      <c r="B162" s="742" t="e">
        <f>#REF!/$B$6</f>
        <v>#REF!</v>
      </c>
      <c r="C162" s="742" t="e">
        <f>#REF!/$B$6</f>
        <v>#REF!</v>
      </c>
      <c r="D162" s="742" t="e">
        <f>#REF!/$B$6</f>
        <v>#REF!</v>
      </c>
      <c r="E162" s="742" t="e">
        <f>#REF!/$B$6</f>
        <v>#REF!</v>
      </c>
      <c r="F162" s="742" t="e">
        <f>#REF!/$B$6</f>
        <v>#REF!</v>
      </c>
      <c r="G162" s="742" t="e">
        <f>#REF!/$B$6</f>
        <v>#REF!</v>
      </c>
      <c r="H162" s="742" t="e">
        <f>#REF!/$B$6</f>
        <v>#REF!</v>
      </c>
      <c r="I162" s="742" t="e">
        <f>#REF!/$B$6</f>
        <v>#REF!</v>
      </c>
      <c r="J162" s="742" t="e">
        <f>#REF!/$B$6</f>
        <v>#REF!</v>
      </c>
      <c r="K162" s="742" t="e">
        <f>#REF!/$B$6</f>
        <v>#REF!</v>
      </c>
      <c r="L162" s="742" t="e">
        <f>#REF!/$B$6</f>
        <v>#REF!</v>
      </c>
      <c r="M162" s="742" t="e">
        <f>#REF!/$B$6</f>
        <v>#REF!</v>
      </c>
      <c r="N162" s="742" t="e">
        <f>#REF!/$B$6</f>
        <v>#REF!</v>
      </c>
      <c r="O162" s="742" t="e">
        <f>#REF!/$B$6</f>
        <v>#REF!</v>
      </c>
      <c r="P162" s="742" t="e">
        <f>#REF!/$B$6</f>
        <v>#REF!</v>
      </c>
      <c r="Q162" s="742" t="e">
        <f>#REF!/$B$6</f>
        <v>#REF!</v>
      </c>
      <c r="R162" s="742" t="e">
        <f>#REF!/$B$6</f>
        <v>#REF!</v>
      </c>
      <c r="S162" s="742" t="e">
        <f>#REF!/$B$6</f>
        <v>#REF!</v>
      </c>
      <c r="T162" s="742" t="e">
        <f>#REF!/$B$6</f>
        <v>#REF!</v>
      </c>
      <c r="U162" s="742" t="e">
        <f>#REF!/$B$6</f>
        <v>#REF!</v>
      </c>
      <c r="V162" s="742" t="e">
        <f>#REF!/$B$6</f>
        <v>#REF!</v>
      </c>
      <c r="W162" s="742" t="e">
        <f>#REF!/$B$6</f>
        <v>#REF!</v>
      </c>
      <c r="X162" s="742" t="e">
        <f>#REF!/$B$6</f>
        <v>#REF!</v>
      </c>
      <c r="Y162" s="742" t="e">
        <f>#REF!/$B$6</f>
        <v>#REF!</v>
      </c>
      <c r="Z162" s="742" t="e">
        <f>#REF!/$B$6</f>
        <v>#REF!</v>
      </c>
      <c r="AA162" s="742" t="e">
        <f>#REF!/$B$6</f>
        <v>#REF!</v>
      </c>
    </row>
    <row r="163" spans="1:27">
      <c r="A163" s="732" t="s">
        <v>659</v>
      </c>
      <c r="B163" s="749" t="e">
        <f>B160+B162</f>
        <v>#REF!</v>
      </c>
      <c r="C163" s="749" t="e">
        <f t="shared" ref="C163:Z163" si="115">C160+C162</f>
        <v>#REF!</v>
      </c>
      <c r="D163" s="749" t="e">
        <f t="shared" si="115"/>
        <v>#REF!</v>
      </c>
      <c r="E163" s="749" t="e">
        <f t="shared" si="115"/>
        <v>#REF!</v>
      </c>
      <c r="F163" s="749" t="e">
        <f t="shared" si="115"/>
        <v>#REF!</v>
      </c>
      <c r="G163" s="749" t="e">
        <f t="shared" si="115"/>
        <v>#REF!</v>
      </c>
      <c r="H163" s="749" t="e">
        <f t="shared" si="115"/>
        <v>#REF!</v>
      </c>
      <c r="I163" s="749" t="e">
        <f t="shared" si="115"/>
        <v>#REF!</v>
      </c>
      <c r="J163" s="749" t="e">
        <f t="shared" si="115"/>
        <v>#REF!</v>
      </c>
      <c r="K163" s="749" t="e">
        <f t="shared" si="115"/>
        <v>#REF!</v>
      </c>
      <c r="L163" s="749" t="e">
        <f t="shared" si="115"/>
        <v>#REF!</v>
      </c>
      <c r="M163" s="749" t="e">
        <f t="shared" si="115"/>
        <v>#REF!</v>
      </c>
      <c r="N163" s="749" t="e">
        <f t="shared" si="115"/>
        <v>#REF!</v>
      </c>
      <c r="O163" s="749" t="e">
        <f t="shared" si="115"/>
        <v>#REF!</v>
      </c>
      <c r="P163" s="749" t="e">
        <f t="shared" si="115"/>
        <v>#REF!</v>
      </c>
      <c r="Q163" s="749" t="e">
        <f t="shared" si="115"/>
        <v>#REF!</v>
      </c>
      <c r="R163" s="749" t="e">
        <f t="shared" si="115"/>
        <v>#REF!</v>
      </c>
      <c r="S163" s="749" t="e">
        <f t="shared" si="115"/>
        <v>#REF!</v>
      </c>
      <c r="T163" s="749" t="e">
        <f t="shared" si="115"/>
        <v>#REF!</v>
      </c>
      <c r="U163" s="749" t="e">
        <f t="shared" si="115"/>
        <v>#REF!</v>
      </c>
      <c r="V163" s="749" t="e">
        <f t="shared" si="115"/>
        <v>#REF!</v>
      </c>
      <c r="W163" s="749" t="e">
        <f t="shared" si="115"/>
        <v>#REF!</v>
      </c>
      <c r="X163" s="749" t="e">
        <f t="shared" si="115"/>
        <v>#REF!</v>
      </c>
      <c r="Y163" s="749" t="e">
        <f t="shared" si="115"/>
        <v>#REF!</v>
      </c>
      <c r="Z163" s="749" t="e">
        <f t="shared" si="115"/>
        <v>#REF!</v>
      </c>
      <c r="AA163" s="749" t="e">
        <f t="shared" ref="AA163" si="116">AA160+AA162</f>
        <v>#REF!</v>
      </c>
    </row>
    <row r="165" spans="1:27">
      <c r="A165" s="730" t="s">
        <v>660</v>
      </c>
      <c r="B165" s="750" t="e">
        <f>B154+B158+B162</f>
        <v>#REF!</v>
      </c>
      <c r="C165" s="750" t="e">
        <f t="shared" ref="C165:Z165" si="117">C154+C158+C162</f>
        <v>#REF!</v>
      </c>
      <c r="D165" s="750" t="e">
        <f t="shared" si="117"/>
        <v>#REF!</v>
      </c>
      <c r="E165" s="750" t="e">
        <f t="shared" si="117"/>
        <v>#REF!</v>
      </c>
      <c r="F165" s="750" t="e">
        <f t="shared" si="117"/>
        <v>#REF!</v>
      </c>
      <c r="G165" s="750" t="e">
        <f t="shared" si="117"/>
        <v>#REF!</v>
      </c>
      <c r="H165" s="750" t="e">
        <f t="shared" si="117"/>
        <v>#REF!</v>
      </c>
      <c r="I165" s="750" t="e">
        <f t="shared" si="117"/>
        <v>#REF!</v>
      </c>
      <c r="J165" s="750" t="e">
        <f t="shared" si="117"/>
        <v>#REF!</v>
      </c>
      <c r="K165" s="750" t="e">
        <f t="shared" si="117"/>
        <v>#REF!</v>
      </c>
      <c r="L165" s="750" t="e">
        <f t="shared" si="117"/>
        <v>#REF!</v>
      </c>
      <c r="M165" s="750" t="e">
        <f t="shared" si="117"/>
        <v>#REF!</v>
      </c>
      <c r="N165" s="750" t="e">
        <f t="shared" si="117"/>
        <v>#REF!</v>
      </c>
      <c r="O165" s="750" t="e">
        <f t="shared" si="117"/>
        <v>#REF!</v>
      </c>
      <c r="P165" s="750" t="e">
        <f t="shared" si="117"/>
        <v>#REF!</v>
      </c>
      <c r="Q165" s="750" t="e">
        <f t="shared" si="117"/>
        <v>#REF!</v>
      </c>
      <c r="R165" s="750" t="e">
        <f t="shared" si="117"/>
        <v>#REF!</v>
      </c>
      <c r="S165" s="750" t="e">
        <f t="shared" si="117"/>
        <v>#REF!</v>
      </c>
      <c r="T165" s="750" t="e">
        <f t="shared" si="117"/>
        <v>#REF!</v>
      </c>
      <c r="U165" s="750" t="e">
        <f t="shared" si="117"/>
        <v>#REF!</v>
      </c>
      <c r="V165" s="750" t="e">
        <f t="shared" si="117"/>
        <v>#REF!</v>
      </c>
      <c r="W165" s="750" t="e">
        <f t="shared" si="117"/>
        <v>#REF!</v>
      </c>
      <c r="X165" s="750" t="e">
        <f t="shared" si="117"/>
        <v>#REF!</v>
      </c>
      <c r="Y165" s="750" t="e">
        <f t="shared" si="117"/>
        <v>#REF!</v>
      </c>
      <c r="Z165" s="750" t="e">
        <f t="shared" si="117"/>
        <v>#REF!</v>
      </c>
      <c r="AA165" s="750" t="e">
        <f t="shared" ref="AA165" si="118">AA154+AA158+AA162</f>
        <v>#REF!</v>
      </c>
    </row>
    <row r="166" spans="1:27">
      <c r="A166" s="730" t="s">
        <v>661</v>
      </c>
      <c r="B166" s="750" t="e">
        <f>B155+B159</f>
        <v>#REF!</v>
      </c>
      <c r="C166" s="750" t="e">
        <f t="shared" ref="C166:Z166" si="119">C155+C159</f>
        <v>#REF!</v>
      </c>
      <c r="D166" s="750" t="e">
        <f t="shared" si="119"/>
        <v>#REF!</v>
      </c>
      <c r="E166" s="750" t="e">
        <f t="shared" si="119"/>
        <v>#REF!</v>
      </c>
      <c r="F166" s="750" t="e">
        <f t="shared" si="119"/>
        <v>#REF!</v>
      </c>
      <c r="G166" s="750" t="e">
        <f t="shared" si="119"/>
        <v>#REF!</v>
      </c>
      <c r="H166" s="750" t="e">
        <f t="shared" si="119"/>
        <v>#REF!</v>
      </c>
      <c r="I166" s="750" t="e">
        <f t="shared" si="119"/>
        <v>#REF!</v>
      </c>
      <c r="J166" s="750" t="e">
        <f t="shared" si="119"/>
        <v>#REF!</v>
      </c>
      <c r="K166" s="750" t="e">
        <f t="shared" si="119"/>
        <v>#REF!</v>
      </c>
      <c r="L166" s="750" t="e">
        <f t="shared" si="119"/>
        <v>#REF!</v>
      </c>
      <c r="M166" s="750" t="e">
        <f t="shared" si="119"/>
        <v>#REF!</v>
      </c>
      <c r="N166" s="750" t="e">
        <f t="shared" si="119"/>
        <v>#REF!</v>
      </c>
      <c r="O166" s="750" t="e">
        <f t="shared" si="119"/>
        <v>#REF!</v>
      </c>
      <c r="P166" s="750" t="e">
        <f t="shared" si="119"/>
        <v>#REF!</v>
      </c>
      <c r="Q166" s="750" t="e">
        <f t="shared" si="119"/>
        <v>#REF!</v>
      </c>
      <c r="R166" s="750" t="e">
        <f t="shared" si="119"/>
        <v>#REF!</v>
      </c>
      <c r="S166" s="750" t="e">
        <f t="shared" si="119"/>
        <v>#REF!</v>
      </c>
      <c r="T166" s="750" t="e">
        <f t="shared" si="119"/>
        <v>#REF!</v>
      </c>
      <c r="U166" s="750" t="e">
        <f t="shared" si="119"/>
        <v>#REF!</v>
      </c>
      <c r="V166" s="750" t="e">
        <f t="shared" si="119"/>
        <v>#REF!</v>
      </c>
      <c r="W166" s="750" t="e">
        <f t="shared" si="119"/>
        <v>#REF!</v>
      </c>
      <c r="X166" s="750" t="e">
        <f t="shared" si="119"/>
        <v>#REF!</v>
      </c>
      <c r="Y166" s="750" t="e">
        <f t="shared" si="119"/>
        <v>#REF!</v>
      </c>
      <c r="Z166" s="750" t="e">
        <f t="shared" si="119"/>
        <v>#REF!</v>
      </c>
      <c r="AA166" s="750" t="e">
        <f t="shared" ref="AA166" si="120">AA155+AA159</f>
        <v>#REF!</v>
      </c>
    </row>
    <row r="167" spans="1:27">
      <c r="A167" s="732" t="s">
        <v>662</v>
      </c>
      <c r="B167" s="749" t="e">
        <f>B165+B166</f>
        <v>#REF!</v>
      </c>
      <c r="C167" s="749" t="e">
        <f t="shared" ref="C167:Z167" si="121">C165+C166</f>
        <v>#REF!</v>
      </c>
      <c r="D167" s="749" t="e">
        <f t="shared" si="121"/>
        <v>#REF!</v>
      </c>
      <c r="E167" s="749" t="e">
        <f t="shared" si="121"/>
        <v>#REF!</v>
      </c>
      <c r="F167" s="749" t="e">
        <f t="shared" si="121"/>
        <v>#REF!</v>
      </c>
      <c r="G167" s="749" t="e">
        <f t="shared" si="121"/>
        <v>#REF!</v>
      </c>
      <c r="H167" s="749" t="e">
        <f t="shared" si="121"/>
        <v>#REF!</v>
      </c>
      <c r="I167" s="749" t="e">
        <f t="shared" si="121"/>
        <v>#REF!</v>
      </c>
      <c r="J167" s="749" t="e">
        <f t="shared" si="121"/>
        <v>#REF!</v>
      </c>
      <c r="K167" s="749" t="e">
        <f t="shared" si="121"/>
        <v>#REF!</v>
      </c>
      <c r="L167" s="749" t="e">
        <f t="shared" si="121"/>
        <v>#REF!</v>
      </c>
      <c r="M167" s="749" t="e">
        <f t="shared" si="121"/>
        <v>#REF!</v>
      </c>
      <c r="N167" s="749" t="e">
        <f t="shared" si="121"/>
        <v>#REF!</v>
      </c>
      <c r="O167" s="749" t="e">
        <f t="shared" si="121"/>
        <v>#REF!</v>
      </c>
      <c r="P167" s="749" t="e">
        <f t="shared" si="121"/>
        <v>#REF!</v>
      </c>
      <c r="Q167" s="749" t="e">
        <f t="shared" si="121"/>
        <v>#REF!</v>
      </c>
      <c r="R167" s="749" t="e">
        <f t="shared" si="121"/>
        <v>#REF!</v>
      </c>
      <c r="S167" s="749" t="e">
        <f t="shared" si="121"/>
        <v>#REF!</v>
      </c>
      <c r="T167" s="749" t="e">
        <f t="shared" si="121"/>
        <v>#REF!</v>
      </c>
      <c r="U167" s="749" t="e">
        <f t="shared" si="121"/>
        <v>#REF!</v>
      </c>
      <c r="V167" s="749" t="e">
        <f t="shared" si="121"/>
        <v>#REF!</v>
      </c>
      <c r="W167" s="749" t="e">
        <f t="shared" si="121"/>
        <v>#REF!</v>
      </c>
      <c r="X167" s="749" t="e">
        <f t="shared" si="121"/>
        <v>#REF!</v>
      </c>
      <c r="Y167" s="749" t="e">
        <f t="shared" si="121"/>
        <v>#REF!</v>
      </c>
      <c r="Z167" s="749" t="e">
        <f t="shared" si="121"/>
        <v>#REF!</v>
      </c>
      <c r="AA167" s="749" t="e">
        <f t="shared" ref="AA167" si="122">AA165+AA166</f>
        <v>#REF!</v>
      </c>
    </row>
    <row r="170" spans="1:27" ht="15">
      <c r="A170" s="730" t="s">
        <v>663</v>
      </c>
      <c r="B170" s="742" t="e">
        <f>#REF!/$B$6</f>
        <v>#REF!</v>
      </c>
      <c r="C170" s="742" t="e">
        <f>#REF!/$B$6</f>
        <v>#REF!</v>
      </c>
      <c r="D170" s="742" t="e">
        <f>#REF!/$B$6</f>
        <v>#REF!</v>
      </c>
      <c r="E170" s="742" t="e">
        <f>#REF!/$B$6</f>
        <v>#REF!</v>
      </c>
      <c r="F170" s="742" t="e">
        <f>#REF!/$B$6</f>
        <v>#REF!</v>
      </c>
      <c r="G170" s="742" t="e">
        <f>#REF!/$B$6</f>
        <v>#REF!</v>
      </c>
      <c r="H170" s="742" t="e">
        <f>#REF!/$B$6</f>
        <v>#REF!</v>
      </c>
      <c r="I170" s="742" t="e">
        <f>#REF!/$B$6</f>
        <v>#REF!</v>
      </c>
      <c r="J170" s="742" t="e">
        <f>#REF!/$B$6</f>
        <v>#REF!</v>
      </c>
      <c r="K170" s="742" t="e">
        <f>#REF!/$B$6</f>
        <v>#REF!</v>
      </c>
      <c r="L170" s="742" t="e">
        <f>#REF!/$B$6</f>
        <v>#REF!</v>
      </c>
      <c r="M170" s="742" t="e">
        <f>#REF!/$B$6</f>
        <v>#REF!</v>
      </c>
      <c r="N170" s="742" t="e">
        <f>#REF!/$B$6</f>
        <v>#REF!</v>
      </c>
      <c r="O170" s="742" t="e">
        <f>#REF!/$B$6</f>
        <v>#REF!</v>
      </c>
      <c r="P170" s="742" t="e">
        <f>#REF!/$B$6</f>
        <v>#REF!</v>
      </c>
      <c r="Q170" s="742" t="e">
        <f>#REF!/$B$6</f>
        <v>#REF!</v>
      </c>
      <c r="R170" s="742" t="e">
        <f>#REF!/$B$6</f>
        <v>#REF!</v>
      </c>
      <c r="S170" s="742" t="e">
        <f>#REF!/$B$6</f>
        <v>#REF!</v>
      </c>
      <c r="T170" s="742" t="e">
        <f>#REF!/$B$6</f>
        <v>#REF!</v>
      </c>
      <c r="U170" s="742" t="e">
        <f>#REF!/$B$6</f>
        <v>#REF!</v>
      </c>
      <c r="V170" s="742" t="e">
        <f>#REF!/$B$6</f>
        <v>#REF!</v>
      </c>
      <c r="W170" s="742" t="e">
        <f>#REF!/$B$6</f>
        <v>#REF!</v>
      </c>
      <c r="X170" s="742" t="e">
        <f>#REF!/$B$6</f>
        <v>#REF!</v>
      </c>
      <c r="Y170" s="742" t="e">
        <f>#REF!/$B$6</f>
        <v>#REF!</v>
      </c>
      <c r="Z170" s="742" t="e">
        <f>#REF!/$B$6</f>
        <v>#REF!</v>
      </c>
      <c r="AA170" s="742" t="e">
        <f>#REF!/$B$6</f>
        <v>#REF!</v>
      </c>
    </row>
    <row r="171" spans="1:27" ht="15">
      <c r="A171" s="730" t="s">
        <v>664</v>
      </c>
      <c r="B171" s="742" t="e">
        <f>#REF!/$B$6</f>
        <v>#REF!</v>
      </c>
      <c r="C171" s="742" t="e">
        <f>#REF!/$B$6</f>
        <v>#REF!</v>
      </c>
      <c r="D171" s="742" t="e">
        <f>#REF!/$B$6</f>
        <v>#REF!</v>
      </c>
      <c r="E171" s="742" t="e">
        <f>#REF!/$B$6</f>
        <v>#REF!</v>
      </c>
      <c r="F171" s="742" t="e">
        <f>#REF!/$B$6</f>
        <v>#REF!</v>
      </c>
      <c r="G171" s="742" t="e">
        <f>#REF!/$B$6</f>
        <v>#REF!</v>
      </c>
      <c r="H171" s="742" t="e">
        <f>#REF!/$B$6</f>
        <v>#REF!</v>
      </c>
      <c r="I171" s="742" t="e">
        <f>#REF!/$B$6</f>
        <v>#REF!</v>
      </c>
      <c r="J171" s="742" t="e">
        <f>#REF!/$B$6</f>
        <v>#REF!</v>
      </c>
      <c r="K171" s="742" t="e">
        <f>#REF!/$B$6</f>
        <v>#REF!</v>
      </c>
      <c r="L171" s="742" t="e">
        <f>#REF!/$B$6</f>
        <v>#REF!</v>
      </c>
      <c r="M171" s="742" t="e">
        <f>#REF!/$B$6</f>
        <v>#REF!</v>
      </c>
      <c r="N171" s="742" t="e">
        <f>#REF!/$B$6</f>
        <v>#REF!</v>
      </c>
      <c r="O171" s="742" t="e">
        <f>#REF!/$B$6</f>
        <v>#REF!</v>
      </c>
      <c r="P171" s="742" t="e">
        <f>#REF!/$B$6</f>
        <v>#REF!</v>
      </c>
      <c r="Q171" s="742" t="e">
        <f>#REF!/$B$6</f>
        <v>#REF!</v>
      </c>
      <c r="R171" s="742" t="e">
        <f>#REF!/$B$6</f>
        <v>#REF!</v>
      </c>
      <c r="S171" s="742" t="e">
        <f>#REF!/$B$6</f>
        <v>#REF!</v>
      </c>
      <c r="T171" s="742" t="e">
        <f>#REF!/$B$6</f>
        <v>#REF!</v>
      </c>
      <c r="U171" s="742" t="e">
        <f>#REF!/$B$6</f>
        <v>#REF!</v>
      </c>
      <c r="V171" s="742" t="e">
        <f>#REF!/$B$6</f>
        <v>#REF!</v>
      </c>
      <c r="W171" s="742" t="e">
        <f>#REF!/$B$6</f>
        <v>#REF!</v>
      </c>
      <c r="X171" s="742" t="e">
        <f>#REF!/$B$6</f>
        <v>#REF!</v>
      </c>
      <c r="Y171" s="742" t="e">
        <f>#REF!/$B$6</f>
        <v>#REF!</v>
      </c>
      <c r="Z171" s="742" t="e">
        <f>#REF!/$B$6</f>
        <v>#REF!</v>
      </c>
      <c r="AA171" s="742" t="e">
        <f>#REF!/$B$6</f>
        <v>#REF!</v>
      </c>
    </row>
    <row r="172" spans="1:27">
      <c r="A172" s="732" t="s">
        <v>662</v>
      </c>
      <c r="B172" s="745" t="e">
        <f>#REF!/$B$6</f>
        <v>#REF!</v>
      </c>
      <c r="C172" s="745" t="e">
        <f>#REF!/$B$6</f>
        <v>#REF!</v>
      </c>
      <c r="D172" s="745" t="e">
        <f>#REF!/$B$6</f>
        <v>#REF!</v>
      </c>
      <c r="E172" s="745" t="e">
        <f>#REF!/$B$6</f>
        <v>#REF!</v>
      </c>
      <c r="F172" s="745" t="e">
        <f>#REF!/$B$6</f>
        <v>#REF!</v>
      </c>
      <c r="G172" s="745" t="e">
        <f>#REF!/$B$6</f>
        <v>#REF!</v>
      </c>
      <c r="H172" s="745" t="e">
        <f>#REF!/$B$6</f>
        <v>#REF!</v>
      </c>
      <c r="I172" s="745" t="e">
        <f>#REF!/$B$6</f>
        <v>#REF!</v>
      </c>
      <c r="J172" s="745" t="e">
        <f>#REF!/$B$6</f>
        <v>#REF!</v>
      </c>
      <c r="K172" s="745" t="e">
        <f>#REF!/$B$6</f>
        <v>#REF!</v>
      </c>
      <c r="L172" s="745" t="e">
        <f>#REF!/$B$6</f>
        <v>#REF!</v>
      </c>
      <c r="M172" s="745" t="e">
        <f>#REF!/$B$6</f>
        <v>#REF!</v>
      </c>
      <c r="N172" s="745" t="e">
        <f>#REF!/$B$6</f>
        <v>#REF!</v>
      </c>
      <c r="O172" s="745" t="e">
        <f>#REF!/$B$6</f>
        <v>#REF!</v>
      </c>
      <c r="P172" s="745" t="e">
        <f>#REF!/$B$6</f>
        <v>#REF!</v>
      </c>
      <c r="Q172" s="745" t="e">
        <f>#REF!/$B$6</f>
        <v>#REF!</v>
      </c>
      <c r="R172" s="745" t="e">
        <f>#REF!/$B$6</f>
        <v>#REF!</v>
      </c>
      <c r="S172" s="745" t="e">
        <f>#REF!/$B$6</f>
        <v>#REF!</v>
      </c>
      <c r="T172" s="745" t="e">
        <f>#REF!/$B$6</f>
        <v>#REF!</v>
      </c>
      <c r="U172" s="745" t="e">
        <f>#REF!/$B$6</f>
        <v>#REF!</v>
      </c>
      <c r="V172" s="745" t="e">
        <f>#REF!/$B$6</f>
        <v>#REF!</v>
      </c>
      <c r="W172" s="745" t="e">
        <f>#REF!/$B$6</f>
        <v>#REF!</v>
      </c>
      <c r="X172" s="745" t="e">
        <f>#REF!/$B$6</f>
        <v>#REF!</v>
      </c>
      <c r="Y172" s="745" t="e">
        <f>#REF!/$B$6</f>
        <v>#REF!</v>
      </c>
      <c r="Z172" s="745" t="e">
        <f>#REF!/$B$6</f>
        <v>#REF!</v>
      </c>
      <c r="AA172" s="745" t="e">
        <f>#REF!/$B$6</f>
        <v>#REF!</v>
      </c>
    </row>
    <row r="174" spans="1:27" ht="15">
      <c r="A174" s="730" t="s">
        <v>665</v>
      </c>
      <c r="B174" s="742" t="e">
        <f>#REF!/$B$6</f>
        <v>#REF!</v>
      </c>
      <c r="C174" s="742" t="e">
        <f>#REF!/$B$6</f>
        <v>#REF!</v>
      </c>
      <c r="D174" s="742" t="e">
        <f>#REF!/$B$6</f>
        <v>#REF!</v>
      </c>
      <c r="E174" s="742" t="e">
        <f>#REF!/$B$6</f>
        <v>#REF!</v>
      </c>
      <c r="F174" s="742" t="e">
        <f>#REF!/$B$6</f>
        <v>#REF!</v>
      </c>
      <c r="G174" s="742" t="e">
        <f>#REF!/$B$6</f>
        <v>#REF!</v>
      </c>
      <c r="H174" s="742" t="e">
        <f>#REF!/$B$6</f>
        <v>#REF!</v>
      </c>
      <c r="I174" s="742" t="e">
        <f>#REF!/$B$6</f>
        <v>#REF!</v>
      </c>
      <c r="J174" s="742" t="e">
        <f>#REF!/$B$6</f>
        <v>#REF!</v>
      </c>
      <c r="K174" s="742" t="e">
        <f>#REF!/$B$6</f>
        <v>#REF!</v>
      </c>
      <c r="L174" s="742" t="e">
        <f>#REF!/$B$6</f>
        <v>#REF!</v>
      </c>
      <c r="M174" s="742" t="e">
        <f>#REF!/$B$6</f>
        <v>#REF!</v>
      </c>
      <c r="N174" s="742" t="e">
        <f>#REF!/$B$6</f>
        <v>#REF!</v>
      </c>
      <c r="O174" s="742" t="e">
        <f>#REF!/$B$6</f>
        <v>#REF!</v>
      </c>
      <c r="P174" s="742" t="e">
        <f>#REF!/$B$6</f>
        <v>#REF!</v>
      </c>
      <c r="Q174" s="742" t="e">
        <f>#REF!/$B$6</f>
        <v>#REF!</v>
      </c>
      <c r="R174" s="742" t="e">
        <f>#REF!/$B$6</f>
        <v>#REF!</v>
      </c>
      <c r="S174" s="742" t="e">
        <f>#REF!/$B$6</f>
        <v>#REF!</v>
      </c>
      <c r="T174" s="742" t="e">
        <f>#REF!/$B$6</f>
        <v>#REF!</v>
      </c>
      <c r="U174" s="742" t="e">
        <f>#REF!/$B$6</f>
        <v>#REF!</v>
      </c>
      <c r="V174" s="742" t="e">
        <f>#REF!/$B$6</f>
        <v>#REF!</v>
      </c>
      <c r="W174" s="742" t="e">
        <f>#REF!/$B$6</f>
        <v>#REF!</v>
      </c>
      <c r="X174" s="742" t="e">
        <f>#REF!/$B$6</f>
        <v>#REF!</v>
      </c>
      <c r="Y174" s="742" t="e">
        <f>#REF!/$B$6</f>
        <v>#REF!</v>
      </c>
      <c r="Z174" s="742" t="e">
        <f>#REF!/$B$6</f>
        <v>#REF!</v>
      </c>
      <c r="AA174" s="742" t="e">
        <f>#REF!/$B$6</f>
        <v>#REF!</v>
      </c>
    </row>
    <row r="185" spans="1:27">
      <c r="A185" s="735" t="s">
        <v>588</v>
      </c>
      <c r="B185" s="735">
        <f>B$12</f>
        <v>2003</v>
      </c>
      <c r="C185" s="735">
        <f t="shared" ref="C185:AA185" si="123">C$12</f>
        <v>2004</v>
      </c>
      <c r="D185" s="735">
        <f t="shared" si="123"/>
        <v>2005</v>
      </c>
      <c r="E185" s="735">
        <f t="shared" si="123"/>
        <v>2006</v>
      </c>
      <c r="F185" s="735">
        <f t="shared" si="123"/>
        <v>2007</v>
      </c>
      <c r="G185" s="735">
        <f t="shared" si="123"/>
        <v>2008</v>
      </c>
      <c r="H185" s="735">
        <f t="shared" si="123"/>
        <v>2009</v>
      </c>
      <c r="I185" s="735">
        <f t="shared" si="123"/>
        <v>2010</v>
      </c>
      <c r="J185" s="735">
        <f t="shared" si="123"/>
        <v>2011</v>
      </c>
      <c r="K185" s="735">
        <f t="shared" si="123"/>
        <v>2012</v>
      </c>
      <c r="L185" s="735">
        <f t="shared" si="123"/>
        <v>2013</v>
      </c>
      <c r="M185" s="735">
        <f t="shared" si="123"/>
        <v>2014</v>
      </c>
      <c r="N185" s="735">
        <f t="shared" si="123"/>
        <v>2015</v>
      </c>
      <c r="O185" s="735">
        <f t="shared" si="123"/>
        <v>2016</v>
      </c>
      <c r="P185" s="735">
        <f t="shared" si="123"/>
        <v>2017</v>
      </c>
      <c r="Q185" s="735">
        <f t="shared" si="123"/>
        <v>2018</v>
      </c>
      <c r="R185" s="735">
        <f t="shared" si="123"/>
        <v>2019</v>
      </c>
      <c r="S185" s="735">
        <f t="shared" si="123"/>
        <v>2020</v>
      </c>
      <c r="T185" s="735">
        <f t="shared" si="123"/>
        <v>2021</v>
      </c>
      <c r="U185" s="735">
        <f t="shared" si="123"/>
        <v>2022</v>
      </c>
      <c r="V185" s="735">
        <f t="shared" si="123"/>
        <v>2023</v>
      </c>
      <c r="W185" s="735">
        <f t="shared" si="123"/>
        <v>2024</v>
      </c>
      <c r="X185" s="735">
        <f t="shared" si="123"/>
        <v>2025</v>
      </c>
      <c r="Y185" s="735">
        <f t="shared" si="123"/>
        <v>2026</v>
      </c>
      <c r="Z185" s="735">
        <f t="shared" si="123"/>
        <v>2027</v>
      </c>
      <c r="AA185" s="735">
        <f t="shared" si="123"/>
        <v>2028</v>
      </c>
    </row>
    <row r="188" spans="1:27" ht="15">
      <c r="A188" s="730" t="s">
        <v>644</v>
      </c>
      <c r="B188" s="742" t="e">
        <f>#REF!/$B$6</f>
        <v>#REF!</v>
      </c>
      <c r="C188" s="742" t="e">
        <f>#REF!/$B$6</f>
        <v>#REF!</v>
      </c>
      <c r="D188" s="742" t="e">
        <f>#REF!/$B$6</f>
        <v>#REF!</v>
      </c>
      <c r="E188" s="742" t="e">
        <f>#REF!/$B$6</f>
        <v>#REF!</v>
      </c>
      <c r="F188" s="742" t="e">
        <f>#REF!/$B$6</f>
        <v>#REF!</v>
      </c>
      <c r="G188" s="742" t="e">
        <f>#REF!/$B$6</f>
        <v>#REF!</v>
      </c>
      <c r="H188" s="742" t="e">
        <f>#REF!/$B$6</f>
        <v>#REF!</v>
      </c>
      <c r="I188" s="742" t="e">
        <f>#REF!/$B$6</f>
        <v>#REF!</v>
      </c>
      <c r="J188" s="742" t="e">
        <f>#REF!/$B$6</f>
        <v>#REF!</v>
      </c>
      <c r="K188" s="742" t="e">
        <f>#REF!/$B$6</f>
        <v>#REF!</v>
      </c>
      <c r="L188" s="742" t="e">
        <f>#REF!/$B$6</f>
        <v>#REF!</v>
      </c>
      <c r="M188" s="742" t="e">
        <f>#REF!/$B$6</f>
        <v>#REF!</v>
      </c>
      <c r="N188" s="742" t="e">
        <f>#REF!/$B$6</f>
        <v>#REF!</v>
      </c>
      <c r="O188" s="742" t="e">
        <f>#REF!/$B$6</f>
        <v>#REF!</v>
      </c>
      <c r="P188" s="742" t="e">
        <f>#REF!/$B$6</f>
        <v>#REF!</v>
      </c>
      <c r="Q188" s="742" t="e">
        <f>#REF!/$B$6</f>
        <v>#REF!</v>
      </c>
      <c r="R188" s="742" t="e">
        <f>#REF!/$B$6</f>
        <v>#REF!</v>
      </c>
      <c r="S188" s="742" t="e">
        <f>#REF!/$B$6</f>
        <v>#REF!</v>
      </c>
      <c r="T188" s="742" t="e">
        <f>#REF!/$B$6</f>
        <v>#REF!</v>
      </c>
      <c r="U188" s="742" t="e">
        <f>#REF!/$B$6</f>
        <v>#REF!</v>
      </c>
      <c r="V188" s="742" t="e">
        <f>#REF!/$B$6</f>
        <v>#REF!</v>
      </c>
      <c r="W188" s="742" t="e">
        <f>#REF!/$B$6</f>
        <v>#REF!</v>
      </c>
      <c r="X188" s="742" t="e">
        <f>#REF!/$B$6</f>
        <v>#REF!</v>
      </c>
      <c r="Y188" s="742" t="e">
        <f>#REF!/$B$6</f>
        <v>#REF!</v>
      </c>
      <c r="Z188" s="742" t="e">
        <f>#REF!/$B$6</f>
        <v>#REF!</v>
      </c>
      <c r="AA188" s="742" t="e">
        <f>#REF!/$B$6</f>
        <v>#REF!</v>
      </c>
    </row>
    <row r="189" spans="1:27" ht="15">
      <c r="A189" s="730" t="s">
        <v>645</v>
      </c>
      <c r="B189" s="742" t="e">
        <f>#REF!/$B$6</f>
        <v>#REF!</v>
      </c>
      <c r="C189" s="742" t="e">
        <f>#REF!/$B$6</f>
        <v>#REF!</v>
      </c>
      <c r="D189" s="742" t="e">
        <f>#REF!/$B$6</f>
        <v>#REF!</v>
      </c>
      <c r="E189" s="742" t="e">
        <f>#REF!/$B$6</f>
        <v>#REF!</v>
      </c>
      <c r="F189" s="742" t="e">
        <f>#REF!/$B$6</f>
        <v>#REF!</v>
      </c>
      <c r="G189" s="742" t="e">
        <f>#REF!/$B$6</f>
        <v>#REF!</v>
      </c>
      <c r="H189" s="742" t="e">
        <f>#REF!/$B$6</f>
        <v>#REF!</v>
      </c>
      <c r="I189" s="742" t="e">
        <f>#REF!/$B$6</f>
        <v>#REF!</v>
      </c>
      <c r="J189" s="742" t="e">
        <f>#REF!/$B$6</f>
        <v>#REF!</v>
      </c>
      <c r="K189" s="742" t="e">
        <f>#REF!/$B$6</f>
        <v>#REF!</v>
      </c>
      <c r="L189" s="742" t="e">
        <f>#REF!/$B$6</f>
        <v>#REF!</v>
      </c>
      <c r="M189" s="742" t="e">
        <f>#REF!/$B$6</f>
        <v>#REF!</v>
      </c>
      <c r="N189" s="742" t="e">
        <f>#REF!/$B$6</f>
        <v>#REF!</v>
      </c>
      <c r="O189" s="742" t="e">
        <f>#REF!/$B$6</f>
        <v>#REF!</v>
      </c>
      <c r="P189" s="742" t="e">
        <f>#REF!/$B$6</f>
        <v>#REF!</v>
      </c>
      <c r="Q189" s="742" t="e">
        <f>#REF!/$B$6</f>
        <v>#REF!</v>
      </c>
      <c r="R189" s="742" t="e">
        <f>#REF!/$B$6</f>
        <v>#REF!</v>
      </c>
      <c r="S189" s="742" t="e">
        <f>#REF!/$B$6</f>
        <v>#REF!</v>
      </c>
      <c r="T189" s="742" t="e">
        <f>#REF!/$B$6</f>
        <v>#REF!</v>
      </c>
      <c r="U189" s="742" t="e">
        <f>#REF!/$B$6</f>
        <v>#REF!</v>
      </c>
      <c r="V189" s="742" t="e">
        <f>#REF!/$B$6</f>
        <v>#REF!</v>
      </c>
      <c r="W189" s="742" t="e">
        <f>#REF!/$B$6</f>
        <v>#REF!</v>
      </c>
      <c r="X189" s="742" t="e">
        <f>#REF!/$B$6</f>
        <v>#REF!</v>
      </c>
      <c r="Y189" s="742" t="e">
        <f>#REF!/$B$6</f>
        <v>#REF!</v>
      </c>
      <c r="Z189" s="742" t="e">
        <f>#REF!/$B$6</f>
        <v>#REF!</v>
      </c>
      <c r="AA189" s="742" t="e">
        <f>#REF!/$B$6</f>
        <v>#REF!</v>
      </c>
    </row>
    <row r="190" spans="1:27">
      <c r="A190" s="732" t="s">
        <v>666</v>
      </c>
      <c r="B190" s="745" t="e">
        <f>#REF!/$B$6</f>
        <v>#REF!</v>
      </c>
      <c r="C190" s="745" t="e">
        <f>#REF!/$B$6</f>
        <v>#REF!</v>
      </c>
      <c r="D190" s="745" t="e">
        <f>#REF!/$B$6</f>
        <v>#REF!</v>
      </c>
      <c r="E190" s="745" t="e">
        <f>#REF!/$B$6</f>
        <v>#REF!</v>
      </c>
      <c r="F190" s="745" t="e">
        <f>#REF!/$B$6</f>
        <v>#REF!</v>
      </c>
      <c r="G190" s="745" t="e">
        <f>#REF!/$B$6</f>
        <v>#REF!</v>
      </c>
      <c r="H190" s="745" t="e">
        <f>#REF!/$B$6</f>
        <v>#REF!</v>
      </c>
      <c r="I190" s="745" t="e">
        <f>#REF!/$B$6</f>
        <v>#REF!</v>
      </c>
      <c r="J190" s="745" t="e">
        <f>#REF!/$B$6</f>
        <v>#REF!</v>
      </c>
      <c r="K190" s="745" t="e">
        <f>#REF!/$B$6</f>
        <v>#REF!</v>
      </c>
      <c r="L190" s="745" t="e">
        <f>#REF!/$B$6</f>
        <v>#REF!</v>
      </c>
      <c r="M190" s="745" t="e">
        <f>#REF!/$B$6</f>
        <v>#REF!</v>
      </c>
      <c r="N190" s="745" t="e">
        <f>#REF!/$B$6</f>
        <v>#REF!</v>
      </c>
      <c r="O190" s="745" t="e">
        <f>#REF!/$B$6</f>
        <v>#REF!</v>
      </c>
      <c r="P190" s="745" t="e">
        <f>#REF!/$B$6</f>
        <v>#REF!</v>
      </c>
      <c r="Q190" s="745" t="e">
        <f>#REF!/$B$6</f>
        <v>#REF!</v>
      </c>
      <c r="R190" s="745" t="e">
        <f>#REF!/$B$6</f>
        <v>#REF!</v>
      </c>
      <c r="S190" s="745" t="e">
        <f>#REF!/$B$6</f>
        <v>#REF!</v>
      </c>
      <c r="T190" s="745" t="e">
        <f>#REF!/$B$6</f>
        <v>#REF!</v>
      </c>
      <c r="U190" s="745" t="e">
        <f>#REF!/$B$6</f>
        <v>#REF!</v>
      </c>
      <c r="V190" s="745" t="e">
        <f>#REF!/$B$6</f>
        <v>#REF!</v>
      </c>
      <c r="W190" s="745" t="e">
        <f>#REF!/$B$6</f>
        <v>#REF!</v>
      </c>
      <c r="X190" s="745" t="e">
        <f>#REF!/$B$6</f>
        <v>#REF!</v>
      </c>
      <c r="Y190" s="745" t="e">
        <f>#REF!/$B$6</f>
        <v>#REF!</v>
      </c>
      <c r="Z190" s="745" t="e">
        <f>#REF!/$B$6</f>
        <v>#REF!</v>
      </c>
      <c r="AA190" s="745" t="e">
        <f>#REF!/$B$6</f>
        <v>#REF!</v>
      </c>
    </row>
    <row r="192" spans="1:27" ht="15">
      <c r="A192" s="730" t="s">
        <v>649</v>
      </c>
      <c r="B192" s="742" t="e">
        <f>#REF!/$B$6</f>
        <v>#REF!</v>
      </c>
      <c r="C192" s="742" t="e">
        <f>#REF!/$B$6</f>
        <v>#REF!</v>
      </c>
      <c r="D192" s="742" t="e">
        <f>#REF!/$B$6</f>
        <v>#REF!</v>
      </c>
      <c r="E192" s="742" t="e">
        <f>#REF!/$B$6</f>
        <v>#REF!</v>
      </c>
      <c r="F192" s="742" t="e">
        <f>#REF!/$B$6</f>
        <v>#REF!</v>
      </c>
      <c r="G192" s="742" t="e">
        <f>#REF!/$B$6</f>
        <v>#REF!</v>
      </c>
      <c r="H192" s="742" t="e">
        <f>#REF!/$B$6</f>
        <v>#REF!</v>
      </c>
      <c r="I192" s="742" t="e">
        <f>#REF!/$B$6</f>
        <v>#REF!</v>
      </c>
      <c r="J192" s="742" t="e">
        <f>#REF!/$B$6</f>
        <v>#REF!</v>
      </c>
      <c r="K192" s="742" t="e">
        <f>#REF!/$B$6</f>
        <v>#REF!</v>
      </c>
      <c r="L192" s="742" t="e">
        <f>#REF!/$B$6</f>
        <v>#REF!</v>
      </c>
      <c r="M192" s="742" t="e">
        <f>#REF!/$B$6</f>
        <v>#REF!</v>
      </c>
      <c r="N192" s="742" t="e">
        <f>#REF!/$B$6</f>
        <v>#REF!</v>
      </c>
      <c r="O192" s="742" t="e">
        <f>#REF!/$B$6</f>
        <v>#REF!</v>
      </c>
      <c r="P192" s="742" t="e">
        <f>#REF!/$B$6</f>
        <v>#REF!</v>
      </c>
      <c r="Q192" s="742" t="e">
        <f>#REF!/$B$6</f>
        <v>#REF!</v>
      </c>
      <c r="R192" s="742" t="e">
        <f>#REF!/$B$6</f>
        <v>#REF!</v>
      </c>
      <c r="S192" s="742" t="e">
        <f>#REF!/$B$6</f>
        <v>#REF!</v>
      </c>
      <c r="T192" s="742" t="e">
        <f>#REF!/$B$6</f>
        <v>#REF!</v>
      </c>
      <c r="U192" s="742" t="e">
        <f>#REF!/$B$6</f>
        <v>#REF!</v>
      </c>
      <c r="V192" s="742" t="e">
        <f>#REF!/$B$6</f>
        <v>#REF!</v>
      </c>
      <c r="W192" s="742" t="e">
        <f>#REF!/$B$6</f>
        <v>#REF!</v>
      </c>
      <c r="X192" s="742" t="e">
        <f>#REF!/$B$6</f>
        <v>#REF!</v>
      </c>
      <c r="Y192" s="742" t="e">
        <f>#REF!/$B$6</f>
        <v>#REF!</v>
      </c>
      <c r="Z192" s="742" t="e">
        <f>#REF!/$B$6</f>
        <v>#REF!</v>
      </c>
      <c r="AA192" s="742" t="e">
        <f>#REF!/$B$6</f>
        <v>#REF!</v>
      </c>
    </row>
    <row r="193" spans="1:27" ht="15">
      <c r="A193" s="730" t="s">
        <v>650</v>
      </c>
      <c r="B193" s="742" t="e">
        <f>#REF!/$B$6</f>
        <v>#REF!</v>
      </c>
      <c r="C193" s="742" t="e">
        <f>#REF!/$B$6</f>
        <v>#REF!</v>
      </c>
      <c r="D193" s="742" t="e">
        <f>#REF!/$B$6</f>
        <v>#REF!</v>
      </c>
      <c r="E193" s="742" t="e">
        <f>#REF!/$B$6</f>
        <v>#REF!</v>
      </c>
      <c r="F193" s="742" t="e">
        <f>#REF!/$B$6</f>
        <v>#REF!</v>
      </c>
      <c r="G193" s="742" t="e">
        <f>#REF!/$B$6</f>
        <v>#REF!</v>
      </c>
      <c r="H193" s="742" t="e">
        <f>#REF!/$B$6</f>
        <v>#REF!</v>
      </c>
      <c r="I193" s="742" t="e">
        <f>#REF!/$B$6</f>
        <v>#REF!</v>
      </c>
      <c r="J193" s="742" t="e">
        <f>#REF!/$B$6</f>
        <v>#REF!</v>
      </c>
      <c r="K193" s="742" t="e">
        <f>#REF!/$B$6</f>
        <v>#REF!</v>
      </c>
      <c r="L193" s="742" t="e">
        <f>#REF!/$B$6</f>
        <v>#REF!</v>
      </c>
      <c r="M193" s="742" t="e">
        <f>#REF!/$B$6</f>
        <v>#REF!</v>
      </c>
      <c r="N193" s="742" t="e">
        <f>#REF!/$B$6</f>
        <v>#REF!</v>
      </c>
      <c r="O193" s="742" t="e">
        <f>#REF!/$B$6</f>
        <v>#REF!</v>
      </c>
      <c r="P193" s="742" t="e">
        <f>#REF!/$B$6</f>
        <v>#REF!</v>
      </c>
      <c r="Q193" s="742" t="e">
        <f>#REF!/$B$6</f>
        <v>#REF!</v>
      </c>
      <c r="R193" s="742" t="e">
        <f>#REF!/$B$6</f>
        <v>#REF!</v>
      </c>
      <c r="S193" s="742" t="e">
        <f>#REF!/$B$6</f>
        <v>#REF!</v>
      </c>
      <c r="T193" s="742" t="e">
        <f>#REF!/$B$6</f>
        <v>#REF!</v>
      </c>
      <c r="U193" s="742" t="e">
        <f>#REF!/$B$6</f>
        <v>#REF!</v>
      </c>
      <c r="V193" s="742" t="e">
        <f>#REF!/$B$6</f>
        <v>#REF!</v>
      </c>
      <c r="W193" s="742" t="e">
        <f>#REF!/$B$6</f>
        <v>#REF!</v>
      </c>
      <c r="X193" s="742" t="e">
        <f>#REF!/$B$6</f>
        <v>#REF!</v>
      </c>
      <c r="Y193" s="742" t="e">
        <f>#REF!/$B$6</f>
        <v>#REF!</v>
      </c>
      <c r="Z193" s="742" t="e">
        <f>#REF!/$B$6</f>
        <v>#REF!</v>
      </c>
      <c r="AA193" s="742" t="e">
        <f>#REF!/$B$6</f>
        <v>#REF!</v>
      </c>
    </row>
    <row r="194" spans="1:27">
      <c r="A194" s="732" t="s">
        <v>667</v>
      </c>
      <c r="B194" s="745" t="e">
        <f>#REF!/$B$6</f>
        <v>#REF!</v>
      </c>
      <c r="C194" s="745" t="e">
        <f>#REF!/$B$6</f>
        <v>#REF!</v>
      </c>
      <c r="D194" s="745" t="e">
        <f>#REF!/$B$6</f>
        <v>#REF!</v>
      </c>
      <c r="E194" s="745" t="e">
        <f>#REF!/$B$6</f>
        <v>#REF!</v>
      </c>
      <c r="F194" s="745" t="e">
        <f>#REF!/$B$6</f>
        <v>#REF!</v>
      </c>
      <c r="G194" s="745" t="e">
        <f>#REF!/$B$6</f>
        <v>#REF!</v>
      </c>
      <c r="H194" s="745" t="e">
        <f>#REF!/$B$6</f>
        <v>#REF!</v>
      </c>
      <c r="I194" s="745" t="e">
        <f>#REF!/$B$6</f>
        <v>#REF!</v>
      </c>
      <c r="J194" s="745" t="e">
        <f>#REF!/$B$6</f>
        <v>#REF!</v>
      </c>
      <c r="K194" s="745" t="e">
        <f>#REF!/$B$6</f>
        <v>#REF!</v>
      </c>
      <c r="L194" s="745" t="e">
        <f>#REF!/$B$6</f>
        <v>#REF!</v>
      </c>
      <c r="M194" s="745" t="e">
        <f>#REF!/$B$6</f>
        <v>#REF!</v>
      </c>
      <c r="N194" s="745" t="e">
        <f>#REF!/$B$6</f>
        <v>#REF!</v>
      </c>
      <c r="O194" s="745" t="e">
        <f>#REF!/$B$6</f>
        <v>#REF!</v>
      </c>
      <c r="P194" s="745" t="e">
        <f>#REF!/$B$6</f>
        <v>#REF!</v>
      </c>
      <c r="Q194" s="745" t="e">
        <f>#REF!/$B$6</f>
        <v>#REF!</v>
      </c>
      <c r="R194" s="745" t="e">
        <f>#REF!/$B$6</f>
        <v>#REF!</v>
      </c>
      <c r="S194" s="745" t="e">
        <f>#REF!/$B$6</f>
        <v>#REF!</v>
      </c>
      <c r="T194" s="745" t="e">
        <f>#REF!/$B$6</f>
        <v>#REF!</v>
      </c>
      <c r="U194" s="745" t="e">
        <f>#REF!/$B$6</f>
        <v>#REF!</v>
      </c>
      <c r="V194" s="745" t="e">
        <f>#REF!/$B$6</f>
        <v>#REF!</v>
      </c>
      <c r="W194" s="745" t="e">
        <f>#REF!/$B$6</f>
        <v>#REF!</v>
      </c>
      <c r="X194" s="745" t="e">
        <f>#REF!/$B$6</f>
        <v>#REF!</v>
      </c>
      <c r="Y194" s="745" t="e">
        <f>#REF!/$B$6</f>
        <v>#REF!</v>
      </c>
      <c r="Z194" s="745" t="e">
        <f>#REF!/$B$6</f>
        <v>#REF!</v>
      </c>
      <c r="AA194" s="745" t="e">
        <f>#REF!/$B$6</f>
        <v>#REF!</v>
      </c>
    </row>
    <row r="196" spans="1:27" ht="15">
      <c r="A196" s="730" t="s">
        <v>652</v>
      </c>
      <c r="B196" s="736" t="e">
        <f>B188+B192</f>
        <v>#REF!</v>
      </c>
      <c r="C196" s="736" t="e">
        <f t="shared" ref="C196:Z197" si="124">C188+C192</f>
        <v>#REF!</v>
      </c>
      <c r="D196" s="736" t="e">
        <f t="shared" si="124"/>
        <v>#REF!</v>
      </c>
      <c r="E196" s="736" t="e">
        <f t="shared" si="124"/>
        <v>#REF!</v>
      </c>
      <c r="F196" s="736" t="e">
        <f t="shared" si="124"/>
        <v>#REF!</v>
      </c>
      <c r="G196" s="736" t="e">
        <f t="shared" si="124"/>
        <v>#REF!</v>
      </c>
      <c r="H196" s="736" t="e">
        <f t="shared" si="124"/>
        <v>#REF!</v>
      </c>
      <c r="I196" s="736" t="e">
        <f t="shared" si="124"/>
        <v>#REF!</v>
      </c>
      <c r="J196" s="736" t="e">
        <f t="shared" si="124"/>
        <v>#REF!</v>
      </c>
      <c r="K196" s="736" t="e">
        <f t="shared" si="124"/>
        <v>#REF!</v>
      </c>
      <c r="L196" s="736" t="e">
        <f t="shared" si="124"/>
        <v>#REF!</v>
      </c>
      <c r="M196" s="736" t="e">
        <f t="shared" si="124"/>
        <v>#REF!</v>
      </c>
      <c r="N196" s="736" t="e">
        <f t="shared" si="124"/>
        <v>#REF!</v>
      </c>
      <c r="O196" s="736" t="e">
        <f t="shared" si="124"/>
        <v>#REF!</v>
      </c>
      <c r="P196" s="736" t="e">
        <f t="shared" si="124"/>
        <v>#REF!</v>
      </c>
      <c r="Q196" s="736" t="e">
        <f t="shared" si="124"/>
        <v>#REF!</v>
      </c>
      <c r="R196" s="736" t="e">
        <f t="shared" si="124"/>
        <v>#REF!</v>
      </c>
      <c r="S196" s="736" t="e">
        <f t="shared" si="124"/>
        <v>#REF!</v>
      </c>
      <c r="T196" s="736" t="e">
        <f t="shared" si="124"/>
        <v>#REF!</v>
      </c>
      <c r="U196" s="736" t="e">
        <f t="shared" si="124"/>
        <v>#REF!</v>
      </c>
      <c r="V196" s="736" t="e">
        <f t="shared" si="124"/>
        <v>#REF!</v>
      </c>
      <c r="W196" s="736" t="e">
        <f t="shared" si="124"/>
        <v>#REF!</v>
      </c>
      <c r="X196" s="736" t="e">
        <f t="shared" si="124"/>
        <v>#REF!</v>
      </c>
      <c r="Y196" s="736" t="e">
        <f t="shared" si="124"/>
        <v>#REF!</v>
      </c>
      <c r="Z196" s="736" t="e">
        <f t="shared" si="124"/>
        <v>#REF!</v>
      </c>
      <c r="AA196" s="736" t="e">
        <f t="shared" ref="AA196" si="125">AA188+AA192</f>
        <v>#REF!</v>
      </c>
    </row>
    <row r="197" spans="1:27" ht="15">
      <c r="A197" s="730" t="s">
        <v>653</v>
      </c>
      <c r="B197" s="736" t="e">
        <f>B189+B193</f>
        <v>#REF!</v>
      </c>
      <c r="C197" s="736" t="e">
        <f t="shared" si="124"/>
        <v>#REF!</v>
      </c>
      <c r="D197" s="736" t="e">
        <f t="shared" si="124"/>
        <v>#REF!</v>
      </c>
      <c r="E197" s="736" t="e">
        <f t="shared" si="124"/>
        <v>#REF!</v>
      </c>
      <c r="F197" s="736" t="e">
        <f t="shared" si="124"/>
        <v>#REF!</v>
      </c>
      <c r="G197" s="736" t="e">
        <f t="shared" si="124"/>
        <v>#REF!</v>
      </c>
      <c r="H197" s="736" t="e">
        <f t="shared" si="124"/>
        <v>#REF!</v>
      </c>
      <c r="I197" s="736" t="e">
        <f t="shared" si="124"/>
        <v>#REF!</v>
      </c>
      <c r="J197" s="736" t="e">
        <f t="shared" si="124"/>
        <v>#REF!</v>
      </c>
      <c r="K197" s="736" t="e">
        <f t="shared" si="124"/>
        <v>#REF!</v>
      </c>
      <c r="L197" s="736" t="e">
        <f t="shared" si="124"/>
        <v>#REF!</v>
      </c>
      <c r="M197" s="736" t="e">
        <f t="shared" si="124"/>
        <v>#REF!</v>
      </c>
      <c r="N197" s="736" t="e">
        <f t="shared" si="124"/>
        <v>#REF!</v>
      </c>
      <c r="O197" s="736" t="e">
        <f t="shared" si="124"/>
        <v>#REF!</v>
      </c>
      <c r="P197" s="736" t="e">
        <f t="shared" si="124"/>
        <v>#REF!</v>
      </c>
      <c r="Q197" s="736" t="e">
        <f t="shared" si="124"/>
        <v>#REF!</v>
      </c>
      <c r="R197" s="736" t="e">
        <f t="shared" si="124"/>
        <v>#REF!</v>
      </c>
      <c r="S197" s="736" t="e">
        <f t="shared" si="124"/>
        <v>#REF!</v>
      </c>
      <c r="T197" s="736" t="e">
        <f t="shared" si="124"/>
        <v>#REF!</v>
      </c>
      <c r="U197" s="736" t="e">
        <f t="shared" si="124"/>
        <v>#REF!</v>
      </c>
      <c r="V197" s="736" t="e">
        <f t="shared" si="124"/>
        <v>#REF!</v>
      </c>
      <c r="W197" s="736" t="e">
        <f t="shared" si="124"/>
        <v>#REF!</v>
      </c>
      <c r="X197" s="736" t="e">
        <f t="shared" si="124"/>
        <v>#REF!</v>
      </c>
      <c r="Y197" s="736" t="e">
        <f t="shared" si="124"/>
        <v>#REF!</v>
      </c>
      <c r="Z197" s="736" t="e">
        <f t="shared" si="124"/>
        <v>#REF!</v>
      </c>
      <c r="AA197" s="736" t="e">
        <f t="shared" ref="AA197" si="126">AA189+AA193</f>
        <v>#REF!</v>
      </c>
    </row>
    <row r="198" spans="1:27">
      <c r="A198" s="732" t="s">
        <v>668</v>
      </c>
      <c r="B198" s="747" t="e">
        <f>B196+B197</f>
        <v>#REF!</v>
      </c>
      <c r="C198" s="747" t="e">
        <f t="shared" ref="C198:Z198" si="127">C196+C197</f>
        <v>#REF!</v>
      </c>
      <c r="D198" s="747" t="e">
        <f t="shared" si="127"/>
        <v>#REF!</v>
      </c>
      <c r="E198" s="747" t="e">
        <f t="shared" si="127"/>
        <v>#REF!</v>
      </c>
      <c r="F198" s="747" t="e">
        <f t="shared" si="127"/>
        <v>#REF!</v>
      </c>
      <c r="G198" s="747" t="e">
        <f t="shared" si="127"/>
        <v>#REF!</v>
      </c>
      <c r="H198" s="747" t="e">
        <f t="shared" si="127"/>
        <v>#REF!</v>
      </c>
      <c r="I198" s="747" t="e">
        <f t="shared" si="127"/>
        <v>#REF!</v>
      </c>
      <c r="J198" s="747" t="e">
        <f t="shared" si="127"/>
        <v>#REF!</v>
      </c>
      <c r="K198" s="747" t="e">
        <f t="shared" si="127"/>
        <v>#REF!</v>
      </c>
      <c r="L198" s="747" t="e">
        <f t="shared" si="127"/>
        <v>#REF!</v>
      </c>
      <c r="M198" s="747" t="e">
        <f t="shared" si="127"/>
        <v>#REF!</v>
      </c>
      <c r="N198" s="747" t="e">
        <f t="shared" si="127"/>
        <v>#REF!</v>
      </c>
      <c r="O198" s="747" t="e">
        <f t="shared" si="127"/>
        <v>#REF!</v>
      </c>
      <c r="P198" s="747" t="e">
        <f t="shared" si="127"/>
        <v>#REF!</v>
      </c>
      <c r="Q198" s="747" t="e">
        <f t="shared" si="127"/>
        <v>#REF!</v>
      </c>
      <c r="R198" s="747" t="e">
        <f t="shared" si="127"/>
        <v>#REF!</v>
      </c>
      <c r="S198" s="747" t="e">
        <f t="shared" si="127"/>
        <v>#REF!</v>
      </c>
      <c r="T198" s="747" t="e">
        <f t="shared" si="127"/>
        <v>#REF!</v>
      </c>
      <c r="U198" s="747" t="e">
        <f t="shared" si="127"/>
        <v>#REF!</v>
      </c>
      <c r="V198" s="747" t="e">
        <f t="shared" si="127"/>
        <v>#REF!</v>
      </c>
      <c r="W198" s="747" t="e">
        <f t="shared" si="127"/>
        <v>#REF!</v>
      </c>
      <c r="X198" s="747" t="e">
        <f t="shared" si="127"/>
        <v>#REF!</v>
      </c>
      <c r="Y198" s="747" t="e">
        <f t="shared" si="127"/>
        <v>#REF!</v>
      </c>
      <c r="Z198" s="747" t="e">
        <f t="shared" si="127"/>
        <v>#REF!</v>
      </c>
      <c r="AA198" s="747" t="e">
        <f t="shared" ref="AA198" si="128">AA196+AA197</f>
        <v>#REF!</v>
      </c>
    </row>
    <row r="199" spans="1:27" ht="15">
      <c r="B199" s="736"/>
      <c r="C199" s="736"/>
      <c r="D199" s="736"/>
      <c r="E199" s="736"/>
      <c r="F199" s="736"/>
      <c r="G199" s="736"/>
      <c r="H199" s="736"/>
      <c r="I199" s="736"/>
      <c r="J199" s="736"/>
      <c r="K199" s="736"/>
      <c r="L199" s="736"/>
      <c r="M199" s="736"/>
      <c r="N199" s="736"/>
      <c r="O199" s="736"/>
      <c r="P199" s="736"/>
      <c r="Q199" s="736"/>
      <c r="R199" s="736"/>
      <c r="S199" s="736"/>
      <c r="T199" s="736"/>
      <c r="U199" s="736"/>
      <c r="V199" s="736"/>
      <c r="W199" s="736"/>
      <c r="X199" s="736"/>
      <c r="Y199" s="736"/>
      <c r="Z199" s="736"/>
      <c r="AA199" s="736"/>
    </row>
    <row r="200" spans="1:27" ht="15">
      <c r="A200" s="730" t="s">
        <v>655</v>
      </c>
      <c r="B200" s="742" t="e">
        <f>#REF!/$B$6</f>
        <v>#REF!</v>
      </c>
      <c r="C200" s="742" t="e">
        <f>#REF!/$B$6</f>
        <v>#REF!</v>
      </c>
      <c r="D200" s="742" t="e">
        <f>#REF!/$B$6</f>
        <v>#REF!</v>
      </c>
      <c r="E200" s="742" t="e">
        <f>#REF!/$B$6</f>
        <v>#REF!</v>
      </c>
      <c r="F200" s="742" t="e">
        <f>#REF!/$B$6</f>
        <v>#REF!</v>
      </c>
      <c r="G200" s="742" t="e">
        <f>#REF!/$B$6</f>
        <v>#REF!</v>
      </c>
      <c r="H200" s="742" t="e">
        <f>#REF!/$B$6</f>
        <v>#REF!</v>
      </c>
      <c r="I200" s="742" t="e">
        <f>#REF!/$B$6</f>
        <v>#REF!</v>
      </c>
      <c r="J200" s="742" t="e">
        <f>#REF!/$B$6</f>
        <v>#REF!</v>
      </c>
      <c r="K200" s="742" t="e">
        <f>#REF!/$B$6</f>
        <v>#REF!</v>
      </c>
      <c r="L200" s="742" t="e">
        <f>#REF!/$B$6</f>
        <v>#REF!</v>
      </c>
      <c r="M200" s="742" t="e">
        <f>#REF!/$B$6</f>
        <v>#REF!</v>
      </c>
      <c r="N200" s="742" t="e">
        <f>#REF!/$B$6</f>
        <v>#REF!</v>
      </c>
      <c r="O200" s="742" t="e">
        <f>#REF!/$B$6</f>
        <v>#REF!</v>
      </c>
      <c r="P200" s="742" t="e">
        <f>#REF!/$B$6</f>
        <v>#REF!</v>
      </c>
      <c r="Q200" s="742" t="e">
        <f>#REF!/$B$6</f>
        <v>#REF!</v>
      </c>
      <c r="R200" s="742" t="e">
        <f>#REF!/$B$6</f>
        <v>#REF!</v>
      </c>
      <c r="S200" s="742" t="e">
        <f>#REF!/$B$6</f>
        <v>#REF!</v>
      </c>
      <c r="T200" s="742" t="e">
        <f>#REF!/$B$6</f>
        <v>#REF!</v>
      </c>
      <c r="U200" s="742" t="e">
        <f>#REF!/$B$6</f>
        <v>#REF!</v>
      </c>
      <c r="V200" s="742" t="e">
        <f>#REF!/$B$6</f>
        <v>#REF!</v>
      </c>
      <c r="W200" s="742" t="e">
        <f>#REF!/$B$6</f>
        <v>#REF!</v>
      </c>
      <c r="X200" s="742" t="e">
        <f>#REF!/$B$6</f>
        <v>#REF!</v>
      </c>
      <c r="Y200" s="742" t="e">
        <f>#REF!/$B$6</f>
        <v>#REF!</v>
      </c>
      <c r="Z200" s="742" t="e">
        <f>#REF!/$B$6</f>
        <v>#REF!</v>
      </c>
      <c r="AA200" s="742" t="e">
        <f>#REF!/$B$6</f>
        <v>#REF!</v>
      </c>
    </row>
    <row r="201" spans="1:27" ht="15">
      <c r="A201" s="730" t="s">
        <v>656</v>
      </c>
      <c r="B201" s="742" t="e">
        <f>#REF!/$B$6</f>
        <v>#REF!</v>
      </c>
      <c r="C201" s="742" t="e">
        <f>#REF!/$B$6</f>
        <v>#REF!</v>
      </c>
      <c r="D201" s="742" t="e">
        <f>#REF!/$B$6</f>
        <v>#REF!</v>
      </c>
      <c r="E201" s="742" t="e">
        <f>#REF!/$B$6</f>
        <v>#REF!</v>
      </c>
      <c r="F201" s="742" t="e">
        <f>#REF!/$B$6</f>
        <v>#REF!</v>
      </c>
      <c r="G201" s="742" t="e">
        <f>#REF!/$B$6</f>
        <v>#REF!</v>
      </c>
      <c r="H201" s="742" t="e">
        <f>#REF!/$B$6</f>
        <v>#REF!</v>
      </c>
      <c r="I201" s="742" t="e">
        <f>#REF!/$B$6</f>
        <v>#REF!</v>
      </c>
      <c r="J201" s="742" t="e">
        <f>#REF!/$B$6</f>
        <v>#REF!</v>
      </c>
      <c r="K201" s="742" t="e">
        <f>#REF!/$B$6</f>
        <v>#REF!</v>
      </c>
      <c r="L201" s="742" t="e">
        <f>#REF!/$B$6</f>
        <v>#REF!</v>
      </c>
      <c r="M201" s="742" t="e">
        <f>#REF!/$B$6</f>
        <v>#REF!</v>
      </c>
      <c r="N201" s="742" t="e">
        <f>#REF!/$B$6</f>
        <v>#REF!</v>
      </c>
      <c r="O201" s="742" t="e">
        <f>#REF!/$B$6</f>
        <v>#REF!</v>
      </c>
      <c r="P201" s="742" t="e">
        <f>#REF!/$B$6</f>
        <v>#REF!</v>
      </c>
      <c r="Q201" s="742" t="e">
        <f>#REF!/$B$6</f>
        <v>#REF!</v>
      </c>
      <c r="R201" s="742" t="e">
        <f>#REF!/$B$6</f>
        <v>#REF!</v>
      </c>
      <c r="S201" s="742" t="e">
        <f>#REF!/$B$6</f>
        <v>#REF!</v>
      </c>
      <c r="T201" s="742" t="e">
        <f>#REF!/$B$6</f>
        <v>#REF!</v>
      </c>
      <c r="U201" s="742" t="e">
        <f>#REF!/$B$6</f>
        <v>#REF!</v>
      </c>
      <c r="V201" s="742" t="e">
        <f>#REF!/$B$6</f>
        <v>#REF!</v>
      </c>
      <c r="W201" s="742" t="e">
        <f>#REF!/$B$6</f>
        <v>#REF!</v>
      </c>
      <c r="X201" s="742" t="e">
        <f>#REF!/$B$6</f>
        <v>#REF!</v>
      </c>
      <c r="Y201" s="742" t="e">
        <f>#REF!/$B$6</f>
        <v>#REF!</v>
      </c>
      <c r="Z201" s="742" t="e">
        <f>#REF!/$B$6</f>
        <v>#REF!</v>
      </c>
      <c r="AA201" s="742" t="e">
        <f>#REF!/$B$6</f>
        <v>#REF!</v>
      </c>
    </row>
    <row r="202" spans="1:27">
      <c r="A202" s="732" t="s">
        <v>669</v>
      </c>
      <c r="B202" s="745" t="e">
        <f>#REF!/$B$6</f>
        <v>#REF!</v>
      </c>
      <c r="C202" s="745" t="e">
        <f>#REF!/$B$6</f>
        <v>#REF!</v>
      </c>
      <c r="D202" s="745" t="e">
        <f>#REF!/$B$6</f>
        <v>#REF!</v>
      </c>
      <c r="E202" s="745" t="e">
        <f>#REF!/$B$6</f>
        <v>#REF!</v>
      </c>
      <c r="F202" s="745" t="e">
        <f>#REF!/$B$6</f>
        <v>#REF!</v>
      </c>
      <c r="G202" s="745" t="e">
        <f>#REF!/$B$6</f>
        <v>#REF!</v>
      </c>
      <c r="H202" s="745" t="e">
        <f>#REF!/$B$6</f>
        <v>#REF!</v>
      </c>
      <c r="I202" s="745" t="e">
        <f>#REF!/$B$6</f>
        <v>#REF!</v>
      </c>
      <c r="J202" s="745" t="e">
        <f>#REF!/$B$6</f>
        <v>#REF!</v>
      </c>
      <c r="K202" s="745" t="e">
        <f>#REF!/$B$6</f>
        <v>#REF!</v>
      </c>
      <c r="L202" s="745" t="e">
        <f>#REF!/$B$6</f>
        <v>#REF!</v>
      </c>
      <c r="M202" s="745" t="e">
        <f>#REF!/$B$6</f>
        <v>#REF!</v>
      </c>
      <c r="N202" s="745" t="e">
        <f>#REF!/$B$6</f>
        <v>#REF!</v>
      </c>
      <c r="O202" s="745" t="e">
        <f>#REF!/$B$6</f>
        <v>#REF!</v>
      </c>
      <c r="P202" s="745" t="e">
        <f>#REF!/$B$6</f>
        <v>#REF!</v>
      </c>
      <c r="Q202" s="745" t="e">
        <f>#REF!/$B$6</f>
        <v>#REF!</v>
      </c>
      <c r="R202" s="745" t="e">
        <f>#REF!/$B$6</f>
        <v>#REF!</v>
      </c>
      <c r="S202" s="745" t="e">
        <f>#REF!/$B$6</f>
        <v>#REF!</v>
      </c>
      <c r="T202" s="745" t="e">
        <f>#REF!/$B$6</f>
        <v>#REF!</v>
      </c>
      <c r="U202" s="745" t="e">
        <f>#REF!/$B$6</f>
        <v>#REF!</v>
      </c>
      <c r="V202" s="745" t="e">
        <f>#REF!/$B$6</f>
        <v>#REF!</v>
      </c>
      <c r="W202" s="745" t="e">
        <f>#REF!/$B$6</f>
        <v>#REF!</v>
      </c>
      <c r="X202" s="745" t="e">
        <f>#REF!/$B$6</f>
        <v>#REF!</v>
      </c>
      <c r="Y202" s="745" t="e">
        <f>#REF!/$B$6</f>
        <v>#REF!</v>
      </c>
      <c r="Z202" s="745" t="e">
        <f>#REF!/$B$6</f>
        <v>#REF!</v>
      </c>
      <c r="AA202" s="745" t="e">
        <f>#REF!/$B$6</f>
        <v>#REF!</v>
      </c>
    </row>
    <row r="203" spans="1:27" ht="15">
      <c r="B203" s="736"/>
      <c r="C203" s="736"/>
      <c r="D203" s="736"/>
      <c r="E203" s="736"/>
      <c r="F203" s="736"/>
      <c r="G203" s="736"/>
      <c r="H203" s="736"/>
      <c r="I203" s="736"/>
      <c r="J203" s="736"/>
      <c r="K203" s="736"/>
      <c r="L203" s="736"/>
      <c r="M203" s="736"/>
      <c r="N203" s="736"/>
      <c r="O203" s="736"/>
      <c r="P203" s="736"/>
      <c r="Q203" s="736"/>
      <c r="R203" s="736"/>
      <c r="S203" s="736"/>
      <c r="T203" s="736"/>
      <c r="U203" s="736"/>
      <c r="V203" s="736"/>
      <c r="W203" s="736"/>
      <c r="X203" s="736"/>
      <c r="Y203" s="736"/>
      <c r="Z203" s="736"/>
      <c r="AA203" s="736"/>
    </row>
    <row r="204" spans="1:27" ht="15">
      <c r="A204" s="730" t="s">
        <v>658</v>
      </c>
      <c r="B204" s="742" t="e">
        <f>#REF!/$B$6</f>
        <v>#REF!</v>
      </c>
      <c r="C204" s="742" t="e">
        <f>#REF!/$B$6</f>
        <v>#REF!</v>
      </c>
      <c r="D204" s="742" t="e">
        <f>#REF!/$B$6</f>
        <v>#REF!</v>
      </c>
      <c r="E204" s="742" t="e">
        <f>#REF!/$B$6</f>
        <v>#REF!</v>
      </c>
      <c r="F204" s="742" t="e">
        <f>#REF!/$B$6</f>
        <v>#REF!</v>
      </c>
      <c r="G204" s="742" t="e">
        <f>#REF!/$B$6</f>
        <v>#REF!</v>
      </c>
      <c r="H204" s="742" t="e">
        <f>#REF!/$B$6</f>
        <v>#REF!</v>
      </c>
      <c r="I204" s="742" t="e">
        <f>#REF!/$B$6</f>
        <v>#REF!</v>
      </c>
      <c r="J204" s="742" t="e">
        <f>#REF!/$B$6</f>
        <v>#REF!</v>
      </c>
      <c r="K204" s="742" t="e">
        <f>#REF!/$B$6</f>
        <v>#REF!</v>
      </c>
      <c r="L204" s="742" t="e">
        <f>#REF!/$B$6</f>
        <v>#REF!</v>
      </c>
      <c r="M204" s="742" t="e">
        <f>#REF!/$B$6</f>
        <v>#REF!</v>
      </c>
      <c r="N204" s="742" t="e">
        <f>#REF!/$B$6</f>
        <v>#REF!</v>
      </c>
      <c r="O204" s="742" t="e">
        <f>#REF!/$B$6</f>
        <v>#REF!</v>
      </c>
      <c r="P204" s="742" t="e">
        <f>#REF!/$B$6</f>
        <v>#REF!</v>
      </c>
      <c r="Q204" s="742" t="e">
        <f>#REF!/$B$6</f>
        <v>#REF!</v>
      </c>
      <c r="R204" s="742" t="e">
        <f>#REF!/$B$6</f>
        <v>#REF!</v>
      </c>
      <c r="S204" s="742" t="e">
        <f>#REF!/$B$6</f>
        <v>#REF!</v>
      </c>
      <c r="T204" s="742" t="e">
        <f>#REF!/$B$6</f>
        <v>#REF!</v>
      </c>
      <c r="U204" s="742" t="e">
        <f>#REF!/$B$6</f>
        <v>#REF!</v>
      </c>
      <c r="V204" s="742" t="e">
        <f>#REF!/$B$6</f>
        <v>#REF!</v>
      </c>
      <c r="W204" s="742" t="e">
        <f>#REF!/$B$6</f>
        <v>#REF!</v>
      </c>
      <c r="X204" s="742" t="e">
        <f>#REF!/$B$6</f>
        <v>#REF!</v>
      </c>
      <c r="Y204" s="742" t="e">
        <f>#REF!/$B$6</f>
        <v>#REF!</v>
      </c>
      <c r="Z204" s="742" t="e">
        <f>#REF!/$B$6</f>
        <v>#REF!</v>
      </c>
      <c r="AA204" s="742" t="e">
        <f>#REF!/$B$6</f>
        <v>#REF!</v>
      </c>
    </row>
    <row r="205" spans="1:27">
      <c r="A205" s="732" t="s">
        <v>670</v>
      </c>
      <c r="B205" s="747" t="e">
        <f>B202+B204</f>
        <v>#REF!</v>
      </c>
      <c r="C205" s="747" t="e">
        <f t="shared" ref="C205:Z205" si="129">C202+C204</f>
        <v>#REF!</v>
      </c>
      <c r="D205" s="747" t="e">
        <f t="shared" si="129"/>
        <v>#REF!</v>
      </c>
      <c r="E205" s="747" t="e">
        <f t="shared" si="129"/>
        <v>#REF!</v>
      </c>
      <c r="F205" s="747" t="e">
        <f t="shared" si="129"/>
        <v>#REF!</v>
      </c>
      <c r="G205" s="747" t="e">
        <f t="shared" si="129"/>
        <v>#REF!</v>
      </c>
      <c r="H205" s="747" t="e">
        <f t="shared" si="129"/>
        <v>#REF!</v>
      </c>
      <c r="I205" s="747" t="e">
        <f t="shared" si="129"/>
        <v>#REF!</v>
      </c>
      <c r="J205" s="747" t="e">
        <f t="shared" si="129"/>
        <v>#REF!</v>
      </c>
      <c r="K205" s="747" t="e">
        <f t="shared" si="129"/>
        <v>#REF!</v>
      </c>
      <c r="L205" s="747" t="e">
        <f t="shared" si="129"/>
        <v>#REF!</v>
      </c>
      <c r="M205" s="747" t="e">
        <f t="shared" si="129"/>
        <v>#REF!</v>
      </c>
      <c r="N205" s="747" t="e">
        <f t="shared" si="129"/>
        <v>#REF!</v>
      </c>
      <c r="O205" s="747" t="e">
        <f t="shared" si="129"/>
        <v>#REF!</v>
      </c>
      <c r="P205" s="747" t="e">
        <f t="shared" si="129"/>
        <v>#REF!</v>
      </c>
      <c r="Q205" s="747" t="e">
        <f t="shared" si="129"/>
        <v>#REF!</v>
      </c>
      <c r="R205" s="747" t="e">
        <f t="shared" si="129"/>
        <v>#REF!</v>
      </c>
      <c r="S205" s="747" t="e">
        <f t="shared" si="129"/>
        <v>#REF!</v>
      </c>
      <c r="T205" s="747" t="e">
        <f t="shared" si="129"/>
        <v>#REF!</v>
      </c>
      <c r="U205" s="747" t="e">
        <f t="shared" si="129"/>
        <v>#REF!</v>
      </c>
      <c r="V205" s="747" t="e">
        <f t="shared" si="129"/>
        <v>#REF!</v>
      </c>
      <c r="W205" s="747" t="e">
        <f t="shared" si="129"/>
        <v>#REF!</v>
      </c>
      <c r="X205" s="747" t="e">
        <f t="shared" si="129"/>
        <v>#REF!</v>
      </c>
      <c r="Y205" s="747" t="e">
        <f t="shared" si="129"/>
        <v>#REF!</v>
      </c>
      <c r="Z205" s="747" t="e">
        <f t="shared" si="129"/>
        <v>#REF!</v>
      </c>
      <c r="AA205" s="747" t="e">
        <f t="shared" ref="AA205" si="130">AA202+AA204</f>
        <v>#REF!</v>
      </c>
    </row>
    <row r="206" spans="1:27" ht="15">
      <c r="B206" s="736"/>
      <c r="C206" s="736"/>
      <c r="D206" s="736"/>
      <c r="E206" s="736"/>
      <c r="F206" s="736"/>
      <c r="G206" s="736"/>
      <c r="H206" s="736"/>
      <c r="I206" s="736"/>
      <c r="J206" s="736"/>
      <c r="K206" s="736"/>
      <c r="L206" s="736"/>
      <c r="M206" s="736"/>
      <c r="N206" s="736"/>
      <c r="O206" s="736"/>
      <c r="P206" s="736"/>
      <c r="Q206" s="736"/>
      <c r="R206" s="736"/>
      <c r="S206" s="736"/>
      <c r="T206" s="736"/>
      <c r="U206" s="736"/>
      <c r="V206" s="736"/>
      <c r="W206" s="736"/>
      <c r="X206" s="736"/>
      <c r="Y206" s="736"/>
      <c r="Z206" s="736"/>
      <c r="AA206" s="736"/>
    </row>
    <row r="207" spans="1:27" ht="15">
      <c r="A207" s="730" t="s">
        <v>660</v>
      </c>
      <c r="B207" s="736" t="e">
        <f>B196+B200+B204</f>
        <v>#REF!</v>
      </c>
      <c r="C207" s="736" t="e">
        <f t="shared" ref="C207:Z207" si="131">C196+C200+C204</f>
        <v>#REF!</v>
      </c>
      <c r="D207" s="736" t="e">
        <f t="shared" si="131"/>
        <v>#REF!</v>
      </c>
      <c r="E207" s="736" t="e">
        <f t="shared" si="131"/>
        <v>#REF!</v>
      </c>
      <c r="F207" s="736" t="e">
        <f t="shared" si="131"/>
        <v>#REF!</v>
      </c>
      <c r="G207" s="736" t="e">
        <f t="shared" si="131"/>
        <v>#REF!</v>
      </c>
      <c r="H207" s="736" t="e">
        <f t="shared" si="131"/>
        <v>#REF!</v>
      </c>
      <c r="I207" s="736" t="e">
        <f t="shared" si="131"/>
        <v>#REF!</v>
      </c>
      <c r="J207" s="736" t="e">
        <f t="shared" si="131"/>
        <v>#REF!</v>
      </c>
      <c r="K207" s="736" t="e">
        <f t="shared" si="131"/>
        <v>#REF!</v>
      </c>
      <c r="L207" s="736" t="e">
        <f t="shared" si="131"/>
        <v>#REF!</v>
      </c>
      <c r="M207" s="736" t="e">
        <f t="shared" si="131"/>
        <v>#REF!</v>
      </c>
      <c r="N207" s="736" t="e">
        <f t="shared" si="131"/>
        <v>#REF!</v>
      </c>
      <c r="O207" s="736" t="e">
        <f t="shared" si="131"/>
        <v>#REF!</v>
      </c>
      <c r="P207" s="736" t="e">
        <f t="shared" si="131"/>
        <v>#REF!</v>
      </c>
      <c r="Q207" s="736" t="e">
        <f t="shared" si="131"/>
        <v>#REF!</v>
      </c>
      <c r="R207" s="736" t="e">
        <f t="shared" si="131"/>
        <v>#REF!</v>
      </c>
      <c r="S207" s="736" t="e">
        <f t="shared" si="131"/>
        <v>#REF!</v>
      </c>
      <c r="T207" s="736" t="e">
        <f t="shared" si="131"/>
        <v>#REF!</v>
      </c>
      <c r="U207" s="736" t="e">
        <f t="shared" si="131"/>
        <v>#REF!</v>
      </c>
      <c r="V207" s="736" t="e">
        <f t="shared" si="131"/>
        <v>#REF!</v>
      </c>
      <c r="W207" s="736" t="e">
        <f t="shared" si="131"/>
        <v>#REF!</v>
      </c>
      <c r="X207" s="736" t="e">
        <f t="shared" si="131"/>
        <v>#REF!</v>
      </c>
      <c r="Y207" s="736" t="e">
        <f t="shared" si="131"/>
        <v>#REF!</v>
      </c>
      <c r="Z207" s="736" t="e">
        <f t="shared" si="131"/>
        <v>#REF!</v>
      </c>
      <c r="AA207" s="736" t="e">
        <f t="shared" ref="AA207" si="132">AA196+AA200+AA204</f>
        <v>#REF!</v>
      </c>
    </row>
    <row r="208" spans="1:27" ht="15">
      <c r="A208" s="730" t="s">
        <v>661</v>
      </c>
      <c r="B208" s="736" t="e">
        <f>B197+B201</f>
        <v>#REF!</v>
      </c>
      <c r="C208" s="736" t="e">
        <f t="shared" ref="C208:Z208" si="133">C197+C201</f>
        <v>#REF!</v>
      </c>
      <c r="D208" s="736" t="e">
        <f t="shared" si="133"/>
        <v>#REF!</v>
      </c>
      <c r="E208" s="736" t="e">
        <f t="shared" si="133"/>
        <v>#REF!</v>
      </c>
      <c r="F208" s="736" t="e">
        <f t="shared" si="133"/>
        <v>#REF!</v>
      </c>
      <c r="G208" s="736" t="e">
        <f t="shared" si="133"/>
        <v>#REF!</v>
      </c>
      <c r="H208" s="736" t="e">
        <f t="shared" si="133"/>
        <v>#REF!</v>
      </c>
      <c r="I208" s="736" t="e">
        <f t="shared" si="133"/>
        <v>#REF!</v>
      </c>
      <c r="J208" s="736" t="e">
        <f t="shared" si="133"/>
        <v>#REF!</v>
      </c>
      <c r="K208" s="736" t="e">
        <f t="shared" si="133"/>
        <v>#REF!</v>
      </c>
      <c r="L208" s="736" t="e">
        <f t="shared" si="133"/>
        <v>#REF!</v>
      </c>
      <c r="M208" s="736" t="e">
        <f t="shared" si="133"/>
        <v>#REF!</v>
      </c>
      <c r="N208" s="736" t="e">
        <f t="shared" si="133"/>
        <v>#REF!</v>
      </c>
      <c r="O208" s="736" t="e">
        <f t="shared" si="133"/>
        <v>#REF!</v>
      </c>
      <c r="P208" s="736" t="e">
        <f t="shared" si="133"/>
        <v>#REF!</v>
      </c>
      <c r="Q208" s="736" t="e">
        <f t="shared" si="133"/>
        <v>#REF!</v>
      </c>
      <c r="R208" s="736" t="e">
        <f t="shared" si="133"/>
        <v>#REF!</v>
      </c>
      <c r="S208" s="736" t="e">
        <f t="shared" si="133"/>
        <v>#REF!</v>
      </c>
      <c r="T208" s="736" t="e">
        <f t="shared" si="133"/>
        <v>#REF!</v>
      </c>
      <c r="U208" s="736" t="e">
        <f t="shared" si="133"/>
        <v>#REF!</v>
      </c>
      <c r="V208" s="736" t="e">
        <f t="shared" si="133"/>
        <v>#REF!</v>
      </c>
      <c r="W208" s="736" t="e">
        <f t="shared" si="133"/>
        <v>#REF!</v>
      </c>
      <c r="X208" s="736" t="e">
        <f t="shared" si="133"/>
        <v>#REF!</v>
      </c>
      <c r="Y208" s="736" t="e">
        <f t="shared" si="133"/>
        <v>#REF!</v>
      </c>
      <c r="Z208" s="736" t="e">
        <f t="shared" si="133"/>
        <v>#REF!</v>
      </c>
      <c r="AA208" s="736" t="e">
        <f t="shared" ref="AA208" si="134">AA197+AA201</f>
        <v>#REF!</v>
      </c>
    </row>
    <row r="209" spans="1:27">
      <c r="A209" s="732" t="s">
        <v>671</v>
      </c>
      <c r="B209" s="747" t="e">
        <f>B207+B208</f>
        <v>#REF!</v>
      </c>
      <c r="C209" s="747" t="e">
        <f t="shared" ref="C209:Z209" si="135">C207+C208</f>
        <v>#REF!</v>
      </c>
      <c r="D209" s="747" t="e">
        <f t="shared" si="135"/>
        <v>#REF!</v>
      </c>
      <c r="E209" s="747" t="e">
        <f t="shared" si="135"/>
        <v>#REF!</v>
      </c>
      <c r="F209" s="747" t="e">
        <f t="shared" si="135"/>
        <v>#REF!</v>
      </c>
      <c r="G209" s="747" t="e">
        <f t="shared" si="135"/>
        <v>#REF!</v>
      </c>
      <c r="H209" s="747" t="e">
        <f t="shared" si="135"/>
        <v>#REF!</v>
      </c>
      <c r="I209" s="747" t="e">
        <f t="shared" si="135"/>
        <v>#REF!</v>
      </c>
      <c r="J209" s="747" t="e">
        <f t="shared" si="135"/>
        <v>#REF!</v>
      </c>
      <c r="K209" s="747" t="e">
        <f t="shared" si="135"/>
        <v>#REF!</v>
      </c>
      <c r="L209" s="747" t="e">
        <f t="shared" si="135"/>
        <v>#REF!</v>
      </c>
      <c r="M209" s="747" t="e">
        <f t="shared" si="135"/>
        <v>#REF!</v>
      </c>
      <c r="N209" s="747" t="e">
        <f t="shared" si="135"/>
        <v>#REF!</v>
      </c>
      <c r="O209" s="747" t="e">
        <f t="shared" si="135"/>
        <v>#REF!</v>
      </c>
      <c r="P209" s="747" t="e">
        <f t="shared" si="135"/>
        <v>#REF!</v>
      </c>
      <c r="Q209" s="747" t="e">
        <f t="shared" si="135"/>
        <v>#REF!</v>
      </c>
      <c r="R209" s="747" t="e">
        <f t="shared" si="135"/>
        <v>#REF!</v>
      </c>
      <c r="S209" s="747" t="e">
        <f t="shared" si="135"/>
        <v>#REF!</v>
      </c>
      <c r="T209" s="747" t="e">
        <f t="shared" si="135"/>
        <v>#REF!</v>
      </c>
      <c r="U209" s="747" t="e">
        <f t="shared" si="135"/>
        <v>#REF!</v>
      </c>
      <c r="V209" s="747" t="e">
        <f t="shared" si="135"/>
        <v>#REF!</v>
      </c>
      <c r="W209" s="747" t="e">
        <f t="shared" si="135"/>
        <v>#REF!</v>
      </c>
      <c r="X209" s="747" t="e">
        <f t="shared" si="135"/>
        <v>#REF!</v>
      </c>
      <c r="Y209" s="747" t="e">
        <f t="shared" si="135"/>
        <v>#REF!</v>
      </c>
      <c r="Z209" s="747" t="e">
        <f t="shared" si="135"/>
        <v>#REF!</v>
      </c>
      <c r="AA209" s="747" t="e">
        <f t="shared" ref="AA209" si="136">AA207+AA208</f>
        <v>#REF!</v>
      </c>
    </row>
    <row r="210" spans="1:27" ht="15">
      <c r="B210" s="736"/>
      <c r="C210" s="736"/>
      <c r="D210" s="736"/>
      <c r="E210" s="736"/>
      <c r="F210" s="736"/>
      <c r="G210" s="736"/>
      <c r="H210" s="736"/>
      <c r="I210" s="736"/>
      <c r="J210" s="736"/>
      <c r="K210" s="736"/>
      <c r="L210" s="736"/>
      <c r="M210" s="736"/>
      <c r="N210" s="736"/>
      <c r="O210" s="736"/>
      <c r="P210" s="736"/>
      <c r="Q210" s="736"/>
      <c r="R210" s="736"/>
      <c r="S210" s="736"/>
      <c r="T210" s="736"/>
      <c r="U210" s="736"/>
      <c r="V210" s="736"/>
      <c r="W210" s="736"/>
      <c r="X210" s="736"/>
      <c r="Y210" s="736"/>
      <c r="Z210" s="736"/>
      <c r="AA210" s="736"/>
    </row>
    <row r="211" spans="1:27" ht="15">
      <c r="A211" s="730" t="s">
        <v>672</v>
      </c>
      <c r="B211" s="742" t="e">
        <f>#REF!/$B$6</f>
        <v>#REF!</v>
      </c>
      <c r="C211" s="742" t="e">
        <f>#REF!/$B$6</f>
        <v>#REF!</v>
      </c>
      <c r="D211" s="742" t="e">
        <f>#REF!/$B$6</f>
        <v>#REF!</v>
      </c>
      <c r="E211" s="742" t="e">
        <f>#REF!/$B$6</f>
        <v>#REF!</v>
      </c>
      <c r="F211" s="742" t="e">
        <f>#REF!/$B$6</f>
        <v>#REF!</v>
      </c>
      <c r="G211" s="742" t="e">
        <f>#REF!/$B$6</f>
        <v>#REF!</v>
      </c>
      <c r="H211" s="742" t="e">
        <f>#REF!/$B$6</f>
        <v>#REF!</v>
      </c>
      <c r="I211" s="742" t="e">
        <f>#REF!/$B$6</f>
        <v>#REF!</v>
      </c>
      <c r="J211" s="742" t="e">
        <f>#REF!/$B$6</f>
        <v>#REF!</v>
      </c>
      <c r="K211" s="742" t="e">
        <f>#REF!/$B$6</f>
        <v>#REF!</v>
      </c>
      <c r="L211" s="742" t="e">
        <f>#REF!/$B$6</f>
        <v>#REF!</v>
      </c>
      <c r="M211" s="742" t="e">
        <f>#REF!/$B$6</f>
        <v>#REF!</v>
      </c>
      <c r="N211" s="742" t="e">
        <f>#REF!/$B$6</f>
        <v>#REF!</v>
      </c>
      <c r="O211" s="742" t="e">
        <f>#REF!/$B$6</f>
        <v>#REF!</v>
      </c>
      <c r="P211" s="742" t="e">
        <f>#REF!/$B$6</f>
        <v>#REF!</v>
      </c>
      <c r="Q211" s="742" t="e">
        <f>#REF!/$B$6</f>
        <v>#REF!</v>
      </c>
      <c r="R211" s="742" t="e">
        <f>#REF!/$B$6</f>
        <v>#REF!</v>
      </c>
      <c r="S211" s="742" t="e">
        <f>#REF!/$B$6</f>
        <v>#REF!</v>
      </c>
      <c r="T211" s="742" t="e">
        <f>#REF!/$B$6</f>
        <v>#REF!</v>
      </c>
      <c r="U211" s="742" t="e">
        <f>#REF!/$B$6</f>
        <v>#REF!</v>
      </c>
      <c r="V211" s="742" t="e">
        <f>#REF!/$B$6</f>
        <v>#REF!</v>
      </c>
      <c r="W211" s="742" t="e">
        <f>#REF!/$B$6</f>
        <v>#REF!</v>
      </c>
      <c r="X211" s="742" t="e">
        <f>#REF!/$B$6</f>
        <v>#REF!</v>
      </c>
      <c r="Y211" s="742" t="e">
        <f>#REF!/$B$6</f>
        <v>#REF!</v>
      </c>
      <c r="Z211" s="742" t="e">
        <f>#REF!/$B$6</f>
        <v>#REF!</v>
      </c>
      <c r="AA211" s="742" t="e">
        <f>#REF!/$B$6</f>
        <v>#REF!</v>
      </c>
    </row>
    <row r="212" spans="1:27" ht="15">
      <c r="A212" s="730" t="s">
        <v>673</v>
      </c>
      <c r="B212" s="742" t="e">
        <f>#REF!/$B$6</f>
        <v>#REF!</v>
      </c>
      <c r="C212" s="742" t="e">
        <f>#REF!/$B$6</f>
        <v>#REF!</v>
      </c>
      <c r="D212" s="742" t="e">
        <f>#REF!/$B$6</f>
        <v>#REF!</v>
      </c>
      <c r="E212" s="742" t="e">
        <f>#REF!/$B$6</f>
        <v>#REF!</v>
      </c>
      <c r="F212" s="742" t="e">
        <f>#REF!/$B$6</f>
        <v>#REF!</v>
      </c>
      <c r="G212" s="742" t="e">
        <f>#REF!/$B$6</f>
        <v>#REF!</v>
      </c>
      <c r="H212" s="742" t="e">
        <f>#REF!/$B$6</f>
        <v>#REF!</v>
      </c>
      <c r="I212" s="742" t="e">
        <f>#REF!/$B$6</f>
        <v>#REF!</v>
      </c>
      <c r="J212" s="742" t="e">
        <f>#REF!/$B$6</f>
        <v>#REF!</v>
      </c>
      <c r="K212" s="742" t="e">
        <f>#REF!/$B$6</f>
        <v>#REF!</v>
      </c>
      <c r="L212" s="742" t="e">
        <f>#REF!/$B$6</f>
        <v>#REF!</v>
      </c>
      <c r="M212" s="742" t="e">
        <f>#REF!/$B$6</f>
        <v>#REF!</v>
      </c>
      <c r="N212" s="742" t="e">
        <f>#REF!/$B$6</f>
        <v>#REF!</v>
      </c>
      <c r="O212" s="742" t="e">
        <f>#REF!/$B$6</f>
        <v>#REF!</v>
      </c>
      <c r="P212" s="742" t="e">
        <f>#REF!/$B$6</f>
        <v>#REF!</v>
      </c>
      <c r="Q212" s="742" t="e">
        <f>#REF!/$B$6</f>
        <v>#REF!</v>
      </c>
      <c r="R212" s="742" t="e">
        <f>#REF!/$B$6</f>
        <v>#REF!</v>
      </c>
      <c r="S212" s="742" t="e">
        <f>#REF!/$B$6</f>
        <v>#REF!</v>
      </c>
      <c r="T212" s="742" t="e">
        <f>#REF!/$B$6</f>
        <v>#REF!</v>
      </c>
      <c r="U212" s="742" t="e">
        <f>#REF!/$B$6</f>
        <v>#REF!</v>
      </c>
      <c r="V212" s="742" t="e">
        <f>#REF!/$B$6</f>
        <v>#REF!</v>
      </c>
      <c r="W212" s="742" t="e">
        <f>#REF!/$B$6</f>
        <v>#REF!</v>
      </c>
      <c r="X212" s="742" t="e">
        <f>#REF!/$B$6</f>
        <v>#REF!</v>
      </c>
      <c r="Y212" s="742" t="e">
        <f>#REF!/$B$6</f>
        <v>#REF!</v>
      </c>
      <c r="Z212" s="742" t="e">
        <f>#REF!/$B$6</f>
        <v>#REF!</v>
      </c>
      <c r="AA212" s="742" t="e">
        <f>#REF!/$B$6</f>
        <v>#REF!</v>
      </c>
    </row>
    <row r="213" spans="1:27">
      <c r="A213" s="732" t="s">
        <v>669</v>
      </c>
      <c r="B213" s="745" t="e">
        <f>#REF!/$B$6</f>
        <v>#REF!</v>
      </c>
      <c r="C213" s="745" t="e">
        <f>#REF!/$B$6</f>
        <v>#REF!</v>
      </c>
      <c r="D213" s="745" t="e">
        <f>#REF!/$B$6</f>
        <v>#REF!</v>
      </c>
      <c r="E213" s="745" t="e">
        <f>#REF!/$B$6</f>
        <v>#REF!</v>
      </c>
      <c r="F213" s="745" t="e">
        <f>#REF!/$B$6</f>
        <v>#REF!</v>
      </c>
      <c r="G213" s="745" t="e">
        <f>#REF!/$B$6</f>
        <v>#REF!</v>
      </c>
      <c r="H213" s="745" t="e">
        <f>#REF!/$B$6</f>
        <v>#REF!</v>
      </c>
      <c r="I213" s="745" t="e">
        <f>#REF!/$B$6</f>
        <v>#REF!</v>
      </c>
      <c r="J213" s="745" t="e">
        <f>#REF!/$B$6</f>
        <v>#REF!</v>
      </c>
      <c r="K213" s="745" t="e">
        <f>#REF!/$B$6</f>
        <v>#REF!</v>
      </c>
      <c r="L213" s="745" t="e">
        <f>#REF!/$B$6</f>
        <v>#REF!</v>
      </c>
      <c r="M213" s="745" t="e">
        <f>#REF!/$B$6</f>
        <v>#REF!</v>
      </c>
      <c r="N213" s="745" t="e">
        <f>#REF!/$B$6</f>
        <v>#REF!</v>
      </c>
      <c r="O213" s="745" t="e">
        <f>#REF!/$B$6</f>
        <v>#REF!</v>
      </c>
      <c r="P213" s="745" t="e">
        <f>#REF!/$B$6</f>
        <v>#REF!</v>
      </c>
      <c r="Q213" s="745" t="e">
        <f>#REF!/$B$6</f>
        <v>#REF!</v>
      </c>
      <c r="R213" s="745" t="e">
        <f>#REF!/$B$6</f>
        <v>#REF!</v>
      </c>
      <c r="S213" s="745" t="e">
        <f>#REF!/$B$6</f>
        <v>#REF!</v>
      </c>
      <c r="T213" s="745" t="e">
        <f>#REF!/$B$6</f>
        <v>#REF!</v>
      </c>
      <c r="U213" s="745" t="e">
        <f>#REF!/$B$6</f>
        <v>#REF!</v>
      </c>
      <c r="V213" s="745" t="e">
        <f>#REF!/$B$6</f>
        <v>#REF!</v>
      </c>
      <c r="W213" s="745" t="e">
        <f>#REF!/$B$6</f>
        <v>#REF!</v>
      </c>
      <c r="X213" s="745" t="e">
        <f>#REF!/$B$6</f>
        <v>#REF!</v>
      </c>
      <c r="Y213" s="745" t="e">
        <f>#REF!/$B$6</f>
        <v>#REF!</v>
      </c>
      <c r="Z213" s="745" t="e">
        <f>#REF!/$B$6</f>
        <v>#REF!</v>
      </c>
      <c r="AA213" s="745" t="e">
        <f>#REF!/$B$6</f>
        <v>#REF!</v>
      </c>
    </row>
    <row r="214" spans="1:27" ht="15">
      <c r="B214" s="736"/>
      <c r="C214" s="736"/>
      <c r="D214" s="736"/>
      <c r="E214" s="736"/>
      <c r="F214" s="736"/>
      <c r="G214" s="736"/>
      <c r="H214" s="736"/>
      <c r="I214" s="736"/>
      <c r="J214" s="736"/>
      <c r="K214" s="736"/>
      <c r="L214" s="736"/>
      <c r="M214" s="736"/>
      <c r="N214" s="736"/>
      <c r="O214" s="736"/>
      <c r="P214" s="736"/>
      <c r="Q214" s="736"/>
      <c r="R214" s="736"/>
      <c r="S214" s="736"/>
      <c r="T214" s="736"/>
      <c r="U214" s="736"/>
      <c r="V214" s="736"/>
      <c r="W214" s="736"/>
      <c r="X214" s="736"/>
      <c r="Y214" s="736"/>
      <c r="Z214" s="736"/>
      <c r="AA214" s="736"/>
    </row>
    <row r="215" spans="1:27" ht="15">
      <c r="A215" s="730" t="s">
        <v>674</v>
      </c>
      <c r="B215" s="742" t="e">
        <f>#REF!/$B$6</f>
        <v>#REF!</v>
      </c>
      <c r="C215" s="742" t="e">
        <f>#REF!/$B$6</f>
        <v>#REF!</v>
      </c>
      <c r="D215" s="742" t="e">
        <f>#REF!/$B$6</f>
        <v>#REF!</v>
      </c>
      <c r="E215" s="742" t="e">
        <f>#REF!/$B$6</f>
        <v>#REF!</v>
      </c>
      <c r="F215" s="742" t="e">
        <f>#REF!/$B$6</f>
        <v>#REF!</v>
      </c>
      <c r="G215" s="742" t="e">
        <f>#REF!/$B$6</f>
        <v>#REF!</v>
      </c>
      <c r="H215" s="742" t="e">
        <f>#REF!/$B$6</f>
        <v>#REF!</v>
      </c>
      <c r="I215" s="742" t="e">
        <f>#REF!/$B$6</f>
        <v>#REF!</v>
      </c>
      <c r="J215" s="742" t="e">
        <f>#REF!/$B$6</f>
        <v>#REF!</v>
      </c>
      <c r="K215" s="742" t="e">
        <f>#REF!/$B$6</f>
        <v>#REF!</v>
      </c>
      <c r="L215" s="742" t="e">
        <f>#REF!/$B$6</f>
        <v>#REF!</v>
      </c>
      <c r="M215" s="742" t="e">
        <f>#REF!/$B$6</f>
        <v>#REF!</v>
      </c>
      <c r="N215" s="742" t="e">
        <f>#REF!/$B$6</f>
        <v>#REF!</v>
      </c>
      <c r="O215" s="742" t="e">
        <f>#REF!/$B$6</f>
        <v>#REF!</v>
      </c>
      <c r="P215" s="742" t="e">
        <f>#REF!/$B$6</f>
        <v>#REF!</v>
      </c>
      <c r="Q215" s="742" t="e">
        <f>#REF!/$B$6</f>
        <v>#REF!</v>
      </c>
      <c r="R215" s="742" t="e">
        <f>#REF!/$B$6</f>
        <v>#REF!</v>
      </c>
      <c r="S215" s="742" t="e">
        <f>#REF!/$B$6</f>
        <v>#REF!</v>
      </c>
      <c r="T215" s="742" t="e">
        <f>#REF!/$B$6</f>
        <v>#REF!</v>
      </c>
      <c r="U215" s="742" t="e">
        <f>#REF!/$B$6</f>
        <v>#REF!</v>
      </c>
      <c r="V215" s="742" t="e">
        <f>#REF!/$B$6</f>
        <v>#REF!</v>
      </c>
      <c r="W215" s="742" t="e">
        <f>#REF!/$B$6</f>
        <v>#REF!</v>
      </c>
      <c r="X215" s="742" t="e">
        <f>#REF!/$B$6</f>
        <v>#REF!</v>
      </c>
      <c r="Y215" s="742" t="e">
        <f>#REF!/$B$6</f>
        <v>#REF!</v>
      </c>
      <c r="Z215" s="742" t="e">
        <f>#REF!/$B$6</f>
        <v>#REF!</v>
      </c>
      <c r="AA215" s="742" t="e">
        <f>#REF!/$B$6</f>
        <v>#REF!</v>
      </c>
    </row>
    <row r="216" spans="1:27" ht="15">
      <c r="A216" s="730" t="s">
        <v>675</v>
      </c>
      <c r="B216" s="742" t="e">
        <f>#REF!/$B$6</f>
        <v>#REF!</v>
      </c>
      <c r="C216" s="742" t="e">
        <f>#REF!/$B$6</f>
        <v>#REF!</v>
      </c>
      <c r="D216" s="742" t="e">
        <f>#REF!/$B$6</f>
        <v>#REF!</v>
      </c>
      <c r="E216" s="742" t="e">
        <f>#REF!/$B$6</f>
        <v>#REF!</v>
      </c>
      <c r="F216" s="742" t="e">
        <f>#REF!/$B$6</f>
        <v>#REF!</v>
      </c>
      <c r="G216" s="742" t="e">
        <f>#REF!/$B$6</f>
        <v>#REF!</v>
      </c>
      <c r="H216" s="742" t="e">
        <f>#REF!/$B$6</f>
        <v>#REF!</v>
      </c>
      <c r="I216" s="742" t="e">
        <f>#REF!/$B$6</f>
        <v>#REF!</v>
      </c>
      <c r="J216" s="742" t="e">
        <f>#REF!/$B$6</f>
        <v>#REF!</v>
      </c>
      <c r="K216" s="742" t="e">
        <f>#REF!/$B$6</f>
        <v>#REF!</v>
      </c>
      <c r="L216" s="742" t="e">
        <f>#REF!/$B$6</f>
        <v>#REF!</v>
      </c>
      <c r="M216" s="742" t="e">
        <f>#REF!/$B$6</f>
        <v>#REF!</v>
      </c>
      <c r="N216" s="742" t="e">
        <f>#REF!/$B$6</f>
        <v>#REF!</v>
      </c>
      <c r="O216" s="742" t="e">
        <f>#REF!/$B$6</f>
        <v>#REF!</v>
      </c>
      <c r="P216" s="742" t="e">
        <f>#REF!/$B$6</f>
        <v>#REF!</v>
      </c>
      <c r="Q216" s="742" t="e">
        <f>#REF!/$B$6</f>
        <v>#REF!</v>
      </c>
      <c r="R216" s="742" t="e">
        <f>#REF!/$B$6</f>
        <v>#REF!</v>
      </c>
      <c r="S216" s="742" t="e">
        <f>#REF!/$B$6</f>
        <v>#REF!</v>
      </c>
      <c r="T216" s="742" t="e">
        <f>#REF!/$B$6</f>
        <v>#REF!</v>
      </c>
      <c r="U216" s="742" t="e">
        <f>#REF!/$B$6</f>
        <v>#REF!</v>
      </c>
      <c r="V216" s="742" t="e">
        <f>#REF!/$B$6</f>
        <v>#REF!</v>
      </c>
      <c r="W216" s="742" t="e">
        <f>#REF!/$B$6</f>
        <v>#REF!</v>
      </c>
      <c r="X216" s="742" t="e">
        <f>#REF!/$B$6</f>
        <v>#REF!</v>
      </c>
      <c r="Y216" s="742" t="e">
        <f>#REF!/$B$6</f>
        <v>#REF!</v>
      </c>
      <c r="Z216" s="742" t="e">
        <f>#REF!/$B$6</f>
        <v>#REF!</v>
      </c>
      <c r="AA216" s="742" t="e">
        <f>#REF!/$B$6</f>
        <v>#REF!</v>
      </c>
    </row>
    <row r="217" spans="1:27">
      <c r="A217" s="732" t="s">
        <v>671</v>
      </c>
      <c r="B217" s="745" t="e">
        <f>#REF!/$B$6</f>
        <v>#REF!</v>
      </c>
      <c r="C217" s="745" t="e">
        <f>#REF!/$B$6</f>
        <v>#REF!</v>
      </c>
      <c r="D217" s="745" t="e">
        <f>#REF!/$B$6</f>
        <v>#REF!</v>
      </c>
      <c r="E217" s="745" t="e">
        <f>#REF!/$B$6</f>
        <v>#REF!</v>
      </c>
      <c r="F217" s="745" t="e">
        <f>#REF!/$B$6</f>
        <v>#REF!</v>
      </c>
      <c r="G217" s="745" t="e">
        <f>#REF!/$B$6</f>
        <v>#REF!</v>
      </c>
      <c r="H217" s="745" t="e">
        <f>#REF!/$B$6</f>
        <v>#REF!</v>
      </c>
      <c r="I217" s="745" t="e">
        <f>#REF!/$B$6</f>
        <v>#REF!</v>
      </c>
      <c r="J217" s="745" t="e">
        <f>#REF!/$B$6</f>
        <v>#REF!</v>
      </c>
      <c r="K217" s="745" t="e">
        <f>#REF!/$B$6</f>
        <v>#REF!</v>
      </c>
      <c r="L217" s="745" t="e">
        <f>#REF!/$B$6</f>
        <v>#REF!</v>
      </c>
      <c r="M217" s="745" t="e">
        <f>#REF!/$B$6</f>
        <v>#REF!</v>
      </c>
      <c r="N217" s="745" t="e">
        <f>#REF!/$B$6</f>
        <v>#REF!</v>
      </c>
      <c r="O217" s="745" t="e">
        <f>#REF!/$B$6</f>
        <v>#REF!</v>
      </c>
      <c r="P217" s="745" t="e">
        <f>#REF!/$B$6</f>
        <v>#REF!</v>
      </c>
      <c r="Q217" s="745" t="e">
        <f>#REF!/$B$6</f>
        <v>#REF!</v>
      </c>
      <c r="R217" s="745" t="e">
        <f>#REF!/$B$6</f>
        <v>#REF!</v>
      </c>
      <c r="S217" s="745" t="e">
        <f>#REF!/$B$6</f>
        <v>#REF!</v>
      </c>
      <c r="T217" s="745" t="e">
        <f>#REF!/$B$6</f>
        <v>#REF!</v>
      </c>
      <c r="U217" s="745" t="e">
        <f>#REF!/$B$6</f>
        <v>#REF!</v>
      </c>
      <c r="V217" s="745" t="e">
        <f>#REF!/$B$6</f>
        <v>#REF!</v>
      </c>
      <c r="W217" s="745" t="e">
        <f>#REF!/$B$6</f>
        <v>#REF!</v>
      </c>
      <c r="X217" s="745" t="e">
        <f>#REF!/$B$6</f>
        <v>#REF!</v>
      </c>
      <c r="Y217" s="745" t="e">
        <f>#REF!/$B$6</f>
        <v>#REF!</v>
      </c>
      <c r="Z217" s="745" t="e">
        <f>#REF!/$B$6</f>
        <v>#REF!</v>
      </c>
      <c r="AA217" s="745" t="e">
        <f>#REF!/$B$6</f>
        <v>#REF!</v>
      </c>
    </row>
    <row r="218" spans="1:27" ht="15">
      <c r="B218" s="736"/>
      <c r="C218" s="736"/>
      <c r="D218" s="736"/>
      <c r="E218" s="736"/>
      <c r="F218" s="736"/>
      <c r="G218" s="736"/>
      <c r="H218" s="736"/>
      <c r="I218" s="736"/>
      <c r="J218" s="736"/>
      <c r="K218" s="736"/>
      <c r="L218" s="736"/>
      <c r="M218" s="736"/>
      <c r="N218" s="736"/>
      <c r="O218" s="736"/>
      <c r="P218" s="736"/>
      <c r="Q218" s="736"/>
      <c r="R218" s="736"/>
      <c r="S218" s="736"/>
      <c r="T218" s="736"/>
      <c r="U218" s="736"/>
      <c r="V218" s="736"/>
      <c r="W218" s="736"/>
      <c r="X218" s="736"/>
      <c r="Y218" s="736"/>
      <c r="Z218" s="736"/>
      <c r="AA218" s="736"/>
    </row>
    <row r="219" spans="1:27" ht="15">
      <c r="A219" s="730" t="s">
        <v>676</v>
      </c>
      <c r="B219" s="742" t="e">
        <f>#REF!/$B$6</f>
        <v>#REF!</v>
      </c>
      <c r="C219" s="742" t="e">
        <f>#REF!/$B$6</f>
        <v>#REF!</v>
      </c>
      <c r="D219" s="742" t="e">
        <f>#REF!/$B$6</f>
        <v>#REF!</v>
      </c>
      <c r="E219" s="742" t="e">
        <f>#REF!/$B$6</f>
        <v>#REF!</v>
      </c>
      <c r="F219" s="742" t="e">
        <f>#REF!/$B$6</f>
        <v>#REF!</v>
      </c>
      <c r="G219" s="742" t="e">
        <f>#REF!/$B$6</f>
        <v>#REF!</v>
      </c>
      <c r="H219" s="742" t="e">
        <f>#REF!/$B$6</f>
        <v>#REF!</v>
      </c>
      <c r="I219" s="742" t="e">
        <f>#REF!/$B$6</f>
        <v>#REF!</v>
      </c>
      <c r="J219" s="742" t="e">
        <f>#REF!/$B$6</f>
        <v>#REF!</v>
      </c>
      <c r="K219" s="742" t="e">
        <f>#REF!/$B$6</f>
        <v>#REF!</v>
      </c>
      <c r="L219" s="742" t="e">
        <f>#REF!/$B$6</f>
        <v>#REF!</v>
      </c>
      <c r="M219" s="742" t="e">
        <f>#REF!/$B$6</f>
        <v>#REF!</v>
      </c>
      <c r="N219" s="742" t="e">
        <f>#REF!/$B$6</f>
        <v>#REF!</v>
      </c>
      <c r="O219" s="742" t="e">
        <f>#REF!/$B$6</f>
        <v>#REF!</v>
      </c>
      <c r="P219" s="742" t="e">
        <f>#REF!/$B$6</f>
        <v>#REF!</v>
      </c>
      <c r="Q219" s="742" t="e">
        <f>#REF!/$B$6</f>
        <v>#REF!</v>
      </c>
      <c r="R219" s="742" t="e">
        <f>#REF!/$B$6</f>
        <v>#REF!</v>
      </c>
      <c r="S219" s="742" t="e">
        <f>#REF!/$B$6</f>
        <v>#REF!</v>
      </c>
      <c r="T219" s="742" t="e">
        <f>#REF!/$B$6</f>
        <v>#REF!</v>
      </c>
      <c r="U219" s="742" t="e">
        <f>#REF!/$B$6</f>
        <v>#REF!</v>
      </c>
      <c r="V219" s="742" t="e">
        <f>#REF!/$B$6</f>
        <v>#REF!</v>
      </c>
      <c r="W219" s="742" t="e">
        <f>#REF!/$B$6</f>
        <v>#REF!</v>
      </c>
      <c r="X219" s="742" t="e">
        <f>#REF!/$B$6</f>
        <v>#REF!</v>
      </c>
      <c r="Y219" s="742" t="e">
        <f>#REF!/$B$6</f>
        <v>#REF!</v>
      </c>
      <c r="Z219" s="742" t="e">
        <f>#REF!/$B$6</f>
        <v>#REF!</v>
      </c>
      <c r="AA219" s="742" t="e">
        <f>#REF!/$B$6</f>
        <v>#REF!</v>
      </c>
    </row>
    <row r="230" spans="1:27">
      <c r="A230" s="735" t="s">
        <v>593</v>
      </c>
      <c r="B230" s="735">
        <f>B$12</f>
        <v>2003</v>
      </c>
      <c r="C230" s="735">
        <f t="shared" ref="C230:AA230" si="137">C$12</f>
        <v>2004</v>
      </c>
      <c r="D230" s="735">
        <f t="shared" si="137"/>
        <v>2005</v>
      </c>
      <c r="E230" s="735">
        <f t="shared" si="137"/>
        <v>2006</v>
      </c>
      <c r="F230" s="735">
        <f t="shared" si="137"/>
        <v>2007</v>
      </c>
      <c r="G230" s="735">
        <f t="shared" si="137"/>
        <v>2008</v>
      </c>
      <c r="H230" s="735">
        <f t="shared" si="137"/>
        <v>2009</v>
      </c>
      <c r="I230" s="735">
        <f t="shared" si="137"/>
        <v>2010</v>
      </c>
      <c r="J230" s="735">
        <f t="shared" si="137"/>
        <v>2011</v>
      </c>
      <c r="K230" s="735">
        <f t="shared" si="137"/>
        <v>2012</v>
      </c>
      <c r="L230" s="735">
        <f t="shared" si="137"/>
        <v>2013</v>
      </c>
      <c r="M230" s="735">
        <f t="shared" si="137"/>
        <v>2014</v>
      </c>
      <c r="N230" s="735">
        <f t="shared" si="137"/>
        <v>2015</v>
      </c>
      <c r="O230" s="735">
        <f t="shared" si="137"/>
        <v>2016</v>
      </c>
      <c r="P230" s="735">
        <f t="shared" si="137"/>
        <v>2017</v>
      </c>
      <c r="Q230" s="735">
        <f t="shared" si="137"/>
        <v>2018</v>
      </c>
      <c r="R230" s="735">
        <f t="shared" si="137"/>
        <v>2019</v>
      </c>
      <c r="S230" s="735">
        <f t="shared" si="137"/>
        <v>2020</v>
      </c>
      <c r="T230" s="735">
        <f t="shared" si="137"/>
        <v>2021</v>
      </c>
      <c r="U230" s="735">
        <f t="shared" si="137"/>
        <v>2022</v>
      </c>
      <c r="V230" s="735">
        <f t="shared" si="137"/>
        <v>2023</v>
      </c>
      <c r="W230" s="735">
        <f t="shared" si="137"/>
        <v>2024</v>
      </c>
      <c r="X230" s="735">
        <f t="shared" si="137"/>
        <v>2025</v>
      </c>
      <c r="Y230" s="735">
        <f t="shared" si="137"/>
        <v>2026</v>
      </c>
      <c r="Z230" s="735">
        <f t="shared" si="137"/>
        <v>2027</v>
      </c>
      <c r="AA230" s="735">
        <f t="shared" si="137"/>
        <v>2028</v>
      </c>
    </row>
    <row r="233" spans="1:27" ht="15">
      <c r="A233" s="730" t="s">
        <v>677</v>
      </c>
      <c r="B233" s="742" t="e">
        <f>#REF!/$B$6</f>
        <v>#REF!</v>
      </c>
      <c r="C233" s="742" t="e">
        <f>#REF!/$B$6</f>
        <v>#REF!</v>
      </c>
      <c r="D233" s="742" t="e">
        <f>#REF!/$B$6</f>
        <v>#REF!</v>
      </c>
      <c r="E233" s="742" t="e">
        <f>#REF!/$B$6</f>
        <v>#REF!</v>
      </c>
      <c r="F233" s="742" t="e">
        <f>#REF!/$B$6</f>
        <v>#REF!</v>
      </c>
      <c r="G233" s="742" t="e">
        <f>#REF!/$B$6</f>
        <v>#REF!</v>
      </c>
      <c r="H233" s="742" t="e">
        <f>#REF!/$B$6</f>
        <v>#REF!</v>
      </c>
      <c r="I233" s="742" t="e">
        <f>#REF!/$B$6</f>
        <v>#REF!</v>
      </c>
      <c r="J233" s="742" t="e">
        <f>#REF!/$B$6</f>
        <v>#REF!</v>
      </c>
      <c r="K233" s="742" t="e">
        <f>#REF!/$B$6</f>
        <v>#REF!</v>
      </c>
      <c r="L233" s="742" t="e">
        <f>#REF!/$B$6</f>
        <v>#REF!</v>
      </c>
      <c r="M233" s="742" t="e">
        <f>#REF!/$B$6</f>
        <v>#REF!</v>
      </c>
      <c r="N233" s="742" t="e">
        <f>#REF!/$B$6</f>
        <v>#REF!</v>
      </c>
      <c r="O233" s="742" t="e">
        <f>#REF!/$B$6</f>
        <v>#REF!</v>
      </c>
      <c r="P233" s="742" t="e">
        <f>#REF!/$B$6</f>
        <v>#REF!</v>
      </c>
      <c r="Q233" s="742" t="e">
        <f>#REF!/$B$6</f>
        <v>#REF!</v>
      </c>
      <c r="R233" s="742" t="e">
        <f>#REF!/$B$6</f>
        <v>#REF!</v>
      </c>
      <c r="S233" s="742" t="e">
        <f>#REF!/$B$6</f>
        <v>#REF!</v>
      </c>
      <c r="T233" s="742" t="e">
        <f>#REF!/$B$6</f>
        <v>#REF!</v>
      </c>
      <c r="U233" s="742" t="e">
        <f>#REF!/$B$6</f>
        <v>#REF!</v>
      </c>
      <c r="V233" s="742" t="e">
        <f>#REF!/$B$6</f>
        <v>#REF!</v>
      </c>
      <c r="W233" s="742" t="e">
        <f>#REF!/$B$6</f>
        <v>#REF!</v>
      </c>
      <c r="X233" s="742" t="e">
        <f>#REF!/$B$6</f>
        <v>#REF!</v>
      </c>
      <c r="Y233" s="742" t="e">
        <f>#REF!/$B$6</f>
        <v>#REF!</v>
      </c>
      <c r="Z233" s="742" t="e">
        <f>#REF!/$B$6</f>
        <v>#REF!</v>
      </c>
      <c r="AA233" s="742" t="e">
        <f>#REF!/$B$6</f>
        <v>#REF!</v>
      </c>
    </row>
    <row r="234" spans="1:27" ht="15">
      <c r="A234" s="730" t="s">
        <v>678</v>
      </c>
      <c r="B234" s="742" t="e">
        <f>#REF!/$B$6</f>
        <v>#REF!</v>
      </c>
      <c r="C234" s="742" t="e">
        <f>#REF!/$B$6</f>
        <v>#REF!</v>
      </c>
      <c r="D234" s="742" t="e">
        <f>#REF!/$B$6</f>
        <v>#REF!</v>
      </c>
      <c r="E234" s="742" t="e">
        <f>#REF!/$B$6</f>
        <v>#REF!</v>
      </c>
      <c r="F234" s="742" t="e">
        <f>#REF!/$B$6</f>
        <v>#REF!</v>
      </c>
      <c r="G234" s="742" t="e">
        <f>#REF!/$B$6</f>
        <v>#REF!</v>
      </c>
      <c r="H234" s="742" t="e">
        <f>#REF!/$B$6</f>
        <v>#REF!</v>
      </c>
      <c r="I234" s="742" t="e">
        <f>#REF!/$B$6</f>
        <v>#REF!</v>
      </c>
      <c r="J234" s="742" t="e">
        <f>#REF!/$B$6</f>
        <v>#REF!</v>
      </c>
      <c r="K234" s="742" t="e">
        <f>#REF!/$B$6</f>
        <v>#REF!</v>
      </c>
      <c r="L234" s="742" t="e">
        <f>#REF!/$B$6</f>
        <v>#REF!</v>
      </c>
      <c r="M234" s="742" t="e">
        <f>#REF!/$B$6</f>
        <v>#REF!</v>
      </c>
      <c r="N234" s="742" t="e">
        <f>#REF!/$B$6</f>
        <v>#REF!</v>
      </c>
      <c r="O234" s="742" t="e">
        <f>#REF!/$B$6</f>
        <v>#REF!</v>
      </c>
      <c r="P234" s="742" t="e">
        <f>#REF!/$B$6</f>
        <v>#REF!</v>
      </c>
      <c r="Q234" s="742" t="e">
        <f>#REF!/$B$6</f>
        <v>#REF!</v>
      </c>
      <c r="R234" s="742" t="e">
        <f>#REF!/$B$6</f>
        <v>#REF!</v>
      </c>
      <c r="S234" s="742" t="e">
        <f>#REF!/$B$6</f>
        <v>#REF!</v>
      </c>
      <c r="T234" s="742" t="e">
        <f>#REF!/$B$6</f>
        <v>#REF!</v>
      </c>
      <c r="U234" s="742" t="e">
        <f>#REF!/$B$6</f>
        <v>#REF!</v>
      </c>
      <c r="V234" s="742" t="e">
        <f>#REF!/$B$6</f>
        <v>#REF!</v>
      </c>
      <c r="W234" s="742" t="e">
        <f>#REF!/$B$6</f>
        <v>#REF!</v>
      </c>
      <c r="X234" s="742" t="e">
        <f>#REF!/$B$6</f>
        <v>#REF!</v>
      </c>
      <c r="Y234" s="742" t="e">
        <f>#REF!/$B$6</f>
        <v>#REF!</v>
      </c>
      <c r="Z234" s="742" t="e">
        <f>#REF!/$B$6</f>
        <v>#REF!</v>
      </c>
      <c r="AA234" s="742" t="e">
        <f>#REF!/$B$6</f>
        <v>#REF!</v>
      </c>
    </row>
    <row r="235" spans="1:27">
      <c r="A235" s="732" t="s">
        <v>679</v>
      </c>
      <c r="B235" s="745" t="e">
        <f>#REF!/$B$6</f>
        <v>#REF!</v>
      </c>
      <c r="C235" s="745" t="e">
        <f>#REF!/$B$6</f>
        <v>#REF!</v>
      </c>
      <c r="D235" s="745" t="e">
        <f>#REF!/$B$6</f>
        <v>#REF!</v>
      </c>
      <c r="E235" s="745" t="e">
        <f>#REF!/$B$6</f>
        <v>#REF!</v>
      </c>
      <c r="F235" s="745" t="e">
        <f>#REF!/$B$6</f>
        <v>#REF!</v>
      </c>
      <c r="G235" s="745" t="e">
        <f>#REF!/$B$6</f>
        <v>#REF!</v>
      </c>
      <c r="H235" s="745" t="e">
        <f>#REF!/$B$6</f>
        <v>#REF!</v>
      </c>
      <c r="I235" s="745" t="e">
        <f>#REF!/$B$6</f>
        <v>#REF!</v>
      </c>
      <c r="J235" s="745" t="e">
        <f>#REF!/$B$6</f>
        <v>#REF!</v>
      </c>
      <c r="K235" s="745" t="e">
        <f>#REF!/$B$6</f>
        <v>#REF!</v>
      </c>
      <c r="L235" s="745" t="e">
        <f>#REF!/$B$6</f>
        <v>#REF!</v>
      </c>
      <c r="M235" s="745" t="e">
        <f>#REF!/$B$6</f>
        <v>#REF!</v>
      </c>
      <c r="N235" s="745" t="e">
        <f>#REF!/$B$6</f>
        <v>#REF!</v>
      </c>
      <c r="O235" s="745" t="e">
        <f>#REF!/$B$6</f>
        <v>#REF!</v>
      </c>
      <c r="P235" s="745" t="e">
        <f>#REF!/$B$6</f>
        <v>#REF!</v>
      </c>
      <c r="Q235" s="745" t="e">
        <f>#REF!/$B$6</f>
        <v>#REF!</v>
      </c>
      <c r="R235" s="745" t="e">
        <f>#REF!/$B$6</f>
        <v>#REF!</v>
      </c>
      <c r="S235" s="745" t="e">
        <f>#REF!/$B$6</f>
        <v>#REF!</v>
      </c>
      <c r="T235" s="745" t="e">
        <f>#REF!/$B$6</f>
        <v>#REF!</v>
      </c>
      <c r="U235" s="745" t="e">
        <f>#REF!/$B$6</f>
        <v>#REF!</v>
      </c>
      <c r="V235" s="745" t="e">
        <f>#REF!/$B$6</f>
        <v>#REF!</v>
      </c>
      <c r="W235" s="745" t="e">
        <f>#REF!/$B$6</f>
        <v>#REF!</v>
      </c>
      <c r="X235" s="745" t="e">
        <f>#REF!/$B$6</f>
        <v>#REF!</v>
      </c>
      <c r="Y235" s="745" t="e">
        <f>#REF!/$B$6</f>
        <v>#REF!</v>
      </c>
      <c r="Z235" s="745" t="e">
        <f>#REF!/$B$6</f>
        <v>#REF!</v>
      </c>
      <c r="AA235" s="745" t="e">
        <f>#REF!/$B$6</f>
        <v>#REF!</v>
      </c>
    </row>
    <row r="236" spans="1:27" ht="15">
      <c r="B236" s="736"/>
      <c r="C236" s="736"/>
      <c r="D236" s="736"/>
      <c r="E236" s="736"/>
      <c r="F236" s="736"/>
      <c r="G236" s="736"/>
      <c r="H236" s="736"/>
      <c r="I236" s="736"/>
      <c r="J236" s="736"/>
      <c r="K236" s="736"/>
      <c r="L236" s="736"/>
      <c r="M236" s="736"/>
      <c r="N236" s="736"/>
      <c r="O236" s="736"/>
      <c r="P236" s="736"/>
      <c r="Q236" s="736"/>
      <c r="R236" s="736"/>
      <c r="S236" s="736"/>
      <c r="T236" s="736"/>
      <c r="U236" s="736"/>
      <c r="V236" s="736"/>
      <c r="W236" s="736"/>
      <c r="X236" s="736"/>
      <c r="Y236" s="736"/>
      <c r="Z236" s="736"/>
      <c r="AA236" s="736"/>
    </row>
    <row r="237" spans="1:27" ht="15">
      <c r="A237" s="730" t="s">
        <v>680</v>
      </c>
      <c r="B237" s="742" t="e">
        <f>#REF!/$B$6</f>
        <v>#REF!</v>
      </c>
      <c r="C237" s="742" t="e">
        <f>#REF!/$B$6</f>
        <v>#REF!</v>
      </c>
      <c r="D237" s="742" t="e">
        <f>#REF!/$B$6</f>
        <v>#REF!</v>
      </c>
      <c r="E237" s="742" t="e">
        <f>#REF!/$B$6</f>
        <v>#REF!</v>
      </c>
      <c r="F237" s="742" t="e">
        <f>#REF!/$B$6</f>
        <v>#REF!</v>
      </c>
      <c r="G237" s="742" t="e">
        <f>#REF!/$B$6</f>
        <v>#REF!</v>
      </c>
      <c r="H237" s="742" t="e">
        <f>#REF!/$B$6</f>
        <v>#REF!</v>
      </c>
      <c r="I237" s="742" t="e">
        <f>#REF!/$B$6</f>
        <v>#REF!</v>
      </c>
      <c r="J237" s="742" t="e">
        <f>#REF!/$B$6</f>
        <v>#REF!</v>
      </c>
      <c r="K237" s="742" t="e">
        <f>#REF!/$B$6</f>
        <v>#REF!</v>
      </c>
      <c r="L237" s="742" t="e">
        <f>#REF!/$B$6</f>
        <v>#REF!</v>
      </c>
      <c r="M237" s="742" t="e">
        <f>#REF!/$B$6</f>
        <v>#REF!</v>
      </c>
      <c r="N237" s="742" t="e">
        <f>#REF!/$B$6</f>
        <v>#REF!</v>
      </c>
      <c r="O237" s="742" t="e">
        <f>#REF!/$B$6</f>
        <v>#REF!</v>
      </c>
      <c r="P237" s="742" t="e">
        <f>#REF!/$B$6</f>
        <v>#REF!</v>
      </c>
      <c r="Q237" s="742" t="e">
        <f>#REF!/$B$6</f>
        <v>#REF!</v>
      </c>
      <c r="R237" s="742" t="e">
        <f>#REF!/$B$6</f>
        <v>#REF!</v>
      </c>
      <c r="S237" s="742" t="e">
        <f>#REF!/$B$6</f>
        <v>#REF!</v>
      </c>
      <c r="T237" s="742" t="e">
        <f>#REF!/$B$6</f>
        <v>#REF!</v>
      </c>
      <c r="U237" s="742" t="e">
        <f>#REF!/$B$6</f>
        <v>#REF!</v>
      </c>
      <c r="V237" s="742" t="e">
        <f>#REF!/$B$6</f>
        <v>#REF!</v>
      </c>
      <c r="W237" s="742" t="e">
        <f>#REF!/$B$6</f>
        <v>#REF!</v>
      </c>
      <c r="X237" s="742" t="e">
        <f>#REF!/$B$6</f>
        <v>#REF!</v>
      </c>
      <c r="Y237" s="742" t="e">
        <f>#REF!/$B$6</f>
        <v>#REF!</v>
      </c>
      <c r="Z237" s="742" t="e">
        <f>#REF!/$B$6</f>
        <v>#REF!</v>
      </c>
      <c r="AA237" s="742" t="e">
        <f>#REF!/$B$6</f>
        <v>#REF!</v>
      </c>
    </row>
    <row r="238" spans="1:27" ht="15">
      <c r="A238" s="730" t="s">
        <v>658</v>
      </c>
      <c r="B238" s="742" t="e">
        <f>#REF!/$B$6</f>
        <v>#REF!</v>
      </c>
      <c r="C238" s="742" t="e">
        <f>#REF!/$B$6</f>
        <v>#REF!</v>
      </c>
      <c r="D238" s="742" t="e">
        <f>#REF!/$B$6</f>
        <v>#REF!</v>
      </c>
      <c r="E238" s="742" t="e">
        <f>#REF!/$B$6</f>
        <v>#REF!</v>
      </c>
      <c r="F238" s="742" t="e">
        <f>#REF!/$B$6</f>
        <v>#REF!</v>
      </c>
      <c r="G238" s="742" t="e">
        <f>#REF!/$B$6</f>
        <v>#REF!</v>
      </c>
      <c r="H238" s="742" t="e">
        <f>#REF!/$B$6</f>
        <v>#REF!</v>
      </c>
      <c r="I238" s="742" t="e">
        <f>#REF!/$B$6</f>
        <v>#REF!</v>
      </c>
      <c r="J238" s="742" t="e">
        <f>#REF!/$B$6</f>
        <v>#REF!</v>
      </c>
      <c r="K238" s="742" t="e">
        <f>#REF!/$B$6</f>
        <v>#REF!</v>
      </c>
      <c r="L238" s="742" t="e">
        <f>#REF!/$B$6</f>
        <v>#REF!</v>
      </c>
      <c r="M238" s="742" t="e">
        <f>#REF!/$B$6</f>
        <v>#REF!</v>
      </c>
      <c r="N238" s="742" t="e">
        <f>#REF!/$B$6</f>
        <v>#REF!</v>
      </c>
      <c r="O238" s="742" t="e">
        <f>#REF!/$B$6</f>
        <v>#REF!</v>
      </c>
      <c r="P238" s="742" t="e">
        <f>#REF!/$B$6</f>
        <v>#REF!</v>
      </c>
      <c r="Q238" s="742" t="e">
        <f>#REF!/$B$6</f>
        <v>#REF!</v>
      </c>
      <c r="R238" s="742" t="e">
        <f>#REF!/$B$6</f>
        <v>#REF!</v>
      </c>
      <c r="S238" s="742" t="e">
        <f>#REF!/$B$6</f>
        <v>#REF!</v>
      </c>
      <c r="T238" s="742" t="e">
        <f>#REF!/$B$6</f>
        <v>#REF!</v>
      </c>
      <c r="U238" s="742" t="e">
        <f>#REF!/$B$6</f>
        <v>#REF!</v>
      </c>
      <c r="V238" s="742" t="e">
        <f>#REF!/$B$6</f>
        <v>#REF!</v>
      </c>
      <c r="W238" s="742" t="e">
        <f>#REF!/$B$6</f>
        <v>#REF!</v>
      </c>
      <c r="X238" s="742" t="e">
        <f>#REF!/$B$6</f>
        <v>#REF!</v>
      </c>
      <c r="Y238" s="742" t="e">
        <f>#REF!/$B$6</f>
        <v>#REF!</v>
      </c>
      <c r="Z238" s="742" t="e">
        <f>#REF!/$B$6</f>
        <v>#REF!</v>
      </c>
      <c r="AA238" s="742" t="e">
        <f>#REF!/$B$6</f>
        <v>#REF!</v>
      </c>
    </row>
    <row r="239" spans="1:27">
      <c r="A239" s="732" t="s">
        <v>681</v>
      </c>
      <c r="B239" s="745" t="e">
        <f>#REF!/$B$6</f>
        <v>#REF!</v>
      </c>
      <c r="C239" s="745" t="e">
        <f>#REF!/$B$6</f>
        <v>#REF!</v>
      </c>
      <c r="D239" s="745" t="e">
        <f>#REF!/$B$6</f>
        <v>#REF!</v>
      </c>
      <c r="E239" s="745" t="e">
        <f>#REF!/$B$6</f>
        <v>#REF!</v>
      </c>
      <c r="F239" s="745" t="e">
        <f>#REF!/$B$6</f>
        <v>#REF!</v>
      </c>
      <c r="G239" s="745" t="e">
        <f>#REF!/$B$6</f>
        <v>#REF!</v>
      </c>
      <c r="H239" s="745" t="e">
        <f>#REF!/$B$6</f>
        <v>#REF!</v>
      </c>
      <c r="I239" s="745" t="e">
        <f>#REF!/$B$6</f>
        <v>#REF!</v>
      </c>
      <c r="J239" s="745" t="e">
        <f>#REF!/$B$6</f>
        <v>#REF!</v>
      </c>
      <c r="K239" s="745" t="e">
        <f>#REF!/$B$6</f>
        <v>#REF!</v>
      </c>
      <c r="L239" s="745" t="e">
        <f>#REF!/$B$6</f>
        <v>#REF!</v>
      </c>
      <c r="M239" s="745" t="e">
        <f>#REF!/$B$6</f>
        <v>#REF!</v>
      </c>
      <c r="N239" s="745" t="e">
        <f>#REF!/$B$6</f>
        <v>#REF!</v>
      </c>
      <c r="O239" s="745" t="e">
        <f>#REF!/$B$6</f>
        <v>#REF!</v>
      </c>
      <c r="P239" s="745" t="e">
        <f>#REF!/$B$6</f>
        <v>#REF!</v>
      </c>
      <c r="Q239" s="745" t="e">
        <f>#REF!/$B$6</f>
        <v>#REF!</v>
      </c>
      <c r="R239" s="745" t="e">
        <f>#REF!/$B$6</f>
        <v>#REF!</v>
      </c>
      <c r="S239" s="745" t="e">
        <f>#REF!/$B$6</f>
        <v>#REF!</v>
      </c>
      <c r="T239" s="745" t="e">
        <f>#REF!/$B$6</f>
        <v>#REF!</v>
      </c>
      <c r="U239" s="745" t="e">
        <f>#REF!/$B$6</f>
        <v>#REF!</v>
      </c>
      <c r="V239" s="745" t="e">
        <f>#REF!/$B$6</f>
        <v>#REF!</v>
      </c>
      <c r="W239" s="745" t="e">
        <f>#REF!/$B$6</f>
        <v>#REF!</v>
      </c>
      <c r="X239" s="745" t="e">
        <f>#REF!/$B$6</f>
        <v>#REF!</v>
      </c>
      <c r="Y239" s="745" t="e">
        <f>#REF!/$B$6</f>
        <v>#REF!</v>
      </c>
      <c r="Z239" s="745" t="e">
        <f>#REF!/$B$6</f>
        <v>#REF!</v>
      </c>
      <c r="AA239" s="745" t="e">
        <f>#REF!/$B$6</f>
        <v>#REF!</v>
      </c>
    </row>
    <row r="240" spans="1:27" ht="15">
      <c r="B240" s="736"/>
      <c r="C240" s="736"/>
      <c r="D240" s="736"/>
      <c r="E240" s="736"/>
      <c r="F240" s="736"/>
      <c r="G240" s="736"/>
      <c r="H240" s="736"/>
      <c r="I240" s="736"/>
      <c r="J240" s="736"/>
      <c r="K240" s="736"/>
      <c r="L240" s="736"/>
      <c r="M240" s="736"/>
      <c r="N240" s="736"/>
      <c r="O240" s="736"/>
      <c r="P240" s="736"/>
      <c r="Q240" s="736"/>
      <c r="R240" s="736"/>
      <c r="S240" s="736"/>
      <c r="T240" s="736"/>
      <c r="U240" s="736"/>
      <c r="V240" s="736"/>
      <c r="W240" s="736"/>
      <c r="X240" s="736"/>
      <c r="Y240" s="736"/>
      <c r="Z240" s="736"/>
      <c r="AA240" s="736"/>
    </row>
    <row r="241" spans="1:27">
      <c r="A241" s="732" t="s">
        <v>682</v>
      </c>
      <c r="B241" s="745" t="e">
        <f>#REF!/$B$6</f>
        <v>#REF!</v>
      </c>
      <c r="C241" s="745" t="e">
        <f>#REF!/$B$6</f>
        <v>#REF!</v>
      </c>
      <c r="D241" s="745" t="e">
        <f>#REF!/$B$6</f>
        <v>#REF!</v>
      </c>
      <c r="E241" s="745" t="e">
        <f>#REF!/$B$6</f>
        <v>#REF!</v>
      </c>
      <c r="F241" s="745" t="e">
        <f>#REF!/$B$6</f>
        <v>#REF!</v>
      </c>
      <c r="G241" s="745" t="e">
        <f>#REF!/$B$6</f>
        <v>#REF!</v>
      </c>
      <c r="H241" s="745" t="e">
        <f>#REF!/$B$6</f>
        <v>#REF!</v>
      </c>
      <c r="I241" s="745" t="e">
        <f>#REF!/$B$6</f>
        <v>#REF!</v>
      </c>
      <c r="J241" s="745" t="e">
        <f>#REF!/$B$6</f>
        <v>#REF!</v>
      </c>
      <c r="K241" s="745" t="e">
        <f>#REF!/$B$6</f>
        <v>#REF!</v>
      </c>
      <c r="L241" s="745" t="e">
        <f>#REF!/$B$6</f>
        <v>#REF!</v>
      </c>
      <c r="M241" s="745" t="e">
        <f>#REF!/$B$6</f>
        <v>#REF!</v>
      </c>
      <c r="N241" s="745" t="e">
        <f>#REF!/$B$6</f>
        <v>#REF!</v>
      </c>
      <c r="O241" s="745" t="e">
        <f>#REF!/$B$6</f>
        <v>#REF!</v>
      </c>
      <c r="P241" s="745" t="e">
        <f>#REF!/$B$6</f>
        <v>#REF!</v>
      </c>
      <c r="Q241" s="745" t="e">
        <f>#REF!/$B$6</f>
        <v>#REF!</v>
      </c>
      <c r="R241" s="745" t="e">
        <f>#REF!/$B$6</f>
        <v>#REF!</v>
      </c>
      <c r="S241" s="745" t="e">
        <f>#REF!/$B$6</f>
        <v>#REF!</v>
      </c>
      <c r="T241" s="745" t="e">
        <f>#REF!/$B$6</f>
        <v>#REF!</v>
      </c>
      <c r="U241" s="745" t="e">
        <f>#REF!/$B$6</f>
        <v>#REF!</v>
      </c>
      <c r="V241" s="745" t="e">
        <f>#REF!/$B$6</f>
        <v>#REF!</v>
      </c>
      <c r="W241" s="745" t="e">
        <f>#REF!/$B$6</f>
        <v>#REF!</v>
      </c>
      <c r="X241" s="745" t="e">
        <f>#REF!/$B$6</f>
        <v>#REF!</v>
      </c>
      <c r="Y241" s="745" t="e">
        <f>#REF!/$B$6</f>
        <v>#REF!</v>
      </c>
      <c r="Z241" s="745" t="e">
        <f>#REF!/$B$6</f>
        <v>#REF!</v>
      </c>
      <c r="AA241" s="745" t="e">
        <f>#REF!/$B$6</f>
        <v>#REF!</v>
      </c>
    </row>
    <row r="242" spans="1:27" ht="15">
      <c r="B242" s="736"/>
      <c r="C242" s="736"/>
      <c r="D242" s="736"/>
      <c r="E242" s="736"/>
      <c r="F242" s="736"/>
      <c r="G242" s="736"/>
      <c r="H242" s="736"/>
      <c r="I242" s="736"/>
      <c r="J242" s="736"/>
      <c r="K242" s="736"/>
      <c r="L242" s="736"/>
      <c r="M242" s="736"/>
      <c r="N242" s="736"/>
      <c r="O242" s="736"/>
      <c r="P242" s="736"/>
      <c r="Q242" s="736"/>
      <c r="R242" s="736"/>
      <c r="S242" s="736"/>
      <c r="T242" s="736"/>
      <c r="U242" s="736"/>
      <c r="V242" s="736"/>
      <c r="W242" s="736"/>
      <c r="X242" s="736"/>
      <c r="Y242" s="736"/>
      <c r="Z242" s="736"/>
      <c r="AA242" s="736"/>
    </row>
    <row r="243" spans="1:27" ht="15">
      <c r="A243" s="730" t="s">
        <v>683</v>
      </c>
      <c r="B243" s="742" t="e">
        <f>#REF!/$B$6</f>
        <v>#REF!</v>
      </c>
      <c r="C243" s="742" t="e">
        <f>#REF!/$B$6</f>
        <v>#REF!</v>
      </c>
      <c r="D243" s="742" t="e">
        <f>#REF!/$B$6</f>
        <v>#REF!</v>
      </c>
      <c r="E243" s="742" t="e">
        <f>#REF!/$B$6</f>
        <v>#REF!</v>
      </c>
      <c r="F243" s="742" t="e">
        <f>#REF!/$B$6</f>
        <v>#REF!</v>
      </c>
      <c r="G243" s="742" t="e">
        <f>#REF!/$B$6</f>
        <v>#REF!</v>
      </c>
      <c r="H243" s="742" t="e">
        <f>#REF!/$B$6</f>
        <v>#REF!</v>
      </c>
      <c r="I243" s="742" t="e">
        <f>#REF!/$B$6</f>
        <v>#REF!</v>
      </c>
      <c r="J243" s="742" t="e">
        <f>#REF!/$B$6</f>
        <v>#REF!</v>
      </c>
      <c r="K243" s="742" t="e">
        <f>#REF!/$B$6</f>
        <v>#REF!</v>
      </c>
      <c r="L243" s="742" t="e">
        <f>#REF!/$B$6</f>
        <v>#REF!</v>
      </c>
      <c r="M243" s="742" t="e">
        <f>#REF!/$B$6</f>
        <v>#REF!</v>
      </c>
      <c r="N243" s="742" t="e">
        <f>#REF!/$B$6</f>
        <v>#REF!</v>
      </c>
      <c r="O243" s="742" t="e">
        <f>#REF!/$B$6</f>
        <v>#REF!</v>
      </c>
      <c r="P243" s="742" t="e">
        <f>#REF!/$B$6</f>
        <v>#REF!</v>
      </c>
      <c r="Q243" s="742" t="e">
        <f>#REF!/$B$6</f>
        <v>#REF!</v>
      </c>
      <c r="R243" s="742" t="e">
        <f>#REF!/$B$6</f>
        <v>#REF!</v>
      </c>
      <c r="S243" s="742" t="e">
        <f>#REF!/$B$6</f>
        <v>#REF!</v>
      </c>
      <c r="T243" s="742" t="e">
        <f>#REF!/$B$6</f>
        <v>#REF!</v>
      </c>
      <c r="U243" s="742" t="e">
        <f>#REF!/$B$6</f>
        <v>#REF!</v>
      </c>
      <c r="V243" s="742" t="e">
        <f>#REF!/$B$6</f>
        <v>#REF!</v>
      </c>
      <c r="W243" s="742" t="e">
        <f>#REF!/$B$6</f>
        <v>#REF!</v>
      </c>
      <c r="X243" s="742" t="e">
        <f>#REF!/$B$6</f>
        <v>#REF!</v>
      </c>
      <c r="Y243" s="742" t="e">
        <f>#REF!/$B$6</f>
        <v>#REF!</v>
      </c>
      <c r="Z243" s="742" t="e">
        <f>#REF!/$B$6</f>
        <v>#REF!</v>
      </c>
      <c r="AA243" s="742" t="e">
        <f>#REF!/$B$6</f>
        <v>#REF!</v>
      </c>
    </row>
    <row r="244" spans="1:27" ht="15">
      <c r="A244" s="730" t="s">
        <v>684</v>
      </c>
      <c r="B244" s="742" t="e">
        <f>#REF!/$B$6</f>
        <v>#REF!</v>
      </c>
      <c r="C244" s="742" t="e">
        <f>#REF!/$B$6</f>
        <v>#REF!</v>
      </c>
      <c r="D244" s="742" t="e">
        <f>#REF!/$B$6</f>
        <v>#REF!</v>
      </c>
      <c r="E244" s="742" t="e">
        <f>#REF!/$B$6</f>
        <v>#REF!</v>
      </c>
      <c r="F244" s="742" t="e">
        <f>#REF!/$B$6</f>
        <v>#REF!</v>
      </c>
      <c r="G244" s="742" t="e">
        <f>#REF!/$B$6</f>
        <v>#REF!</v>
      </c>
      <c r="H244" s="742" t="e">
        <f>#REF!/$B$6</f>
        <v>#REF!</v>
      </c>
      <c r="I244" s="742" t="e">
        <f>#REF!/$B$6</f>
        <v>#REF!</v>
      </c>
      <c r="J244" s="742" t="e">
        <f>#REF!/$B$6</f>
        <v>#REF!</v>
      </c>
      <c r="K244" s="742" t="e">
        <f>#REF!/$B$6</f>
        <v>#REF!</v>
      </c>
      <c r="L244" s="742" t="e">
        <f>#REF!/$B$6</f>
        <v>#REF!</v>
      </c>
      <c r="M244" s="742" t="e">
        <f>#REF!/$B$6</f>
        <v>#REF!</v>
      </c>
      <c r="N244" s="742" t="e">
        <f>#REF!/$B$6</f>
        <v>#REF!</v>
      </c>
      <c r="O244" s="742" t="e">
        <f>#REF!/$B$6</f>
        <v>#REF!</v>
      </c>
      <c r="P244" s="742" t="e">
        <f>#REF!/$B$6</f>
        <v>#REF!</v>
      </c>
      <c r="Q244" s="742" t="e">
        <f>#REF!/$B$6</f>
        <v>#REF!</v>
      </c>
      <c r="R244" s="742" t="e">
        <f>#REF!/$B$6</f>
        <v>#REF!</v>
      </c>
      <c r="S244" s="742" t="e">
        <f>#REF!/$B$6</f>
        <v>#REF!</v>
      </c>
      <c r="T244" s="742" t="e">
        <f>#REF!/$B$6</f>
        <v>#REF!</v>
      </c>
      <c r="U244" s="742" t="e">
        <f>#REF!/$B$6</f>
        <v>#REF!</v>
      </c>
      <c r="V244" s="742" t="e">
        <f>#REF!/$B$6</f>
        <v>#REF!</v>
      </c>
      <c r="W244" s="742" t="e">
        <f>#REF!/$B$6</f>
        <v>#REF!</v>
      </c>
      <c r="X244" s="742" t="e">
        <f>#REF!/$B$6</f>
        <v>#REF!</v>
      </c>
      <c r="Y244" s="742" t="e">
        <f>#REF!/$B$6</f>
        <v>#REF!</v>
      </c>
      <c r="Z244" s="742" t="e">
        <f>#REF!/$B$6</f>
        <v>#REF!</v>
      </c>
      <c r="AA244" s="742" t="e">
        <f>#REF!/$B$6</f>
        <v>#REF!</v>
      </c>
    </row>
    <row r="245" spans="1:27">
      <c r="A245" s="732" t="s">
        <v>685</v>
      </c>
      <c r="B245" s="745" t="e">
        <f>#REF!/$B$6</f>
        <v>#REF!</v>
      </c>
      <c r="C245" s="745" t="e">
        <f>#REF!/$B$6</f>
        <v>#REF!</v>
      </c>
      <c r="D245" s="745" t="e">
        <f>#REF!/$B$6</f>
        <v>#REF!</v>
      </c>
      <c r="E245" s="745" t="e">
        <f>#REF!/$B$6</f>
        <v>#REF!</v>
      </c>
      <c r="F245" s="745" t="e">
        <f>#REF!/$B$6</f>
        <v>#REF!</v>
      </c>
      <c r="G245" s="745" t="e">
        <f>#REF!/$B$6</f>
        <v>#REF!</v>
      </c>
      <c r="H245" s="745" t="e">
        <f>#REF!/$B$6</f>
        <v>#REF!</v>
      </c>
      <c r="I245" s="745" t="e">
        <f>#REF!/$B$6</f>
        <v>#REF!</v>
      </c>
      <c r="J245" s="745" t="e">
        <f>#REF!/$B$6</f>
        <v>#REF!</v>
      </c>
      <c r="K245" s="745" t="e">
        <f>#REF!/$B$6</f>
        <v>#REF!</v>
      </c>
      <c r="L245" s="745" t="e">
        <f>#REF!/$B$6</f>
        <v>#REF!</v>
      </c>
      <c r="M245" s="745" t="e">
        <f>#REF!/$B$6</f>
        <v>#REF!</v>
      </c>
      <c r="N245" s="745" t="e">
        <f>#REF!/$B$6</f>
        <v>#REF!</v>
      </c>
      <c r="O245" s="745" t="e">
        <f>#REF!/$B$6</f>
        <v>#REF!</v>
      </c>
      <c r="P245" s="745" t="e">
        <f>#REF!/$B$6</f>
        <v>#REF!</v>
      </c>
      <c r="Q245" s="745" t="e">
        <f>#REF!/$B$6</f>
        <v>#REF!</v>
      </c>
      <c r="R245" s="745" t="e">
        <f>#REF!/$B$6</f>
        <v>#REF!</v>
      </c>
      <c r="S245" s="745" t="e">
        <f>#REF!/$B$6</f>
        <v>#REF!</v>
      </c>
      <c r="T245" s="745" t="e">
        <f>#REF!/$B$6</f>
        <v>#REF!</v>
      </c>
      <c r="U245" s="745" t="e">
        <f>#REF!/$B$6</f>
        <v>#REF!</v>
      </c>
      <c r="V245" s="745" t="e">
        <f>#REF!/$B$6</f>
        <v>#REF!</v>
      </c>
      <c r="W245" s="745" t="e">
        <f>#REF!/$B$6</f>
        <v>#REF!</v>
      </c>
      <c r="X245" s="745" t="e">
        <f>#REF!/$B$6</f>
        <v>#REF!</v>
      </c>
      <c r="Y245" s="745" t="e">
        <f>#REF!/$B$6</f>
        <v>#REF!</v>
      </c>
      <c r="Z245" s="745" t="e">
        <f>#REF!/$B$6</f>
        <v>#REF!</v>
      </c>
      <c r="AA245" s="745" t="e">
        <f>#REF!/$B$6</f>
        <v>#REF!</v>
      </c>
    </row>
    <row r="246" spans="1:27" ht="15">
      <c r="B246" s="736"/>
      <c r="C246" s="736"/>
      <c r="D246" s="736"/>
      <c r="E246" s="736"/>
      <c r="F246" s="736"/>
      <c r="G246" s="736"/>
      <c r="H246" s="736"/>
      <c r="I246" s="736"/>
      <c r="J246" s="736"/>
      <c r="K246" s="736"/>
      <c r="L246" s="736"/>
      <c r="M246" s="736"/>
      <c r="N246" s="736"/>
      <c r="O246" s="736"/>
      <c r="P246" s="736"/>
      <c r="Q246" s="736"/>
      <c r="R246" s="736"/>
      <c r="S246" s="736"/>
      <c r="T246" s="736"/>
      <c r="U246" s="736"/>
      <c r="V246" s="736"/>
      <c r="W246" s="736"/>
      <c r="X246" s="736"/>
      <c r="Y246" s="736"/>
      <c r="Z246" s="736"/>
      <c r="AA246" s="736"/>
    </row>
    <row r="247" spans="1:27" ht="15">
      <c r="A247" s="730" t="s">
        <v>686</v>
      </c>
      <c r="B247" s="742" t="e">
        <f>#REF!/$B$6</f>
        <v>#REF!</v>
      </c>
      <c r="C247" s="742" t="e">
        <f>#REF!/$B$6</f>
        <v>#REF!</v>
      </c>
      <c r="D247" s="742" t="e">
        <f>#REF!/$B$6</f>
        <v>#REF!</v>
      </c>
      <c r="E247" s="742" t="e">
        <f>#REF!/$B$6</f>
        <v>#REF!</v>
      </c>
      <c r="F247" s="742" t="e">
        <f>#REF!/$B$6</f>
        <v>#REF!</v>
      </c>
      <c r="G247" s="742" t="e">
        <f>#REF!/$B$6</f>
        <v>#REF!</v>
      </c>
      <c r="H247" s="742" t="e">
        <f>#REF!/$B$6</f>
        <v>#REF!</v>
      </c>
      <c r="I247" s="742" t="e">
        <f>#REF!/$B$6</f>
        <v>#REF!</v>
      </c>
      <c r="J247" s="742" t="e">
        <f>#REF!/$B$6</f>
        <v>#REF!</v>
      </c>
      <c r="K247" s="742" t="e">
        <f>#REF!/$B$6</f>
        <v>#REF!</v>
      </c>
      <c r="L247" s="742" t="e">
        <f>#REF!/$B$6</f>
        <v>#REF!</v>
      </c>
      <c r="M247" s="742" t="e">
        <f>#REF!/$B$6</f>
        <v>#REF!</v>
      </c>
      <c r="N247" s="742" t="e">
        <f>#REF!/$B$6</f>
        <v>#REF!</v>
      </c>
      <c r="O247" s="742" t="e">
        <f>#REF!/$B$6</f>
        <v>#REF!</v>
      </c>
      <c r="P247" s="742" t="e">
        <f>#REF!/$B$6</f>
        <v>#REF!</v>
      </c>
      <c r="Q247" s="742" t="e">
        <f>#REF!/$B$6</f>
        <v>#REF!</v>
      </c>
      <c r="R247" s="742" t="e">
        <f>#REF!/$B$6</f>
        <v>#REF!</v>
      </c>
      <c r="S247" s="742" t="e">
        <f>#REF!/$B$6</f>
        <v>#REF!</v>
      </c>
      <c r="T247" s="742" t="e">
        <f>#REF!/$B$6</f>
        <v>#REF!</v>
      </c>
      <c r="U247" s="742" t="e">
        <f>#REF!/$B$6</f>
        <v>#REF!</v>
      </c>
      <c r="V247" s="742" t="e">
        <f>#REF!/$B$6</f>
        <v>#REF!</v>
      </c>
      <c r="W247" s="742" t="e">
        <f>#REF!/$B$6</f>
        <v>#REF!</v>
      </c>
      <c r="X247" s="742" t="e">
        <f>#REF!/$B$6</f>
        <v>#REF!</v>
      </c>
      <c r="Y247" s="742" t="e">
        <f>#REF!/$B$6</f>
        <v>#REF!</v>
      </c>
      <c r="Z247" s="742" t="e">
        <f>#REF!/$B$6</f>
        <v>#REF!</v>
      </c>
      <c r="AA247" s="742" t="e">
        <f>#REF!/$B$6</f>
        <v>#REF!</v>
      </c>
    </row>
    <row r="255" spans="1:27">
      <c r="A255" s="735" t="s">
        <v>640</v>
      </c>
      <c r="B255" s="735">
        <f>B$12</f>
        <v>2003</v>
      </c>
      <c r="C255" s="735">
        <f t="shared" ref="C255:AA255" si="138">C$12</f>
        <v>2004</v>
      </c>
      <c r="D255" s="735">
        <f t="shared" si="138"/>
        <v>2005</v>
      </c>
      <c r="E255" s="735">
        <f t="shared" si="138"/>
        <v>2006</v>
      </c>
      <c r="F255" s="735">
        <f t="shared" si="138"/>
        <v>2007</v>
      </c>
      <c r="G255" s="735">
        <f t="shared" si="138"/>
        <v>2008</v>
      </c>
      <c r="H255" s="735">
        <f t="shared" si="138"/>
        <v>2009</v>
      </c>
      <c r="I255" s="735">
        <f t="shared" si="138"/>
        <v>2010</v>
      </c>
      <c r="J255" s="735">
        <f t="shared" si="138"/>
        <v>2011</v>
      </c>
      <c r="K255" s="735">
        <f t="shared" si="138"/>
        <v>2012</v>
      </c>
      <c r="L255" s="735">
        <f t="shared" si="138"/>
        <v>2013</v>
      </c>
      <c r="M255" s="735">
        <f t="shared" si="138"/>
        <v>2014</v>
      </c>
      <c r="N255" s="735">
        <f t="shared" si="138"/>
        <v>2015</v>
      </c>
      <c r="O255" s="735">
        <f t="shared" si="138"/>
        <v>2016</v>
      </c>
      <c r="P255" s="735">
        <f t="shared" si="138"/>
        <v>2017</v>
      </c>
      <c r="Q255" s="735">
        <f t="shared" si="138"/>
        <v>2018</v>
      </c>
      <c r="R255" s="735">
        <f t="shared" si="138"/>
        <v>2019</v>
      </c>
      <c r="S255" s="735">
        <f t="shared" si="138"/>
        <v>2020</v>
      </c>
      <c r="T255" s="735">
        <f t="shared" si="138"/>
        <v>2021</v>
      </c>
      <c r="U255" s="735">
        <f t="shared" si="138"/>
        <v>2022</v>
      </c>
      <c r="V255" s="735">
        <f t="shared" si="138"/>
        <v>2023</v>
      </c>
      <c r="W255" s="735">
        <f t="shared" si="138"/>
        <v>2024</v>
      </c>
      <c r="X255" s="735">
        <f t="shared" si="138"/>
        <v>2025</v>
      </c>
      <c r="Y255" s="735">
        <f t="shared" si="138"/>
        <v>2026</v>
      </c>
      <c r="Z255" s="735">
        <f t="shared" si="138"/>
        <v>2027</v>
      </c>
      <c r="AA255" s="735">
        <f t="shared" si="138"/>
        <v>2028</v>
      </c>
    </row>
    <row r="258" spans="1:27">
      <c r="A258" s="730" t="s">
        <v>644</v>
      </c>
      <c r="B258" s="739" t="e">
        <f>B188+B233</f>
        <v>#REF!</v>
      </c>
      <c r="C258" s="739" t="e">
        <f t="shared" ref="C258:Z258" si="139">C188+C233</f>
        <v>#REF!</v>
      </c>
      <c r="D258" s="739" t="e">
        <f t="shared" si="139"/>
        <v>#REF!</v>
      </c>
      <c r="E258" s="739" t="e">
        <f t="shared" si="139"/>
        <v>#REF!</v>
      </c>
      <c r="F258" s="739" t="e">
        <f t="shared" si="139"/>
        <v>#REF!</v>
      </c>
      <c r="G258" s="739" t="e">
        <f t="shared" si="139"/>
        <v>#REF!</v>
      </c>
      <c r="H258" s="739" t="e">
        <f t="shared" si="139"/>
        <v>#REF!</v>
      </c>
      <c r="I258" s="739" t="e">
        <f t="shared" si="139"/>
        <v>#REF!</v>
      </c>
      <c r="J258" s="739" t="e">
        <f t="shared" si="139"/>
        <v>#REF!</v>
      </c>
      <c r="K258" s="739" t="e">
        <f t="shared" si="139"/>
        <v>#REF!</v>
      </c>
      <c r="L258" s="739" t="e">
        <f t="shared" si="139"/>
        <v>#REF!</v>
      </c>
      <c r="M258" s="739" t="e">
        <f t="shared" si="139"/>
        <v>#REF!</v>
      </c>
      <c r="N258" s="739" t="e">
        <f t="shared" si="139"/>
        <v>#REF!</v>
      </c>
      <c r="O258" s="739" t="e">
        <f t="shared" si="139"/>
        <v>#REF!</v>
      </c>
      <c r="P258" s="739" t="e">
        <f t="shared" si="139"/>
        <v>#REF!</v>
      </c>
      <c r="Q258" s="739" t="e">
        <f t="shared" si="139"/>
        <v>#REF!</v>
      </c>
      <c r="R258" s="739" t="e">
        <f t="shared" si="139"/>
        <v>#REF!</v>
      </c>
      <c r="S258" s="739" t="e">
        <f t="shared" si="139"/>
        <v>#REF!</v>
      </c>
      <c r="T258" s="739" t="e">
        <f t="shared" si="139"/>
        <v>#REF!</v>
      </c>
      <c r="U258" s="739" t="e">
        <f t="shared" si="139"/>
        <v>#REF!</v>
      </c>
      <c r="V258" s="739" t="e">
        <f t="shared" si="139"/>
        <v>#REF!</v>
      </c>
      <c r="W258" s="739" t="e">
        <f t="shared" si="139"/>
        <v>#REF!</v>
      </c>
      <c r="X258" s="739" t="e">
        <f t="shared" si="139"/>
        <v>#REF!</v>
      </c>
      <c r="Y258" s="739" t="e">
        <f t="shared" si="139"/>
        <v>#REF!</v>
      </c>
      <c r="Z258" s="739" t="e">
        <f t="shared" si="139"/>
        <v>#REF!</v>
      </c>
      <c r="AA258" s="739" t="e">
        <f t="shared" ref="AA258" si="140">AA188+AA233</f>
        <v>#REF!</v>
      </c>
    </row>
    <row r="259" spans="1:27">
      <c r="A259" s="730" t="s">
        <v>645</v>
      </c>
      <c r="B259" s="739" t="e">
        <f>B189</f>
        <v>#REF!</v>
      </c>
      <c r="C259" s="739" t="e">
        <f t="shared" ref="C259:Z259" si="141">C189</f>
        <v>#REF!</v>
      </c>
      <c r="D259" s="739" t="e">
        <f t="shared" si="141"/>
        <v>#REF!</v>
      </c>
      <c r="E259" s="739" t="e">
        <f t="shared" si="141"/>
        <v>#REF!</v>
      </c>
      <c r="F259" s="739" t="e">
        <f t="shared" si="141"/>
        <v>#REF!</v>
      </c>
      <c r="G259" s="739" t="e">
        <f t="shared" si="141"/>
        <v>#REF!</v>
      </c>
      <c r="H259" s="739" t="e">
        <f t="shared" si="141"/>
        <v>#REF!</v>
      </c>
      <c r="I259" s="739" t="e">
        <f t="shared" si="141"/>
        <v>#REF!</v>
      </c>
      <c r="J259" s="739" t="e">
        <f t="shared" si="141"/>
        <v>#REF!</v>
      </c>
      <c r="K259" s="739" t="e">
        <f t="shared" si="141"/>
        <v>#REF!</v>
      </c>
      <c r="L259" s="739" t="e">
        <f t="shared" si="141"/>
        <v>#REF!</v>
      </c>
      <c r="M259" s="739" t="e">
        <f t="shared" si="141"/>
        <v>#REF!</v>
      </c>
      <c r="N259" s="739" t="e">
        <f t="shared" si="141"/>
        <v>#REF!</v>
      </c>
      <c r="O259" s="739" t="e">
        <f t="shared" si="141"/>
        <v>#REF!</v>
      </c>
      <c r="P259" s="739" t="e">
        <f t="shared" si="141"/>
        <v>#REF!</v>
      </c>
      <c r="Q259" s="739" t="e">
        <f t="shared" si="141"/>
        <v>#REF!</v>
      </c>
      <c r="R259" s="739" t="e">
        <f t="shared" si="141"/>
        <v>#REF!</v>
      </c>
      <c r="S259" s="739" t="e">
        <f t="shared" si="141"/>
        <v>#REF!</v>
      </c>
      <c r="T259" s="739" t="e">
        <f t="shared" si="141"/>
        <v>#REF!</v>
      </c>
      <c r="U259" s="739" t="e">
        <f t="shared" si="141"/>
        <v>#REF!</v>
      </c>
      <c r="V259" s="739" t="e">
        <f t="shared" si="141"/>
        <v>#REF!</v>
      </c>
      <c r="W259" s="739" t="e">
        <f t="shared" si="141"/>
        <v>#REF!</v>
      </c>
      <c r="X259" s="739" t="e">
        <f t="shared" si="141"/>
        <v>#REF!</v>
      </c>
      <c r="Y259" s="739" t="e">
        <f t="shared" si="141"/>
        <v>#REF!</v>
      </c>
      <c r="Z259" s="739" t="e">
        <f t="shared" si="141"/>
        <v>#REF!</v>
      </c>
      <c r="AA259" s="739" t="e">
        <f t="shared" ref="AA259" si="142">AA189</f>
        <v>#REF!</v>
      </c>
    </row>
    <row r="260" spans="1:27">
      <c r="A260" s="732" t="s">
        <v>687</v>
      </c>
      <c r="B260" s="748" t="e">
        <f>B258+B259</f>
        <v>#REF!</v>
      </c>
      <c r="C260" s="748" t="e">
        <f t="shared" ref="C260:Z260" si="143">C258+C259</f>
        <v>#REF!</v>
      </c>
      <c r="D260" s="748" t="e">
        <f t="shared" si="143"/>
        <v>#REF!</v>
      </c>
      <c r="E260" s="748" t="e">
        <f t="shared" si="143"/>
        <v>#REF!</v>
      </c>
      <c r="F260" s="748" t="e">
        <f t="shared" si="143"/>
        <v>#REF!</v>
      </c>
      <c r="G260" s="748" t="e">
        <f t="shared" si="143"/>
        <v>#REF!</v>
      </c>
      <c r="H260" s="748" t="e">
        <f t="shared" si="143"/>
        <v>#REF!</v>
      </c>
      <c r="I260" s="748" t="e">
        <f t="shared" si="143"/>
        <v>#REF!</v>
      </c>
      <c r="J260" s="748" t="e">
        <f t="shared" si="143"/>
        <v>#REF!</v>
      </c>
      <c r="K260" s="748" t="e">
        <f t="shared" si="143"/>
        <v>#REF!</v>
      </c>
      <c r="L260" s="748" t="e">
        <f t="shared" si="143"/>
        <v>#REF!</v>
      </c>
      <c r="M260" s="748" t="e">
        <f t="shared" si="143"/>
        <v>#REF!</v>
      </c>
      <c r="N260" s="748" t="e">
        <f t="shared" si="143"/>
        <v>#REF!</v>
      </c>
      <c r="O260" s="748" t="e">
        <f t="shared" si="143"/>
        <v>#REF!</v>
      </c>
      <c r="P260" s="748" t="e">
        <f t="shared" si="143"/>
        <v>#REF!</v>
      </c>
      <c r="Q260" s="748" t="e">
        <f t="shared" si="143"/>
        <v>#REF!</v>
      </c>
      <c r="R260" s="748" t="e">
        <f t="shared" si="143"/>
        <v>#REF!</v>
      </c>
      <c r="S260" s="748" t="e">
        <f t="shared" si="143"/>
        <v>#REF!</v>
      </c>
      <c r="T260" s="748" t="e">
        <f t="shared" si="143"/>
        <v>#REF!</v>
      </c>
      <c r="U260" s="748" t="e">
        <f t="shared" si="143"/>
        <v>#REF!</v>
      </c>
      <c r="V260" s="748" t="e">
        <f t="shared" si="143"/>
        <v>#REF!</v>
      </c>
      <c r="W260" s="748" t="e">
        <f t="shared" si="143"/>
        <v>#REF!</v>
      </c>
      <c r="X260" s="748" t="e">
        <f t="shared" si="143"/>
        <v>#REF!</v>
      </c>
      <c r="Y260" s="748" t="e">
        <f t="shared" si="143"/>
        <v>#REF!</v>
      </c>
      <c r="Z260" s="748" t="e">
        <f t="shared" si="143"/>
        <v>#REF!</v>
      </c>
      <c r="AA260" s="748" t="e">
        <f t="shared" ref="AA260" si="144">AA258+AA259</f>
        <v>#REF!</v>
      </c>
    </row>
    <row r="262" spans="1:27">
      <c r="A262" s="730" t="s">
        <v>649</v>
      </c>
      <c r="B262" s="739" t="e">
        <f>B192+B234</f>
        <v>#REF!</v>
      </c>
      <c r="C262" s="739" t="e">
        <f t="shared" ref="C262:Z262" si="145">C192+C234</f>
        <v>#REF!</v>
      </c>
      <c r="D262" s="739" t="e">
        <f t="shared" si="145"/>
        <v>#REF!</v>
      </c>
      <c r="E262" s="739" t="e">
        <f t="shared" si="145"/>
        <v>#REF!</v>
      </c>
      <c r="F262" s="739" t="e">
        <f t="shared" si="145"/>
        <v>#REF!</v>
      </c>
      <c r="G262" s="739" t="e">
        <f t="shared" si="145"/>
        <v>#REF!</v>
      </c>
      <c r="H262" s="739" t="e">
        <f t="shared" si="145"/>
        <v>#REF!</v>
      </c>
      <c r="I262" s="739" t="e">
        <f t="shared" si="145"/>
        <v>#REF!</v>
      </c>
      <c r="J262" s="739" t="e">
        <f t="shared" si="145"/>
        <v>#REF!</v>
      </c>
      <c r="K262" s="739" t="e">
        <f t="shared" si="145"/>
        <v>#REF!</v>
      </c>
      <c r="L262" s="739" t="e">
        <f t="shared" si="145"/>
        <v>#REF!</v>
      </c>
      <c r="M262" s="739" t="e">
        <f t="shared" si="145"/>
        <v>#REF!</v>
      </c>
      <c r="N262" s="739" t="e">
        <f t="shared" si="145"/>
        <v>#REF!</v>
      </c>
      <c r="O262" s="739" t="e">
        <f t="shared" si="145"/>
        <v>#REF!</v>
      </c>
      <c r="P262" s="739" t="e">
        <f t="shared" si="145"/>
        <v>#REF!</v>
      </c>
      <c r="Q262" s="739" t="e">
        <f t="shared" si="145"/>
        <v>#REF!</v>
      </c>
      <c r="R262" s="739" t="e">
        <f t="shared" si="145"/>
        <v>#REF!</v>
      </c>
      <c r="S262" s="739" t="e">
        <f t="shared" si="145"/>
        <v>#REF!</v>
      </c>
      <c r="T262" s="739" t="e">
        <f t="shared" si="145"/>
        <v>#REF!</v>
      </c>
      <c r="U262" s="739" t="e">
        <f t="shared" si="145"/>
        <v>#REF!</v>
      </c>
      <c r="V262" s="739" t="e">
        <f t="shared" si="145"/>
        <v>#REF!</v>
      </c>
      <c r="W262" s="739" t="e">
        <f t="shared" si="145"/>
        <v>#REF!</v>
      </c>
      <c r="X262" s="739" t="e">
        <f t="shared" si="145"/>
        <v>#REF!</v>
      </c>
      <c r="Y262" s="739" t="e">
        <f t="shared" si="145"/>
        <v>#REF!</v>
      </c>
      <c r="Z262" s="739" t="e">
        <f t="shared" si="145"/>
        <v>#REF!</v>
      </c>
      <c r="AA262" s="739" t="e">
        <f t="shared" ref="AA262" si="146">AA192+AA234</f>
        <v>#REF!</v>
      </c>
    </row>
    <row r="263" spans="1:27">
      <c r="A263" s="730" t="s">
        <v>650</v>
      </c>
      <c r="B263" s="739" t="e">
        <f>B193</f>
        <v>#REF!</v>
      </c>
      <c r="C263" s="739" t="e">
        <f t="shared" ref="C263:Z263" si="147">C193</f>
        <v>#REF!</v>
      </c>
      <c r="D263" s="739" t="e">
        <f t="shared" si="147"/>
        <v>#REF!</v>
      </c>
      <c r="E263" s="739" t="e">
        <f t="shared" si="147"/>
        <v>#REF!</v>
      </c>
      <c r="F263" s="739" t="e">
        <f t="shared" si="147"/>
        <v>#REF!</v>
      </c>
      <c r="G263" s="739" t="e">
        <f t="shared" si="147"/>
        <v>#REF!</v>
      </c>
      <c r="H263" s="739" t="e">
        <f t="shared" si="147"/>
        <v>#REF!</v>
      </c>
      <c r="I263" s="739" t="e">
        <f t="shared" si="147"/>
        <v>#REF!</v>
      </c>
      <c r="J263" s="739" t="e">
        <f t="shared" si="147"/>
        <v>#REF!</v>
      </c>
      <c r="K263" s="739" t="e">
        <f t="shared" si="147"/>
        <v>#REF!</v>
      </c>
      <c r="L263" s="739" t="e">
        <f t="shared" si="147"/>
        <v>#REF!</v>
      </c>
      <c r="M263" s="739" t="e">
        <f t="shared" si="147"/>
        <v>#REF!</v>
      </c>
      <c r="N263" s="739" t="e">
        <f t="shared" si="147"/>
        <v>#REF!</v>
      </c>
      <c r="O263" s="739" t="e">
        <f t="shared" si="147"/>
        <v>#REF!</v>
      </c>
      <c r="P263" s="739" t="e">
        <f t="shared" si="147"/>
        <v>#REF!</v>
      </c>
      <c r="Q263" s="739" t="e">
        <f t="shared" si="147"/>
        <v>#REF!</v>
      </c>
      <c r="R263" s="739" t="e">
        <f t="shared" si="147"/>
        <v>#REF!</v>
      </c>
      <c r="S263" s="739" t="e">
        <f t="shared" si="147"/>
        <v>#REF!</v>
      </c>
      <c r="T263" s="739" t="e">
        <f t="shared" si="147"/>
        <v>#REF!</v>
      </c>
      <c r="U263" s="739" t="e">
        <f t="shared" si="147"/>
        <v>#REF!</v>
      </c>
      <c r="V263" s="739" t="e">
        <f t="shared" si="147"/>
        <v>#REF!</v>
      </c>
      <c r="W263" s="739" t="e">
        <f t="shared" si="147"/>
        <v>#REF!</v>
      </c>
      <c r="X263" s="739" t="e">
        <f t="shared" si="147"/>
        <v>#REF!</v>
      </c>
      <c r="Y263" s="739" t="e">
        <f t="shared" si="147"/>
        <v>#REF!</v>
      </c>
      <c r="Z263" s="739" t="e">
        <f t="shared" si="147"/>
        <v>#REF!</v>
      </c>
      <c r="AA263" s="739" t="e">
        <f t="shared" ref="AA263" si="148">AA193</f>
        <v>#REF!</v>
      </c>
    </row>
    <row r="264" spans="1:27">
      <c r="A264" s="732" t="s">
        <v>688</v>
      </c>
      <c r="B264" s="748" t="e">
        <f>B262+B263</f>
        <v>#REF!</v>
      </c>
      <c r="C264" s="748" t="e">
        <f t="shared" ref="C264:Z264" si="149">C262+C263</f>
        <v>#REF!</v>
      </c>
      <c r="D264" s="748" t="e">
        <f t="shared" si="149"/>
        <v>#REF!</v>
      </c>
      <c r="E264" s="748" t="e">
        <f t="shared" si="149"/>
        <v>#REF!</v>
      </c>
      <c r="F264" s="748" t="e">
        <f t="shared" si="149"/>
        <v>#REF!</v>
      </c>
      <c r="G264" s="748" t="e">
        <f t="shared" si="149"/>
        <v>#REF!</v>
      </c>
      <c r="H264" s="748" t="e">
        <f t="shared" si="149"/>
        <v>#REF!</v>
      </c>
      <c r="I264" s="748" t="e">
        <f t="shared" si="149"/>
        <v>#REF!</v>
      </c>
      <c r="J264" s="748" t="e">
        <f t="shared" si="149"/>
        <v>#REF!</v>
      </c>
      <c r="K264" s="748" t="e">
        <f t="shared" si="149"/>
        <v>#REF!</v>
      </c>
      <c r="L264" s="748" t="e">
        <f t="shared" si="149"/>
        <v>#REF!</v>
      </c>
      <c r="M264" s="748" t="e">
        <f t="shared" si="149"/>
        <v>#REF!</v>
      </c>
      <c r="N264" s="748" t="e">
        <f t="shared" si="149"/>
        <v>#REF!</v>
      </c>
      <c r="O264" s="748" t="e">
        <f t="shared" si="149"/>
        <v>#REF!</v>
      </c>
      <c r="P264" s="748" t="e">
        <f t="shared" si="149"/>
        <v>#REF!</v>
      </c>
      <c r="Q264" s="748" t="e">
        <f t="shared" si="149"/>
        <v>#REF!</v>
      </c>
      <c r="R264" s="748" t="e">
        <f t="shared" si="149"/>
        <v>#REF!</v>
      </c>
      <c r="S264" s="748" t="e">
        <f t="shared" si="149"/>
        <v>#REF!</v>
      </c>
      <c r="T264" s="748" t="e">
        <f t="shared" si="149"/>
        <v>#REF!</v>
      </c>
      <c r="U264" s="748" t="e">
        <f t="shared" si="149"/>
        <v>#REF!</v>
      </c>
      <c r="V264" s="748" t="e">
        <f t="shared" si="149"/>
        <v>#REF!</v>
      </c>
      <c r="W264" s="748" t="e">
        <f t="shared" si="149"/>
        <v>#REF!</v>
      </c>
      <c r="X264" s="748" t="e">
        <f t="shared" si="149"/>
        <v>#REF!</v>
      </c>
      <c r="Y264" s="748" t="e">
        <f t="shared" si="149"/>
        <v>#REF!</v>
      </c>
      <c r="Z264" s="748" t="e">
        <f t="shared" si="149"/>
        <v>#REF!</v>
      </c>
      <c r="AA264" s="748" t="e">
        <f t="shared" ref="AA264" si="150">AA262+AA263</f>
        <v>#REF!</v>
      </c>
    </row>
    <row r="265" spans="1:27">
      <c r="A265" s="732"/>
    </row>
    <row r="266" spans="1:27">
      <c r="A266" s="730" t="s">
        <v>652</v>
      </c>
      <c r="B266" s="739" t="e">
        <f>B258+B262</f>
        <v>#REF!</v>
      </c>
      <c r="C266" s="739" t="e">
        <f t="shared" ref="C266:Z267" si="151">C258+C262</f>
        <v>#REF!</v>
      </c>
      <c r="D266" s="739" t="e">
        <f t="shared" si="151"/>
        <v>#REF!</v>
      </c>
      <c r="E266" s="739" t="e">
        <f t="shared" si="151"/>
        <v>#REF!</v>
      </c>
      <c r="F266" s="739" t="e">
        <f t="shared" si="151"/>
        <v>#REF!</v>
      </c>
      <c r="G266" s="739" t="e">
        <f t="shared" si="151"/>
        <v>#REF!</v>
      </c>
      <c r="H266" s="739" t="e">
        <f t="shared" si="151"/>
        <v>#REF!</v>
      </c>
      <c r="I266" s="739" t="e">
        <f t="shared" si="151"/>
        <v>#REF!</v>
      </c>
      <c r="J266" s="739" t="e">
        <f t="shared" si="151"/>
        <v>#REF!</v>
      </c>
      <c r="K266" s="739" t="e">
        <f t="shared" si="151"/>
        <v>#REF!</v>
      </c>
      <c r="L266" s="739" t="e">
        <f t="shared" si="151"/>
        <v>#REF!</v>
      </c>
      <c r="M266" s="739" t="e">
        <f t="shared" si="151"/>
        <v>#REF!</v>
      </c>
      <c r="N266" s="739" t="e">
        <f t="shared" si="151"/>
        <v>#REF!</v>
      </c>
      <c r="O266" s="739" t="e">
        <f t="shared" si="151"/>
        <v>#REF!</v>
      </c>
      <c r="P266" s="739" t="e">
        <f t="shared" si="151"/>
        <v>#REF!</v>
      </c>
      <c r="Q266" s="739" t="e">
        <f t="shared" si="151"/>
        <v>#REF!</v>
      </c>
      <c r="R266" s="739" t="e">
        <f t="shared" si="151"/>
        <v>#REF!</v>
      </c>
      <c r="S266" s="739" t="e">
        <f t="shared" si="151"/>
        <v>#REF!</v>
      </c>
      <c r="T266" s="739" t="e">
        <f t="shared" si="151"/>
        <v>#REF!</v>
      </c>
      <c r="U266" s="739" t="e">
        <f t="shared" si="151"/>
        <v>#REF!</v>
      </c>
      <c r="V266" s="739" t="e">
        <f t="shared" si="151"/>
        <v>#REF!</v>
      </c>
      <c r="W266" s="739" t="e">
        <f t="shared" si="151"/>
        <v>#REF!</v>
      </c>
      <c r="X266" s="739" t="e">
        <f t="shared" si="151"/>
        <v>#REF!</v>
      </c>
      <c r="Y266" s="739" t="e">
        <f t="shared" si="151"/>
        <v>#REF!</v>
      </c>
      <c r="Z266" s="739" t="e">
        <f t="shared" si="151"/>
        <v>#REF!</v>
      </c>
      <c r="AA266" s="739" t="e">
        <f t="shared" ref="AA266" si="152">AA258+AA262</f>
        <v>#REF!</v>
      </c>
    </row>
    <row r="267" spans="1:27">
      <c r="A267" s="730" t="s">
        <v>653</v>
      </c>
      <c r="B267" s="739" t="e">
        <f>B259+B263</f>
        <v>#REF!</v>
      </c>
      <c r="C267" s="739" t="e">
        <f t="shared" si="151"/>
        <v>#REF!</v>
      </c>
      <c r="D267" s="739" t="e">
        <f t="shared" si="151"/>
        <v>#REF!</v>
      </c>
      <c r="E267" s="739" t="e">
        <f t="shared" si="151"/>
        <v>#REF!</v>
      </c>
      <c r="F267" s="739" t="e">
        <f t="shared" si="151"/>
        <v>#REF!</v>
      </c>
      <c r="G267" s="739" t="e">
        <f t="shared" si="151"/>
        <v>#REF!</v>
      </c>
      <c r="H267" s="739" t="e">
        <f t="shared" si="151"/>
        <v>#REF!</v>
      </c>
      <c r="I267" s="739" t="e">
        <f t="shared" si="151"/>
        <v>#REF!</v>
      </c>
      <c r="J267" s="739" t="e">
        <f t="shared" si="151"/>
        <v>#REF!</v>
      </c>
      <c r="K267" s="739" t="e">
        <f t="shared" si="151"/>
        <v>#REF!</v>
      </c>
      <c r="L267" s="739" t="e">
        <f t="shared" si="151"/>
        <v>#REF!</v>
      </c>
      <c r="M267" s="739" t="e">
        <f t="shared" si="151"/>
        <v>#REF!</v>
      </c>
      <c r="N267" s="739" t="e">
        <f t="shared" si="151"/>
        <v>#REF!</v>
      </c>
      <c r="O267" s="739" t="e">
        <f t="shared" si="151"/>
        <v>#REF!</v>
      </c>
      <c r="P267" s="739" t="e">
        <f t="shared" si="151"/>
        <v>#REF!</v>
      </c>
      <c r="Q267" s="739" t="e">
        <f t="shared" si="151"/>
        <v>#REF!</v>
      </c>
      <c r="R267" s="739" t="e">
        <f t="shared" si="151"/>
        <v>#REF!</v>
      </c>
      <c r="S267" s="739" t="e">
        <f t="shared" si="151"/>
        <v>#REF!</v>
      </c>
      <c r="T267" s="739" t="e">
        <f t="shared" si="151"/>
        <v>#REF!</v>
      </c>
      <c r="U267" s="739" t="e">
        <f t="shared" si="151"/>
        <v>#REF!</v>
      </c>
      <c r="V267" s="739" t="e">
        <f t="shared" si="151"/>
        <v>#REF!</v>
      </c>
      <c r="W267" s="739" t="e">
        <f t="shared" si="151"/>
        <v>#REF!</v>
      </c>
      <c r="X267" s="739" t="e">
        <f t="shared" si="151"/>
        <v>#REF!</v>
      </c>
      <c r="Y267" s="739" t="e">
        <f t="shared" si="151"/>
        <v>#REF!</v>
      </c>
      <c r="Z267" s="739" t="e">
        <f t="shared" si="151"/>
        <v>#REF!</v>
      </c>
      <c r="AA267" s="739" t="e">
        <f t="shared" ref="AA267" si="153">AA259+AA263</f>
        <v>#REF!</v>
      </c>
    </row>
    <row r="268" spans="1:27">
      <c r="A268" s="732" t="s">
        <v>689</v>
      </c>
      <c r="B268" s="748" t="e">
        <f>B266+B267</f>
        <v>#REF!</v>
      </c>
      <c r="C268" s="748" t="e">
        <f t="shared" ref="C268:Z268" si="154">C266+C267</f>
        <v>#REF!</v>
      </c>
      <c r="D268" s="748" t="e">
        <f t="shared" si="154"/>
        <v>#REF!</v>
      </c>
      <c r="E268" s="748" t="e">
        <f t="shared" si="154"/>
        <v>#REF!</v>
      </c>
      <c r="F268" s="748" t="e">
        <f t="shared" si="154"/>
        <v>#REF!</v>
      </c>
      <c r="G268" s="748" t="e">
        <f t="shared" si="154"/>
        <v>#REF!</v>
      </c>
      <c r="H268" s="748" t="e">
        <f t="shared" si="154"/>
        <v>#REF!</v>
      </c>
      <c r="I268" s="748" t="e">
        <f t="shared" si="154"/>
        <v>#REF!</v>
      </c>
      <c r="J268" s="748" t="e">
        <f t="shared" si="154"/>
        <v>#REF!</v>
      </c>
      <c r="K268" s="748" t="e">
        <f t="shared" si="154"/>
        <v>#REF!</v>
      </c>
      <c r="L268" s="748" t="e">
        <f t="shared" si="154"/>
        <v>#REF!</v>
      </c>
      <c r="M268" s="748" t="e">
        <f t="shared" si="154"/>
        <v>#REF!</v>
      </c>
      <c r="N268" s="748" t="e">
        <f t="shared" si="154"/>
        <v>#REF!</v>
      </c>
      <c r="O268" s="748" t="e">
        <f t="shared" si="154"/>
        <v>#REF!</v>
      </c>
      <c r="P268" s="748" t="e">
        <f t="shared" si="154"/>
        <v>#REF!</v>
      </c>
      <c r="Q268" s="748" t="e">
        <f t="shared" si="154"/>
        <v>#REF!</v>
      </c>
      <c r="R268" s="748" t="e">
        <f t="shared" si="154"/>
        <v>#REF!</v>
      </c>
      <c r="S268" s="748" t="e">
        <f t="shared" si="154"/>
        <v>#REF!</v>
      </c>
      <c r="T268" s="748" t="e">
        <f t="shared" si="154"/>
        <v>#REF!</v>
      </c>
      <c r="U268" s="748" t="e">
        <f t="shared" si="154"/>
        <v>#REF!</v>
      </c>
      <c r="V268" s="748" t="e">
        <f t="shared" si="154"/>
        <v>#REF!</v>
      </c>
      <c r="W268" s="748" t="e">
        <f t="shared" si="154"/>
        <v>#REF!</v>
      </c>
      <c r="X268" s="748" t="e">
        <f t="shared" si="154"/>
        <v>#REF!</v>
      </c>
      <c r="Y268" s="748" t="e">
        <f t="shared" si="154"/>
        <v>#REF!</v>
      </c>
      <c r="Z268" s="748" t="e">
        <f t="shared" si="154"/>
        <v>#REF!</v>
      </c>
      <c r="AA268" s="748" t="e">
        <f t="shared" ref="AA268" si="155">AA266+AA267</f>
        <v>#REF!</v>
      </c>
    </row>
    <row r="270" spans="1:27">
      <c r="A270" s="730" t="s">
        <v>655</v>
      </c>
      <c r="B270" s="750" t="e">
        <f>B200+B237</f>
        <v>#REF!</v>
      </c>
      <c r="C270" s="750" t="e">
        <f t="shared" ref="C270:Z270" si="156">C200+C237</f>
        <v>#REF!</v>
      </c>
      <c r="D270" s="750" t="e">
        <f t="shared" si="156"/>
        <v>#REF!</v>
      </c>
      <c r="E270" s="750" t="e">
        <f t="shared" si="156"/>
        <v>#REF!</v>
      </c>
      <c r="F270" s="750" t="e">
        <f t="shared" si="156"/>
        <v>#REF!</v>
      </c>
      <c r="G270" s="750" t="e">
        <f t="shared" si="156"/>
        <v>#REF!</v>
      </c>
      <c r="H270" s="750" t="e">
        <f t="shared" si="156"/>
        <v>#REF!</v>
      </c>
      <c r="I270" s="750" t="e">
        <f t="shared" si="156"/>
        <v>#REF!</v>
      </c>
      <c r="J270" s="750" t="e">
        <f t="shared" si="156"/>
        <v>#REF!</v>
      </c>
      <c r="K270" s="750" t="e">
        <f t="shared" si="156"/>
        <v>#REF!</v>
      </c>
      <c r="L270" s="750" t="e">
        <f t="shared" si="156"/>
        <v>#REF!</v>
      </c>
      <c r="M270" s="750" t="e">
        <f t="shared" si="156"/>
        <v>#REF!</v>
      </c>
      <c r="N270" s="750" t="e">
        <f t="shared" si="156"/>
        <v>#REF!</v>
      </c>
      <c r="O270" s="750" t="e">
        <f t="shared" si="156"/>
        <v>#REF!</v>
      </c>
      <c r="P270" s="750" t="e">
        <f t="shared" si="156"/>
        <v>#REF!</v>
      </c>
      <c r="Q270" s="750" t="e">
        <f t="shared" si="156"/>
        <v>#REF!</v>
      </c>
      <c r="R270" s="750" t="e">
        <f t="shared" si="156"/>
        <v>#REF!</v>
      </c>
      <c r="S270" s="750" t="e">
        <f t="shared" si="156"/>
        <v>#REF!</v>
      </c>
      <c r="T270" s="750" t="e">
        <f t="shared" si="156"/>
        <v>#REF!</v>
      </c>
      <c r="U270" s="750" t="e">
        <f t="shared" si="156"/>
        <v>#REF!</v>
      </c>
      <c r="V270" s="750" t="e">
        <f t="shared" si="156"/>
        <v>#REF!</v>
      </c>
      <c r="W270" s="750" t="e">
        <f t="shared" si="156"/>
        <v>#REF!</v>
      </c>
      <c r="X270" s="750" t="e">
        <f t="shared" si="156"/>
        <v>#REF!</v>
      </c>
      <c r="Y270" s="750" t="e">
        <f t="shared" si="156"/>
        <v>#REF!</v>
      </c>
      <c r="Z270" s="750" t="e">
        <f t="shared" si="156"/>
        <v>#REF!</v>
      </c>
      <c r="AA270" s="750" t="e">
        <f t="shared" ref="AA270" si="157">AA200+AA237</f>
        <v>#REF!</v>
      </c>
    </row>
    <row r="271" spans="1:27">
      <c r="A271" s="730" t="s">
        <v>656</v>
      </c>
      <c r="B271" s="750" t="e">
        <f>B201</f>
        <v>#REF!</v>
      </c>
      <c r="C271" s="750" t="e">
        <f t="shared" ref="C271:Z271" si="158">C201</f>
        <v>#REF!</v>
      </c>
      <c r="D271" s="750" t="e">
        <f t="shared" si="158"/>
        <v>#REF!</v>
      </c>
      <c r="E271" s="750" t="e">
        <f t="shared" si="158"/>
        <v>#REF!</v>
      </c>
      <c r="F271" s="750" t="e">
        <f t="shared" si="158"/>
        <v>#REF!</v>
      </c>
      <c r="G271" s="750" t="e">
        <f t="shared" si="158"/>
        <v>#REF!</v>
      </c>
      <c r="H271" s="750" t="e">
        <f t="shared" si="158"/>
        <v>#REF!</v>
      </c>
      <c r="I271" s="750" t="e">
        <f t="shared" si="158"/>
        <v>#REF!</v>
      </c>
      <c r="J271" s="750" t="e">
        <f t="shared" si="158"/>
        <v>#REF!</v>
      </c>
      <c r="K271" s="750" t="e">
        <f t="shared" si="158"/>
        <v>#REF!</v>
      </c>
      <c r="L271" s="750" t="e">
        <f t="shared" si="158"/>
        <v>#REF!</v>
      </c>
      <c r="M271" s="750" t="e">
        <f t="shared" si="158"/>
        <v>#REF!</v>
      </c>
      <c r="N271" s="750" t="e">
        <f t="shared" si="158"/>
        <v>#REF!</v>
      </c>
      <c r="O271" s="750" t="e">
        <f t="shared" si="158"/>
        <v>#REF!</v>
      </c>
      <c r="P271" s="750" t="e">
        <f t="shared" si="158"/>
        <v>#REF!</v>
      </c>
      <c r="Q271" s="750" t="e">
        <f t="shared" si="158"/>
        <v>#REF!</v>
      </c>
      <c r="R271" s="750" t="e">
        <f t="shared" si="158"/>
        <v>#REF!</v>
      </c>
      <c r="S271" s="750" t="e">
        <f t="shared" si="158"/>
        <v>#REF!</v>
      </c>
      <c r="T271" s="750" t="e">
        <f t="shared" si="158"/>
        <v>#REF!</v>
      </c>
      <c r="U271" s="750" t="e">
        <f t="shared" si="158"/>
        <v>#REF!</v>
      </c>
      <c r="V271" s="750" t="e">
        <f t="shared" si="158"/>
        <v>#REF!</v>
      </c>
      <c r="W271" s="750" t="e">
        <f t="shared" si="158"/>
        <v>#REF!</v>
      </c>
      <c r="X271" s="750" t="e">
        <f t="shared" si="158"/>
        <v>#REF!</v>
      </c>
      <c r="Y271" s="750" t="e">
        <f t="shared" si="158"/>
        <v>#REF!</v>
      </c>
      <c r="Z271" s="750" t="e">
        <f t="shared" si="158"/>
        <v>#REF!</v>
      </c>
      <c r="AA271" s="750" t="e">
        <f t="shared" ref="AA271" si="159">AA201</f>
        <v>#REF!</v>
      </c>
    </row>
    <row r="272" spans="1:27">
      <c r="A272" s="732" t="s">
        <v>690</v>
      </c>
      <c r="B272" s="748" t="e">
        <f>B270+B271</f>
        <v>#REF!</v>
      </c>
      <c r="C272" s="748" t="e">
        <f t="shared" ref="C272:Z272" si="160">C270+C271</f>
        <v>#REF!</v>
      </c>
      <c r="D272" s="748" t="e">
        <f t="shared" si="160"/>
        <v>#REF!</v>
      </c>
      <c r="E272" s="748" t="e">
        <f t="shared" si="160"/>
        <v>#REF!</v>
      </c>
      <c r="F272" s="748" t="e">
        <f t="shared" si="160"/>
        <v>#REF!</v>
      </c>
      <c r="G272" s="748" t="e">
        <f t="shared" si="160"/>
        <v>#REF!</v>
      </c>
      <c r="H272" s="748" t="e">
        <f t="shared" si="160"/>
        <v>#REF!</v>
      </c>
      <c r="I272" s="748" t="e">
        <f t="shared" si="160"/>
        <v>#REF!</v>
      </c>
      <c r="J272" s="748" t="e">
        <f t="shared" si="160"/>
        <v>#REF!</v>
      </c>
      <c r="K272" s="748" t="e">
        <f t="shared" si="160"/>
        <v>#REF!</v>
      </c>
      <c r="L272" s="748" t="e">
        <f t="shared" si="160"/>
        <v>#REF!</v>
      </c>
      <c r="M272" s="748" t="e">
        <f t="shared" si="160"/>
        <v>#REF!</v>
      </c>
      <c r="N272" s="748" t="e">
        <f t="shared" si="160"/>
        <v>#REF!</v>
      </c>
      <c r="O272" s="748" t="e">
        <f t="shared" si="160"/>
        <v>#REF!</v>
      </c>
      <c r="P272" s="748" t="e">
        <f t="shared" si="160"/>
        <v>#REF!</v>
      </c>
      <c r="Q272" s="748" t="e">
        <f t="shared" si="160"/>
        <v>#REF!</v>
      </c>
      <c r="R272" s="748" t="e">
        <f t="shared" si="160"/>
        <v>#REF!</v>
      </c>
      <c r="S272" s="748" t="e">
        <f t="shared" si="160"/>
        <v>#REF!</v>
      </c>
      <c r="T272" s="748" t="e">
        <f t="shared" si="160"/>
        <v>#REF!</v>
      </c>
      <c r="U272" s="748" t="e">
        <f t="shared" si="160"/>
        <v>#REF!</v>
      </c>
      <c r="V272" s="748" t="e">
        <f t="shared" si="160"/>
        <v>#REF!</v>
      </c>
      <c r="W272" s="748" t="e">
        <f t="shared" si="160"/>
        <v>#REF!</v>
      </c>
      <c r="X272" s="748" t="e">
        <f t="shared" si="160"/>
        <v>#REF!</v>
      </c>
      <c r="Y272" s="748" t="e">
        <f t="shared" si="160"/>
        <v>#REF!</v>
      </c>
      <c r="Z272" s="748" t="e">
        <f t="shared" si="160"/>
        <v>#REF!</v>
      </c>
      <c r="AA272" s="748" t="e">
        <f t="shared" ref="AA272" si="161">AA270+AA271</f>
        <v>#REF!</v>
      </c>
    </row>
    <row r="274" spans="1:27">
      <c r="A274" s="730" t="s">
        <v>658</v>
      </c>
      <c r="B274" s="739" t="e">
        <f>B204+B238</f>
        <v>#REF!</v>
      </c>
      <c r="C274" s="739" t="e">
        <f t="shared" ref="C274:Z274" si="162">C204+C238</f>
        <v>#REF!</v>
      </c>
      <c r="D274" s="739" t="e">
        <f t="shared" si="162"/>
        <v>#REF!</v>
      </c>
      <c r="E274" s="739" t="e">
        <f t="shared" si="162"/>
        <v>#REF!</v>
      </c>
      <c r="F274" s="739" t="e">
        <f t="shared" si="162"/>
        <v>#REF!</v>
      </c>
      <c r="G274" s="739" t="e">
        <f t="shared" si="162"/>
        <v>#REF!</v>
      </c>
      <c r="H274" s="739" t="e">
        <f t="shared" si="162"/>
        <v>#REF!</v>
      </c>
      <c r="I274" s="739" t="e">
        <f t="shared" si="162"/>
        <v>#REF!</v>
      </c>
      <c r="J274" s="739" t="e">
        <f t="shared" si="162"/>
        <v>#REF!</v>
      </c>
      <c r="K274" s="739" t="e">
        <f t="shared" si="162"/>
        <v>#REF!</v>
      </c>
      <c r="L274" s="739" t="e">
        <f t="shared" si="162"/>
        <v>#REF!</v>
      </c>
      <c r="M274" s="739" t="e">
        <f t="shared" si="162"/>
        <v>#REF!</v>
      </c>
      <c r="N274" s="739" t="e">
        <f t="shared" si="162"/>
        <v>#REF!</v>
      </c>
      <c r="O274" s="739" t="e">
        <f t="shared" si="162"/>
        <v>#REF!</v>
      </c>
      <c r="P274" s="739" t="e">
        <f t="shared" si="162"/>
        <v>#REF!</v>
      </c>
      <c r="Q274" s="739" t="e">
        <f t="shared" si="162"/>
        <v>#REF!</v>
      </c>
      <c r="R274" s="739" t="e">
        <f t="shared" si="162"/>
        <v>#REF!</v>
      </c>
      <c r="S274" s="739" t="e">
        <f t="shared" si="162"/>
        <v>#REF!</v>
      </c>
      <c r="T274" s="739" t="e">
        <f t="shared" si="162"/>
        <v>#REF!</v>
      </c>
      <c r="U274" s="739" t="e">
        <f t="shared" si="162"/>
        <v>#REF!</v>
      </c>
      <c r="V274" s="739" t="e">
        <f t="shared" si="162"/>
        <v>#REF!</v>
      </c>
      <c r="W274" s="739" t="e">
        <f t="shared" si="162"/>
        <v>#REF!</v>
      </c>
      <c r="X274" s="739" t="e">
        <f t="shared" si="162"/>
        <v>#REF!</v>
      </c>
      <c r="Y274" s="739" t="e">
        <f t="shared" si="162"/>
        <v>#REF!</v>
      </c>
      <c r="Z274" s="739" t="e">
        <f t="shared" si="162"/>
        <v>#REF!</v>
      </c>
      <c r="AA274" s="739" t="e">
        <f t="shared" ref="AA274" si="163">AA204+AA238</f>
        <v>#REF!</v>
      </c>
    </row>
    <row r="275" spans="1:27">
      <c r="A275" s="732" t="s">
        <v>691</v>
      </c>
      <c r="B275" s="748" t="e">
        <f>B272+B274</f>
        <v>#REF!</v>
      </c>
      <c r="C275" s="748" t="e">
        <f t="shared" ref="C275:Z275" si="164">C272+C274</f>
        <v>#REF!</v>
      </c>
      <c r="D275" s="748" t="e">
        <f t="shared" si="164"/>
        <v>#REF!</v>
      </c>
      <c r="E275" s="748" t="e">
        <f t="shared" si="164"/>
        <v>#REF!</v>
      </c>
      <c r="F275" s="748" t="e">
        <f t="shared" si="164"/>
        <v>#REF!</v>
      </c>
      <c r="G275" s="748" t="e">
        <f t="shared" si="164"/>
        <v>#REF!</v>
      </c>
      <c r="H275" s="748" t="e">
        <f t="shared" si="164"/>
        <v>#REF!</v>
      </c>
      <c r="I275" s="748" t="e">
        <f t="shared" si="164"/>
        <v>#REF!</v>
      </c>
      <c r="J275" s="748" t="e">
        <f t="shared" si="164"/>
        <v>#REF!</v>
      </c>
      <c r="K275" s="748" t="e">
        <f t="shared" si="164"/>
        <v>#REF!</v>
      </c>
      <c r="L275" s="748" t="e">
        <f t="shared" si="164"/>
        <v>#REF!</v>
      </c>
      <c r="M275" s="748" t="e">
        <f t="shared" si="164"/>
        <v>#REF!</v>
      </c>
      <c r="N275" s="748" t="e">
        <f t="shared" si="164"/>
        <v>#REF!</v>
      </c>
      <c r="O275" s="748" t="e">
        <f t="shared" si="164"/>
        <v>#REF!</v>
      </c>
      <c r="P275" s="748" t="e">
        <f t="shared" si="164"/>
        <v>#REF!</v>
      </c>
      <c r="Q275" s="748" t="e">
        <f t="shared" si="164"/>
        <v>#REF!</v>
      </c>
      <c r="R275" s="748" t="e">
        <f t="shared" si="164"/>
        <v>#REF!</v>
      </c>
      <c r="S275" s="748" t="e">
        <f t="shared" si="164"/>
        <v>#REF!</v>
      </c>
      <c r="T275" s="748" t="e">
        <f t="shared" si="164"/>
        <v>#REF!</v>
      </c>
      <c r="U275" s="748" t="e">
        <f t="shared" si="164"/>
        <v>#REF!</v>
      </c>
      <c r="V275" s="748" t="e">
        <f t="shared" si="164"/>
        <v>#REF!</v>
      </c>
      <c r="W275" s="748" t="e">
        <f t="shared" si="164"/>
        <v>#REF!</v>
      </c>
      <c r="X275" s="748" t="e">
        <f t="shared" si="164"/>
        <v>#REF!</v>
      </c>
      <c r="Y275" s="748" t="e">
        <f t="shared" si="164"/>
        <v>#REF!</v>
      </c>
      <c r="Z275" s="748" t="e">
        <f t="shared" si="164"/>
        <v>#REF!</v>
      </c>
      <c r="AA275" s="748" t="e">
        <f t="shared" ref="AA275" si="165">AA272+AA274</f>
        <v>#REF!</v>
      </c>
    </row>
    <row r="277" spans="1:27">
      <c r="A277" s="730" t="s">
        <v>660</v>
      </c>
      <c r="B277" s="750" t="e">
        <f>B266+B270+B274</f>
        <v>#REF!</v>
      </c>
      <c r="C277" s="750" t="e">
        <f t="shared" ref="C277:Z277" si="166">C266+C270+C274</f>
        <v>#REF!</v>
      </c>
      <c r="D277" s="750" t="e">
        <f t="shared" si="166"/>
        <v>#REF!</v>
      </c>
      <c r="E277" s="750" t="e">
        <f t="shared" si="166"/>
        <v>#REF!</v>
      </c>
      <c r="F277" s="750" t="e">
        <f t="shared" si="166"/>
        <v>#REF!</v>
      </c>
      <c r="G277" s="750" t="e">
        <f t="shared" si="166"/>
        <v>#REF!</v>
      </c>
      <c r="H277" s="750" t="e">
        <f t="shared" si="166"/>
        <v>#REF!</v>
      </c>
      <c r="I277" s="750" t="e">
        <f t="shared" si="166"/>
        <v>#REF!</v>
      </c>
      <c r="J277" s="750" t="e">
        <f t="shared" si="166"/>
        <v>#REF!</v>
      </c>
      <c r="K277" s="750" t="e">
        <f t="shared" si="166"/>
        <v>#REF!</v>
      </c>
      <c r="L277" s="750" t="e">
        <f t="shared" si="166"/>
        <v>#REF!</v>
      </c>
      <c r="M277" s="750" t="e">
        <f t="shared" si="166"/>
        <v>#REF!</v>
      </c>
      <c r="N277" s="750" t="e">
        <f t="shared" si="166"/>
        <v>#REF!</v>
      </c>
      <c r="O277" s="750" t="e">
        <f t="shared" si="166"/>
        <v>#REF!</v>
      </c>
      <c r="P277" s="750" t="e">
        <f t="shared" si="166"/>
        <v>#REF!</v>
      </c>
      <c r="Q277" s="750" t="e">
        <f t="shared" si="166"/>
        <v>#REF!</v>
      </c>
      <c r="R277" s="750" t="e">
        <f t="shared" si="166"/>
        <v>#REF!</v>
      </c>
      <c r="S277" s="750" t="e">
        <f t="shared" si="166"/>
        <v>#REF!</v>
      </c>
      <c r="T277" s="750" t="e">
        <f t="shared" si="166"/>
        <v>#REF!</v>
      </c>
      <c r="U277" s="750" t="e">
        <f t="shared" si="166"/>
        <v>#REF!</v>
      </c>
      <c r="V277" s="750" t="e">
        <f t="shared" si="166"/>
        <v>#REF!</v>
      </c>
      <c r="W277" s="750" t="e">
        <f t="shared" si="166"/>
        <v>#REF!</v>
      </c>
      <c r="X277" s="750" t="e">
        <f t="shared" si="166"/>
        <v>#REF!</v>
      </c>
      <c r="Y277" s="750" t="e">
        <f t="shared" si="166"/>
        <v>#REF!</v>
      </c>
      <c r="Z277" s="750" t="e">
        <f t="shared" si="166"/>
        <v>#REF!</v>
      </c>
      <c r="AA277" s="750" t="e">
        <f t="shared" ref="AA277" si="167">AA266+AA270+AA274</f>
        <v>#REF!</v>
      </c>
    </row>
    <row r="278" spans="1:27">
      <c r="A278" s="730" t="s">
        <v>661</v>
      </c>
      <c r="B278" s="750" t="e">
        <f>B267+B271</f>
        <v>#REF!</v>
      </c>
      <c r="C278" s="750" t="e">
        <f t="shared" ref="C278:Z278" si="168">C267+C271</f>
        <v>#REF!</v>
      </c>
      <c r="D278" s="750" t="e">
        <f t="shared" si="168"/>
        <v>#REF!</v>
      </c>
      <c r="E278" s="750" t="e">
        <f t="shared" si="168"/>
        <v>#REF!</v>
      </c>
      <c r="F278" s="750" t="e">
        <f t="shared" si="168"/>
        <v>#REF!</v>
      </c>
      <c r="G278" s="750" t="e">
        <f t="shared" si="168"/>
        <v>#REF!</v>
      </c>
      <c r="H278" s="750" t="e">
        <f t="shared" si="168"/>
        <v>#REF!</v>
      </c>
      <c r="I278" s="750" t="e">
        <f t="shared" si="168"/>
        <v>#REF!</v>
      </c>
      <c r="J278" s="750" t="e">
        <f t="shared" si="168"/>
        <v>#REF!</v>
      </c>
      <c r="K278" s="750" t="e">
        <f t="shared" si="168"/>
        <v>#REF!</v>
      </c>
      <c r="L278" s="750" t="e">
        <f t="shared" si="168"/>
        <v>#REF!</v>
      </c>
      <c r="M278" s="750" t="e">
        <f t="shared" si="168"/>
        <v>#REF!</v>
      </c>
      <c r="N278" s="750" t="e">
        <f t="shared" si="168"/>
        <v>#REF!</v>
      </c>
      <c r="O278" s="750" t="e">
        <f t="shared" si="168"/>
        <v>#REF!</v>
      </c>
      <c r="P278" s="750" t="e">
        <f t="shared" si="168"/>
        <v>#REF!</v>
      </c>
      <c r="Q278" s="750" t="e">
        <f t="shared" si="168"/>
        <v>#REF!</v>
      </c>
      <c r="R278" s="750" t="e">
        <f t="shared" si="168"/>
        <v>#REF!</v>
      </c>
      <c r="S278" s="750" t="e">
        <f t="shared" si="168"/>
        <v>#REF!</v>
      </c>
      <c r="T278" s="750" t="e">
        <f t="shared" si="168"/>
        <v>#REF!</v>
      </c>
      <c r="U278" s="750" t="e">
        <f t="shared" si="168"/>
        <v>#REF!</v>
      </c>
      <c r="V278" s="750" t="e">
        <f t="shared" si="168"/>
        <v>#REF!</v>
      </c>
      <c r="W278" s="750" t="e">
        <f t="shared" si="168"/>
        <v>#REF!</v>
      </c>
      <c r="X278" s="750" t="e">
        <f t="shared" si="168"/>
        <v>#REF!</v>
      </c>
      <c r="Y278" s="750" t="e">
        <f t="shared" si="168"/>
        <v>#REF!</v>
      </c>
      <c r="Z278" s="750" t="e">
        <f t="shared" si="168"/>
        <v>#REF!</v>
      </c>
      <c r="AA278" s="750" t="e">
        <f t="shared" ref="AA278" si="169">AA267+AA271</f>
        <v>#REF!</v>
      </c>
    </row>
    <row r="279" spans="1:27">
      <c r="A279" s="732" t="s">
        <v>692</v>
      </c>
      <c r="B279" s="748" t="e">
        <f>B277+B278</f>
        <v>#REF!</v>
      </c>
      <c r="C279" s="748" t="e">
        <f t="shared" ref="C279:Z279" si="170">C277+C278</f>
        <v>#REF!</v>
      </c>
      <c r="D279" s="748" t="e">
        <f t="shared" si="170"/>
        <v>#REF!</v>
      </c>
      <c r="E279" s="748" t="e">
        <f t="shared" si="170"/>
        <v>#REF!</v>
      </c>
      <c r="F279" s="748" t="e">
        <f t="shared" si="170"/>
        <v>#REF!</v>
      </c>
      <c r="G279" s="748" t="e">
        <f t="shared" si="170"/>
        <v>#REF!</v>
      </c>
      <c r="H279" s="748" t="e">
        <f t="shared" si="170"/>
        <v>#REF!</v>
      </c>
      <c r="I279" s="748" t="e">
        <f t="shared" si="170"/>
        <v>#REF!</v>
      </c>
      <c r="J279" s="748" t="e">
        <f t="shared" si="170"/>
        <v>#REF!</v>
      </c>
      <c r="K279" s="748" t="e">
        <f t="shared" si="170"/>
        <v>#REF!</v>
      </c>
      <c r="L279" s="748" t="e">
        <f t="shared" si="170"/>
        <v>#REF!</v>
      </c>
      <c r="M279" s="748" t="e">
        <f t="shared" si="170"/>
        <v>#REF!</v>
      </c>
      <c r="N279" s="748" t="e">
        <f t="shared" si="170"/>
        <v>#REF!</v>
      </c>
      <c r="O279" s="748" t="e">
        <f t="shared" si="170"/>
        <v>#REF!</v>
      </c>
      <c r="P279" s="748" t="e">
        <f t="shared" si="170"/>
        <v>#REF!</v>
      </c>
      <c r="Q279" s="748" t="e">
        <f t="shared" si="170"/>
        <v>#REF!</v>
      </c>
      <c r="R279" s="748" t="e">
        <f t="shared" si="170"/>
        <v>#REF!</v>
      </c>
      <c r="S279" s="748" t="e">
        <f t="shared" si="170"/>
        <v>#REF!</v>
      </c>
      <c r="T279" s="748" t="e">
        <f t="shared" si="170"/>
        <v>#REF!</v>
      </c>
      <c r="U279" s="748" t="e">
        <f t="shared" si="170"/>
        <v>#REF!</v>
      </c>
      <c r="V279" s="748" t="e">
        <f t="shared" si="170"/>
        <v>#REF!</v>
      </c>
      <c r="W279" s="748" t="e">
        <f t="shared" si="170"/>
        <v>#REF!</v>
      </c>
      <c r="X279" s="748" t="e">
        <f t="shared" si="170"/>
        <v>#REF!</v>
      </c>
      <c r="Y279" s="748" t="e">
        <f t="shared" si="170"/>
        <v>#REF!</v>
      </c>
      <c r="Z279" s="748" t="e">
        <f t="shared" si="170"/>
        <v>#REF!</v>
      </c>
      <c r="AA279" s="748" t="e">
        <f t="shared" ref="AA279" si="171">AA277+AA278</f>
        <v>#REF!</v>
      </c>
    </row>
    <row r="281" spans="1:27">
      <c r="A281" s="730" t="s">
        <v>693</v>
      </c>
      <c r="B281" s="750" t="e">
        <f>B211+B243</f>
        <v>#REF!</v>
      </c>
      <c r="C281" s="750" t="e">
        <f t="shared" ref="C281:Z282" si="172">C211+C243</f>
        <v>#REF!</v>
      </c>
      <c r="D281" s="750" t="e">
        <f t="shared" si="172"/>
        <v>#REF!</v>
      </c>
      <c r="E281" s="750" t="e">
        <f t="shared" si="172"/>
        <v>#REF!</v>
      </c>
      <c r="F281" s="750" t="e">
        <f t="shared" si="172"/>
        <v>#REF!</v>
      </c>
      <c r="G281" s="750" t="e">
        <f t="shared" si="172"/>
        <v>#REF!</v>
      </c>
      <c r="H281" s="750" t="e">
        <f t="shared" si="172"/>
        <v>#REF!</v>
      </c>
      <c r="I281" s="750" t="e">
        <f t="shared" si="172"/>
        <v>#REF!</v>
      </c>
      <c r="J281" s="750" t="e">
        <f t="shared" si="172"/>
        <v>#REF!</v>
      </c>
      <c r="K281" s="750" t="e">
        <f t="shared" si="172"/>
        <v>#REF!</v>
      </c>
      <c r="L281" s="750" t="e">
        <f t="shared" si="172"/>
        <v>#REF!</v>
      </c>
      <c r="M281" s="750" t="e">
        <f t="shared" si="172"/>
        <v>#REF!</v>
      </c>
      <c r="N281" s="750" t="e">
        <f t="shared" si="172"/>
        <v>#REF!</v>
      </c>
      <c r="O281" s="750" t="e">
        <f t="shared" si="172"/>
        <v>#REF!</v>
      </c>
      <c r="P281" s="750" t="e">
        <f t="shared" si="172"/>
        <v>#REF!</v>
      </c>
      <c r="Q281" s="750" t="e">
        <f t="shared" si="172"/>
        <v>#REF!</v>
      </c>
      <c r="R281" s="750" t="e">
        <f t="shared" si="172"/>
        <v>#REF!</v>
      </c>
      <c r="S281" s="750" t="e">
        <f t="shared" si="172"/>
        <v>#REF!</v>
      </c>
      <c r="T281" s="750" t="e">
        <f t="shared" si="172"/>
        <v>#REF!</v>
      </c>
      <c r="U281" s="750" t="e">
        <f t="shared" si="172"/>
        <v>#REF!</v>
      </c>
      <c r="V281" s="750" t="e">
        <f t="shared" si="172"/>
        <v>#REF!</v>
      </c>
      <c r="W281" s="750" t="e">
        <f t="shared" si="172"/>
        <v>#REF!</v>
      </c>
      <c r="X281" s="750" t="e">
        <f t="shared" si="172"/>
        <v>#REF!</v>
      </c>
      <c r="Y281" s="750" t="e">
        <f t="shared" si="172"/>
        <v>#REF!</v>
      </c>
      <c r="Z281" s="750" t="e">
        <f t="shared" si="172"/>
        <v>#REF!</v>
      </c>
      <c r="AA281" s="750" t="e">
        <f t="shared" ref="AA281" si="173">AA211+AA243</f>
        <v>#REF!</v>
      </c>
    </row>
    <row r="282" spans="1:27">
      <c r="A282" s="730" t="s">
        <v>694</v>
      </c>
      <c r="B282" s="750" t="e">
        <f>B212+B244</f>
        <v>#REF!</v>
      </c>
      <c r="C282" s="750" t="e">
        <f t="shared" si="172"/>
        <v>#REF!</v>
      </c>
      <c r="D282" s="750" t="e">
        <f t="shared" si="172"/>
        <v>#REF!</v>
      </c>
      <c r="E282" s="750" t="e">
        <f t="shared" si="172"/>
        <v>#REF!</v>
      </c>
      <c r="F282" s="750" t="e">
        <f t="shared" si="172"/>
        <v>#REF!</v>
      </c>
      <c r="G282" s="750" t="e">
        <f t="shared" si="172"/>
        <v>#REF!</v>
      </c>
      <c r="H282" s="750" t="e">
        <f t="shared" si="172"/>
        <v>#REF!</v>
      </c>
      <c r="I282" s="750" t="e">
        <f t="shared" si="172"/>
        <v>#REF!</v>
      </c>
      <c r="J282" s="750" t="e">
        <f t="shared" si="172"/>
        <v>#REF!</v>
      </c>
      <c r="K282" s="750" t="e">
        <f t="shared" si="172"/>
        <v>#REF!</v>
      </c>
      <c r="L282" s="750" t="e">
        <f t="shared" si="172"/>
        <v>#REF!</v>
      </c>
      <c r="M282" s="750" t="e">
        <f t="shared" si="172"/>
        <v>#REF!</v>
      </c>
      <c r="N282" s="750" t="e">
        <f t="shared" si="172"/>
        <v>#REF!</v>
      </c>
      <c r="O282" s="750" t="e">
        <f t="shared" si="172"/>
        <v>#REF!</v>
      </c>
      <c r="P282" s="750" t="e">
        <f t="shared" si="172"/>
        <v>#REF!</v>
      </c>
      <c r="Q282" s="750" t="e">
        <f t="shared" si="172"/>
        <v>#REF!</v>
      </c>
      <c r="R282" s="750" t="e">
        <f t="shared" si="172"/>
        <v>#REF!</v>
      </c>
      <c r="S282" s="750" t="e">
        <f t="shared" si="172"/>
        <v>#REF!</v>
      </c>
      <c r="T282" s="750" t="e">
        <f t="shared" si="172"/>
        <v>#REF!</v>
      </c>
      <c r="U282" s="750" t="e">
        <f t="shared" si="172"/>
        <v>#REF!</v>
      </c>
      <c r="V282" s="750" t="e">
        <f t="shared" si="172"/>
        <v>#REF!</v>
      </c>
      <c r="W282" s="750" t="e">
        <f t="shared" si="172"/>
        <v>#REF!</v>
      </c>
      <c r="X282" s="750" t="e">
        <f t="shared" si="172"/>
        <v>#REF!</v>
      </c>
      <c r="Y282" s="750" t="e">
        <f t="shared" si="172"/>
        <v>#REF!</v>
      </c>
      <c r="Z282" s="750" t="e">
        <f t="shared" si="172"/>
        <v>#REF!</v>
      </c>
      <c r="AA282" s="750" t="e">
        <f t="shared" ref="AA282" si="174">AA212+AA244</f>
        <v>#REF!</v>
      </c>
    </row>
    <row r="283" spans="1:27">
      <c r="A283" s="732" t="s">
        <v>690</v>
      </c>
      <c r="B283" s="748" t="e">
        <f>B281+B282</f>
        <v>#REF!</v>
      </c>
      <c r="C283" s="748" t="e">
        <f t="shared" ref="C283:Z283" si="175">C281+C282</f>
        <v>#REF!</v>
      </c>
      <c r="D283" s="748" t="e">
        <f t="shared" si="175"/>
        <v>#REF!</v>
      </c>
      <c r="E283" s="748" t="e">
        <f t="shared" si="175"/>
        <v>#REF!</v>
      </c>
      <c r="F283" s="748" t="e">
        <f t="shared" si="175"/>
        <v>#REF!</v>
      </c>
      <c r="G283" s="748" t="e">
        <f t="shared" si="175"/>
        <v>#REF!</v>
      </c>
      <c r="H283" s="748" t="e">
        <f t="shared" si="175"/>
        <v>#REF!</v>
      </c>
      <c r="I283" s="748" t="e">
        <f t="shared" si="175"/>
        <v>#REF!</v>
      </c>
      <c r="J283" s="748" t="e">
        <f t="shared" si="175"/>
        <v>#REF!</v>
      </c>
      <c r="K283" s="748" t="e">
        <f t="shared" si="175"/>
        <v>#REF!</v>
      </c>
      <c r="L283" s="748" t="e">
        <f t="shared" si="175"/>
        <v>#REF!</v>
      </c>
      <c r="M283" s="748" t="e">
        <f t="shared" si="175"/>
        <v>#REF!</v>
      </c>
      <c r="N283" s="748" t="e">
        <f t="shared" si="175"/>
        <v>#REF!</v>
      </c>
      <c r="O283" s="748" t="e">
        <f t="shared" si="175"/>
        <v>#REF!</v>
      </c>
      <c r="P283" s="748" t="e">
        <f t="shared" si="175"/>
        <v>#REF!</v>
      </c>
      <c r="Q283" s="748" t="e">
        <f t="shared" si="175"/>
        <v>#REF!</v>
      </c>
      <c r="R283" s="748" t="e">
        <f t="shared" si="175"/>
        <v>#REF!</v>
      </c>
      <c r="S283" s="748" t="e">
        <f t="shared" si="175"/>
        <v>#REF!</v>
      </c>
      <c r="T283" s="748" t="e">
        <f t="shared" si="175"/>
        <v>#REF!</v>
      </c>
      <c r="U283" s="748" t="e">
        <f t="shared" si="175"/>
        <v>#REF!</v>
      </c>
      <c r="V283" s="748" t="e">
        <f t="shared" si="175"/>
        <v>#REF!</v>
      </c>
      <c r="W283" s="748" t="e">
        <f t="shared" si="175"/>
        <v>#REF!</v>
      </c>
      <c r="X283" s="748" t="e">
        <f t="shared" si="175"/>
        <v>#REF!</v>
      </c>
      <c r="Y283" s="748" t="e">
        <f t="shared" si="175"/>
        <v>#REF!</v>
      </c>
      <c r="Z283" s="748" t="e">
        <f t="shared" si="175"/>
        <v>#REF!</v>
      </c>
      <c r="AA283" s="748" t="e">
        <f t="shared" ref="AA283" si="176">AA281+AA282</f>
        <v>#REF!</v>
      </c>
    </row>
    <row r="285" spans="1:27">
      <c r="A285" s="730" t="s">
        <v>695</v>
      </c>
      <c r="B285" s="739" t="e">
        <f>B219+B247</f>
        <v>#REF!</v>
      </c>
      <c r="C285" s="739" t="e">
        <f t="shared" ref="C285:Z285" si="177">C219+C247</f>
        <v>#REF!</v>
      </c>
      <c r="D285" s="739" t="e">
        <f t="shared" si="177"/>
        <v>#REF!</v>
      </c>
      <c r="E285" s="739" t="e">
        <f t="shared" si="177"/>
        <v>#REF!</v>
      </c>
      <c r="F285" s="739" t="e">
        <f t="shared" si="177"/>
        <v>#REF!</v>
      </c>
      <c r="G285" s="739" t="e">
        <f t="shared" si="177"/>
        <v>#REF!</v>
      </c>
      <c r="H285" s="739" t="e">
        <f t="shared" si="177"/>
        <v>#REF!</v>
      </c>
      <c r="I285" s="739" t="e">
        <f t="shared" si="177"/>
        <v>#REF!</v>
      </c>
      <c r="J285" s="739" t="e">
        <f t="shared" si="177"/>
        <v>#REF!</v>
      </c>
      <c r="K285" s="739" t="e">
        <f t="shared" si="177"/>
        <v>#REF!</v>
      </c>
      <c r="L285" s="739" t="e">
        <f t="shared" si="177"/>
        <v>#REF!</v>
      </c>
      <c r="M285" s="739" t="e">
        <f t="shared" si="177"/>
        <v>#REF!</v>
      </c>
      <c r="N285" s="739" t="e">
        <f t="shared" si="177"/>
        <v>#REF!</v>
      </c>
      <c r="O285" s="739" t="e">
        <f t="shared" si="177"/>
        <v>#REF!</v>
      </c>
      <c r="P285" s="739" t="e">
        <f t="shared" si="177"/>
        <v>#REF!</v>
      </c>
      <c r="Q285" s="739" t="e">
        <f t="shared" si="177"/>
        <v>#REF!</v>
      </c>
      <c r="R285" s="739" t="e">
        <f t="shared" si="177"/>
        <v>#REF!</v>
      </c>
      <c r="S285" s="739" t="e">
        <f t="shared" si="177"/>
        <v>#REF!</v>
      </c>
      <c r="T285" s="739" t="e">
        <f t="shared" si="177"/>
        <v>#REF!</v>
      </c>
      <c r="U285" s="739" t="e">
        <f t="shared" si="177"/>
        <v>#REF!</v>
      </c>
      <c r="V285" s="739" t="e">
        <f t="shared" si="177"/>
        <v>#REF!</v>
      </c>
      <c r="W285" s="739" t="e">
        <f t="shared" si="177"/>
        <v>#REF!</v>
      </c>
      <c r="X285" s="739" t="e">
        <f t="shared" si="177"/>
        <v>#REF!</v>
      </c>
      <c r="Y285" s="739" t="e">
        <f t="shared" si="177"/>
        <v>#REF!</v>
      </c>
      <c r="Z285" s="739" t="e">
        <f t="shared" si="177"/>
        <v>#REF!</v>
      </c>
      <c r="AA285" s="739" t="e">
        <f t="shared" ref="AA285" si="178">AA219+AA247</f>
        <v>#REF!</v>
      </c>
    </row>
    <row r="300" spans="1:27">
      <c r="A300" s="733" t="s">
        <v>512</v>
      </c>
      <c r="B300" s="734"/>
      <c r="C300" s="734"/>
      <c r="D300" s="734"/>
      <c r="E300" s="734"/>
      <c r="F300" s="734"/>
      <c r="G300" s="734"/>
      <c r="H300" s="734"/>
      <c r="I300" s="734"/>
      <c r="J300" s="734"/>
      <c r="K300" s="734"/>
      <c r="L300" s="734"/>
      <c r="M300" s="734"/>
      <c r="N300" s="734"/>
      <c r="O300" s="734"/>
      <c r="P300" s="734"/>
      <c r="Q300" s="734"/>
      <c r="R300" s="734"/>
      <c r="S300" s="734"/>
      <c r="T300" s="734"/>
      <c r="U300" s="734"/>
      <c r="V300" s="734"/>
      <c r="W300" s="734"/>
      <c r="X300" s="734"/>
      <c r="Y300" s="734"/>
      <c r="Z300" s="734"/>
      <c r="AA300" s="734"/>
    </row>
    <row r="302" spans="1:27">
      <c r="A302" s="735" t="s">
        <v>696</v>
      </c>
      <c r="B302" s="735">
        <f>B$12</f>
        <v>2003</v>
      </c>
      <c r="C302" s="735">
        <f t="shared" ref="C302:AA302" si="179">C$12</f>
        <v>2004</v>
      </c>
      <c r="D302" s="735">
        <f t="shared" si="179"/>
        <v>2005</v>
      </c>
      <c r="E302" s="735">
        <f t="shared" si="179"/>
        <v>2006</v>
      </c>
      <c r="F302" s="735">
        <f t="shared" si="179"/>
        <v>2007</v>
      </c>
      <c r="G302" s="735">
        <f t="shared" si="179"/>
        <v>2008</v>
      </c>
      <c r="H302" s="735">
        <f t="shared" si="179"/>
        <v>2009</v>
      </c>
      <c r="I302" s="735">
        <f t="shared" si="179"/>
        <v>2010</v>
      </c>
      <c r="J302" s="735">
        <f t="shared" si="179"/>
        <v>2011</v>
      </c>
      <c r="K302" s="735">
        <f t="shared" si="179"/>
        <v>2012</v>
      </c>
      <c r="L302" s="735">
        <f t="shared" si="179"/>
        <v>2013</v>
      </c>
      <c r="M302" s="735">
        <f t="shared" si="179"/>
        <v>2014</v>
      </c>
      <c r="N302" s="735">
        <f t="shared" si="179"/>
        <v>2015</v>
      </c>
      <c r="O302" s="735">
        <f t="shared" si="179"/>
        <v>2016</v>
      </c>
      <c r="P302" s="735">
        <f t="shared" si="179"/>
        <v>2017</v>
      </c>
      <c r="Q302" s="735">
        <f t="shared" si="179"/>
        <v>2018</v>
      </c>
      <c r="R302" s="735">
        <f t="shared" si="179"/>
        <v>2019</v>
      </c>
      <c r="S302" s="735">
        <f t="shared" si="179"/>
        <v>2020</v>
      </c>
      <c r="T302" s="735">
        <f t="shared" si="179"/>
        <v>2021</v>
      </c>
      <c r="U302" s="735">
        <f t="shared" si="179"/>
        <v>2022</v>
      </c>
      <c r="V302" s="735">
        <f t="shared" si="179"/>
        <v>2023</v>
      </c>
      <c r="W302" s="735">
        <f t="shared" si="179"/>
        <v>2024</v>
      </c>
      <c r="X302" s="735">
        <f t="shared" si="179"/>
        <v>2025</v>
      </c>
      <c r="Y302" s="735">
        <f t="shared" si="179"/>
        <v>2026</v>
      </c>
      <c r="Z302" s="735">
        <f t="shared" si="179"/>
        <v>2027</v>
      </c>
      <c r="AA302" s="735">
        <f t="shared" si="179"/>
        <v>2028</v>
      </c>
    </row>
    <row r="304" spans="1:27" ht="15">
      <c r="A304" s="730" t="s">
        <v>697</v>
      </c>
      <c r="B304" s="736" t="e">
        <f>B359</f>
        <v>#REF!</v>
      </c>
      <c r="C304" s="736" t="e">
        <f t="shared" ref="C304:Z304" si="180">C359</f>
        <v>#REF!</v>
      </c>
      <c r="D304" s="736" t="e">
        <f t="shared" si="180"/>
        <v>#REF!</v>
      </c>
      <c r="E304" s="736" t="e">
        <f t="shared" si="180"/>
        <v>#REF!</v>
      </c>
      <c r="F304" s="736" t="e">
        <f t="shared" si="180"/>
        <v>#REF!</v>
      </c>
      <c r="G304" s="736" t="e">
        <f t="shared" si="180"/>
        <v>#REF!</v>
      </c>
      <c r="H304" s="736" t="e">
        <f t="shared" si="180"/>
        <v>#REF!</v>
      </c>
      <c r="I304" s="736" t="e">
        <f t="shared" si="180"/>
        <v>#REF!</v>
      </c>
      <c r="J304" s="736" t="e">
        <f t="shared" si="180"/>
        <v>#REF!</v>
      </c>
      <c r="K304" s="736" t="e">
        <f t="shared" si="180"/>
        <v>#REF!</v>
      </c>
      <c r="L304" s="736" t="e">
        <f t="shared" si="180"/>
        <v>#REF!</v>
      </c>
      <c r="M304" s="736" t="e">
        <f t="shared" si="180"/>
        <v>#REF!</v>
      </c>
      <c r="N304" s="736" t="e">
        <f t="shared" si="180"/>
        <v>#REF!</v>
      </c>
      <c r="O304" s="736" t="e">
        <f t="shared" si="180"/>
        <v>#REF!</v>
      </c>
      <c r="P304" s="736" t="e">
        <f t="shared" si="180"/>
        <v>#REF!</v>
      </c>
      <c r="Q304" s="736" t="e">
        <f t="shared" si="180"/>
        <v>#REF!</v>
      </c>
      <c r="R304" s="736" t="e">
        <f t="shared" si="180"/>
        <v>#REF!</v>
      </c>
      <c r="S304" s="736" t="e">
        <f t="shared" si="180"/>
        <v>#REF!</v>
      </c>
      <c r="T304" s="736" t="e">
        <f t="shared" si="180"/>
        <v>#REF!</v>
      </c>
      <c r="U304" s="736" t="e">
        <f t="shared" si="180"/>
        <v>#REF!</v>
      </c>
      <c r="V304" s="736" t="e">
        <f t="shared" si="180"/>
        <v>#REF!</v>
      </c>
      <c r="W304" s="736" t="e">
        <f t="shared" si="180"/>
        <v>#REF!</v>
      </c>
      <c r="X304" s="736" t="e">
        <f t="shared" si="180"/>
        <v>#REF!</v>
      </c>
      <c r="Y304" s="736" t="e">
        <f t="shared" si="180"/>
        <v>#REF!</v>
      </c>
      <c r="Z304" s="736" t="e">
        <f t="shared" si="180"/>
        <v>#REF!</v>
      </c>
      <c r="AA304" s="736" t="e">
        <f t="shared" ref="AA304" si="181">AA359</f>
        <v>#REF!</v>
      </c>
    </row>
    <row r="305" spans="1:27" ht="15">
      <c r="B305" s="736"/>
      <c r="C305" s="736"/>
      <c r="D305" s="736"/>
      <c r="E305" s="736"/>
      <c r="F305" s="736"/>
      <c r="G305" s="736"/>
      <c r="H305" s="736"/>
      <c r="I305" s="736"/>
      <c r="J305" s="736"/>
      <c r="K305" s="736"/>
      <c r="L305" s="736"/>
      <c r="M305" s="736"/>
      <c r="N305" s="736"/>
      <c r="O305" s="736"/>
      <c r="P305" s="736"/>
      <c r="Q305" s="736"/>
      <c r="R305" s="736"/>
      <c r="S305" s="736"/>
      <c r="T305" s="736"/>
      <c r="U305" s="736"/>
      <c r="V305" s="736"/>
      <c r="W305" s="736"/>
      <c r="X305" s="736"/>
      <c r="Y305" s="736"/>
      <c r="Z305" s="736"/>
      <c r="AA305" s="736"/>
    </row>
    <row r="306" spans="1:27" ht="15">
      <c r="A306" s="730" t="s">
        <v>589</v>
      </c>
      <c r="B306" s="736" t="e">
        <f>B385</f>
        <v>#REF!</v>
      </c>
      <c r="C306" s="736" t="e">
        <f t="shared" ref="C306:Z306" si="182">C385</f>
        <v>#REF!</v>
      </c>
      <c r="D306" s="736" t="e">
        <f t="shared" si="182"/>
        <v>#REF!</v>
      </c>
      <c r="E306" s="736" t="e">
        <f t="shared" si="182"/>
        <v>#REF!</v>
      </c>
      <c r="F306" s="736" t="e">
        <f t="shared" si="182"/>
        <v>#REF!</v>
      </c>
      <c r="G306" s="736" t="e">
        <f t="shared" si="182"/>
        <v>#REF!</v>
      </c>
      <c r="H306" s="736" t="e">
        <f t="shared" si="182"/>
        <v>#REF!</v>
      </c>
      <c r="I306" s="736" t="e">
        <f t="shared" si="182"/>
        <v>#REF!</v>
      </c>
      <c r="J306" s="736" t="e">
        <f t="shared" si="182"/>
        <v>#REF!</v>
      </c>
      <c r="K306" s="736" t="e">
        <f t="shared" si="182"/>
        <v>#REF!</v>
      </c>
      <c r="L306" s="736" t="e">
        <f t="shared" si="182"/>
        <v>#REF!</v>
      </c>
      <c r="M306" s="736" t="e">
        <f t="shared" si="182"/>
        <v>#REF!</v>
      </c>
      <c r="N306" s="736" t="e">
        <f t="shared" si="182"/>
        <v>#REF!</v>
      </c>
      <c r="O306" s="736" t="e">
        <f t="shared" si="182"/>
        <v>#REF!</v>
      </c>
      <c r="P306" s="736" t="e">
        <f t="shared" si="182"/>
        <v>#REF!</v>
      </c>
      <c r="Q306" s="736" t="e">
        <f t="shared" si="182"/>
        <v>#REF!</v>
      </c>
      <c r="R306" s="736" t="e">
        <f t="shared" si="182"/>
        <v>#REF!</v>
      </c>
      <c r="S306" s="736" t="e">
        <f t="shared" si="182"/>
        <v>#REF!</v>
      </c>
      <c r="T306" s="736" t="e">
        <f t="shared" si="182"/>
        <v>#REF!</v>
      </c>
      <c r="U306" s="736" t="e">
        <f t="shared" si="182"/>
        <v>#REF!</v>
      </c>
      <c r="V306" s="736" t="e">
        <f t="shared" si="182"/>
        <v>#REF!</v>
      </c>
      <c r="W306" s="736" t="e">
        <f t="shared" si="182"/>
        <v>#REF!</v>
      </c>
      <c r="X306" s="736" t="e">
        <f t="shared" si="182"/>
        <v>#REF!</v>
      </c>
      <c r="Y306" s="736" t="e">
        <f t="shared" si="182"/>
        <v>#REF!</v>
      </c>
      <c r="Z306" s="736" t="e">
        <f t="shared" si="182"/>
        <v>#REF!</v>
      </c>
      <c r="AA306" s="736" t="e">
        <f t="shared" ref="AA306" si="183">AA385</f>
        <v>#REF!</v>
      </c>
    </row>
    <row r="307" spans="1:27" ht="15">
      <c r="B307" s="736"/>
      <c r="C307" s="736"/>
      <c r="D307" s="736"/>
      <c r="E307" s="736"/>
      <c r="F307" s="736"/>
      <c r="G307" s="736"/>
      <c r="H307" s="736"/>
      <c r="I307" s="736"/>
      <c r="J307" s="736"/>
      <c r="K307" s="736"/>
      <c r="L307" s="736"/>
      <c r="M307" s="736"/>
      <c r="N307" s="736"/>
      <c r="O307" s="736"/>
      <c r="P307" s="736"/>
      <c r="Q307" s="736"/>
      <c r="R307" s="736"/>
      <c r="S307" s="736"/>
      <c r="T307" s="736"/>
      <c r="U307" s="736"/>
      <c r="V307" s="736"/>
      <c r="W307" s="736"/>
      <c r="X307" s="736"/>
      <c r="Y307" s="736"/>
      <c r="Z307" s="736"/>
      <c r="AA307" s="736"/>
    </row>
    <row r="308" spans="1:27" ht="15">
      <c r="A308" s="730" t="s">
        <v>594</v>
      </c>
      <c r="B308" s="736" t="e">
        <f>B410</f>
        <v>#REF!</v>
      </c>
      <c r="C308" s="736" t="e">
        <f t="shared" ref="C308:Z308" si="184">C410</f>
        <v>#REF!</v>
      </c>
      <c r="D308" s="736" t="e">
        <f t="shared" si="184"/>
        <v>#REF!</v>
      </c>
      <c r="E308" s="736" t="e">
        <f t="shared" si="184"/>
        <v>#REF!</v>
      </c>
      <c r="F308" s="736" t="e">
        <f t="shared" si="184"/>
        <v>#REF!</v>
      </c>
      <c r="G308" s="736" t="e">
        <f t="shared" si="184"/>
        <v>#REF!</v>
      </c>
      <c r="H308" s="736" t="e">
        <f t="shared" si="184"/>
        <v>#REF!</v>
      </c>
      <c r="I308" s="736" t="e">
        <f t="shared" si="184"/>
        <v>#REF!</v>
      </c>
      <c r="J308" s="736" t="e">
        <f t="shared" si="184"/>
        <v>#REF!</v>
      </c>
      <c r="K308" s="736" t="e">
        <f t="shared" si="184"/>
        <v>#REF!</v>
      </c>
      <c r="L308" s="736" t="e">
        <f t="shared" si="184"/>
        <v>#REF!</v>
      </c>
      <c r="M308" s="736" t="e">
        <f t="shared" si="184"/>
        <v>#REF!</v>
      </c>
      <c r="N308" s="736" t="e">
        <f t="shared" si="184"/>
        <v>#REF!</v>
      </c>
      <c r="O308" s="736" t="e">
        <f t="shared" si="184"/>
        <v>#REF!</v>
      </c>
      <c r="P308" s="736" t="e">
        <f t="shared" si="184"/>
        <v>#REF!</v>
      </c>
      <c r="Q308" s="736" t="e">
        <f t="shared" si="184"/>
        <v>#REF!</v>
      </c>
      <c r="R308" s="736" t="e">
        <f t="shared" si="184"/>
        <v>#REF!</v>
      </c>
      <c r="S308" s="736" t="e">
        <f t="shared" si="184"/>
        <v>#REF!</v>
      </c>
      <c r="T308" s="736" t="e">
        <f t="shared" si="184"/>
        <v>#REF!</v>
      </c>
      <c r="U308" s="736" t="e">
        <f t="shared" si="184"/>
        <v>#REF!</v>
      </c>
      <c r="V308" s="736" t="e">
        <f t="shared" si="184"/>
        <v>#REF!</v>
      </c>
      <c r="W308" s="736" t="e">
        <f t="shared" si="184"/>
        <v>#REF!</v>
      </c>
      <c r="X308" s="736" t="e">
        <f t="shared" si="184"/>
        <v>#REF!</v>
      </c>
      <c r="Y308" s="736" t="e">
        <f t="shared" si="184"/>
        <v>#REF!</v>
      </c>
      <c r="Z308" s="736" t="e">
        <f t="shared" si="184"/>
        <v>#REF!</v>
      </c>
      <c r="AA308" s="736" t="e">
        <f t="shared" ref="AA308" si="185">AA410</f>
        <v>#REF!</v>
      </c>
    </row>
    <row r="309" spans="1:27" ht="15">
      <c r="B309" s="736"/>
      <c r="C309" s="736"/>
      <c r="D309" s="736"/>
      <c r="E309" s="736"/>
      <c r="F309" s="736"/>
      <c r="G309" s="736"/>
      <c r="H309" s="736"/>
      <c r="I309" s="736"/>
      <c r="J309" s="736"/>
      <c r="K309" s="736"/>
      <c r="L309" s="736"/>
      <c r="M309" s="736"/>
      <c r="N309" s="736"/>
      <c r="O309" s="736"/>
      <c r="P309" s="736"/>
      <c r="Q309" s="736"/>
      <c r="R309" s="736"/>
      <c r="S309" s="736"/>
      <c r="T309" s="736"/>
      <c r="U309" s="736"/>
      <c r="V309" s="736"/>
      <c r="W309" s="736"/>
      <c r="X309" s="736"/>
      <c r="Y309" s="736"/>
      <c r="Z309" s="736"/>
      <c r="AA309" s="736"/>
    </row>
    <row r="310" spans="1:27" ht="15">
      <c r="A310" s="730" t="s">
        <v>599</v>
      </c>
      <c r="B310" s="736" t="e">
        <f>B304+B306</f>
        <v>#REF!</v>
      </c>
      <c r="C310" s="736" t="e">
        <f t="shared" ref="C310:Z310" si="186">C304+C306</f>
        <v>#REF!</v>
      </c>
      <c r="D310" s="736" t="e">
        <f t="shared" si="186"/>
        <v>#REF!</v>
      </c>
      <c r="E310" s="736" t="e">
        <f t="shared" si="186"/>
        <v>#REF!</v>
      </c>
      <c r="F310" s="736" t="e">
        <f t="shared" si="186"/>
        <v>#REF!</v>
      </c>
      <c r="G310" s="736" t="e">
        <f t="shared" si="186"/>
        <v>#REF!</v>
      </c>
      <c r="H310" s="736" t="e">
        <f t="shared" si="186"/>
        <v>#REF!</v>
      </c>
      <c r="I310" s="736" t="e">
        <f t="shared" si="186"/>
        <v>#REF!</v>
      </c>
      <c r="J310" s="736" t="e">
        <f t="shared" si="186"/>
        <v>#REF!</v>
      </c>
      <c r="K310" s="736" t="e">
        <f t="shared" si="186"/>
        <v>#REF!</v>
      </c>
      <c r="L310" s="736" t="e">
        <f t="shared" si="186"/>
        <v>#REF!</v>
      </c>
      <c r="M310" s="736" t="e">
        <f t="shared" si="186"/>
        <v>#REF!</v>
      </c>
      <c r="N310" s="736" t="e">
        <f t="shared" si="186"/>
        <v>#REF!</v>
      </c>
      <c r="O310" s="736" t="e">
        <f t="shared" si="186"/>
        <v>#REF!</v>
      </c>
      <c r="P310" s="736" t="e">
        <f t="shared" si="186"/>
        <v>#REF!</v>
      </c>
      <c r="Q310" s="736" t="e">
        <f t="shared" si="186"/>
        <v>#REF!</v>
      </c>
      <c r="R310" s="736" t="e">
        <f t="shared" si="186"/>
        <v>#REF!</v>
      </c>
      <c r="S310" s="736" t="e">
        <f t="shared" si="186"/>
        <v>#REF!</v>
      </c>
      <c r="T310" s="736" t="e">
        <f t="shared" si="186"/>
        <v>#REF!</v>
      </c>
      <c r="U310" s="736" t="e">
        <f t="shared" si="186"/>
        <v>#REF!</v>
      </c>
      <c r="V310" s="736" t="e">
        <f t="shared" si="186"/>
        <v>#REF!</v>
      </c>
      <c r="W310" s="736" t="e">
        <f t="shared" si="186"/>
        <v>#REF!</v>
      </c>
      <c r="X310" s="736" t="e">
        <f t="shared" si="186"/>
        <v>#REF!</v>
      </c>
      <c r="Y310" s="736" t="e">
        <f t="shared" si="186"/>
        <v>#REF!</v>
      </c>
      <c r="Z310" s="736" t="e">
        <f t="shared" si="186"/>
        <v>#REF!</v>
      </c>
      <c r="AA310" s="736" t="e">
        <f t="shared" ref="AA310" si="187">AA304+AA306</f>
        <v>#REF!</v>
      </c>
    </row>
    <row r="311" spans="1:27" ht="15">
      <c r="B311" s="736"/>
      <c r="C311" s="736"/>
      <c r="D311" s="736"/>
      <c r="E311" s="736"/>
      <c r="F311" s="736"/>
      <c r="G311" s="736"/>
      <c r="H311" s="736"/>
      <c r="I311" s="736"/>
      <c r="J311" s="736"/>
      <c r="K311" s="736"/>
      <c r="L311" s="736"/>
      <c r="M311" s="736"/>
      <c r="N311" s="736"/>
      <c r="O311" s="736"/>
      <c r="P311" s="736"/>
      <c r="Q311" s="736"/>
      <c r="R311" s="736"/>
      <c r="S311" s="736"/>
      <c r="T311" s="736"/>
      <c r="U311" s="736"/>
      <c r="V311" s="736"/>
      <c r="W311" s="736"/>
      <c r="X311" s="736"/>
      <c r="Y311" s="736"/>
      <c r="Z311" s="736"/>
      <c r="AA311" s="736"/>
    </row>
    <row r="312" spans="1:27" ht="15">
      <c r="A312" s="730" t="s">
        <v>604</v>
      </c>
      <c r="B312" s="736" t="e">
        <f>B306+B308</f>
        <v>#REF!</v>
      </c>
      <c r="C312" s="736" t="e">
        <f t="shared" ref="C312:Z312" si="188">C306+C308</f>
        <v>#REF!</v>
      </c>
      <c r="D312" s="736" t="e">
        <f t="shared" si="188"/>
        <v>#REF!</v>
      </c>
      <c r="E312" s="736" t="e">
        <f t="shared" si="188"/>
        <v>#REF!</v>
      </c>
      <c r="F312" s="736" t="e">
        <f t="shared" si="188"/>
        <v>#REF!</v>
      </c>
      <c r="G312" s="736" t="e">
        <f t="shared" si="188"/>
        <v>#REF!</v>
      </c>
      <c r="H312" s="736" t="e">
        <f t="shared" si="188"/>
        <v>#REF!</v>
      </c>
      <c r="I312" s="736" t="e">
        <f t="shared" si="188"/>
        <v>#REF!</v>
      </c>
      <c r="J312" s="736" t="e">
        <f t="shared" si="188"/>
        <v>#REF!</v>
      </c>
      <c r="K312" s="736" t="e">
        <f t="shared" si="188"/>
        <v>#REF!</v>
      </c>
      <c r="L312" s="736" t="e">
        <f t="shared" si="188"/>
        <v>#REF!</v>
      </c>
      <c r="M312" s="736" t="e">
        <f t="shared" si="188"/>
        <v>#REF!</v>
      </c>
      <c r="N312" s="736" t="e">
        <f t="shared" si="188"/>
        <v>#REF!</v>
      </c>
      <c r="O312" s="736" t="e">
        <f t="shared" si="188"/>
        <v>#REF!</v>
      </c>
      <c r="P312" s="736" t="e">
        <f t="shared" si="188"/>
        <v>#REF!</v>
      </c>
      <c r="Q312" s="736" t="e">
        <f t="shared" si="188"/>
        <v>#REF!</v>
      </c>
      <c r="R312" s="736" t="e">
        <f t="shared" si="188"/>
        <v>#REF!</v>
      </c>
      <c r="S312" s="736" t="e">
        <f t="shared" si="188"/>
        <v>#REF!</v>
      </c>
      <c r="T312" s="736" t="e">
        <f t="shared" si="188"/>
        <v>#REF!</v>
      </c>
      <c r="U312" s="736" t="e">
        <f t="shared" si="188"/>
        <v>#REF!</v>
      </c>
      <c r="V312" s="736" t="e">
        <f t="shared" si="188"/>
        <v>#REF!</v>
      </c>
      <c r="W312" s="736" t="e">
        <f t="shared" si="188"/>
        <v>#REF!</v>
      </c>
      <c r="X312" s="736" t="e">
        <f t="shared" si="188"/>
        <v>#REF!</v>
      </c>
      <c r="Y312" s="736" t="e">
        <f t="shared" si="188"/>
        <v>#REF!</v>
      </c>
      <c r="Z312" s="736" t="e">
        <f t="shared" si="188"/>
        <v>#REF!</v>
      </c>
      <c r="AA312" s="736" t="e">
        <f t="shared" ref="AA312" si="189">AA306+AA308</f>
        <v>#REF!</v>
      </c>
    </row>
    <row r="313" spans="1:27" ht="15">
      <c r="B313" s="736"/>
      <c r="C313" s="736"/>
      <c r="D313" s="736"/>
      <c r="E313" s="736"/>
      <c r="F313" s="736"/>
      <c r="G313" s="736"/>
      <c r="H313" s="736"/>
      <c r="I313" s="736"/>
      <c r="J313" s="736"/>
      <c r="K313" s="736"/>
      <c r="L313" s="736"/>
      <c r="M313" s="736"/>
      <c r="N313" s="736"/>
      <c r="O313" s="736"/>
      <c r="P313" s="736"/>
      <c r="Q313" s="736"/>
      <c r="R313" s="736"/>
      <c r="S313" s="736"/>
      <c r="T313" s="736"/>
      <c r="U313" s="736"/>
      <c r="V313" s="736"/>
      <c r="W313" s="736"/>
      <c r="X313" s="736"/>
      <c r="Y313" s="736"/>
      <c r="Z313" s="736"/>
      <c r="AA313" s="736"/>
    </row>
    <row r="314" spans="1:27" ht="14" thickBot="1">
      <c r="A314" s="754" t="s">
        <v>301</v>
      </c>
      <c r="B314" s="762" t="e">
        <f>B304+B306+B308</f>
        <v>#REF!</v>
      </c>
      <c r="C314" s="762" t="e">
        <f t="shared" ref="C314:Z314" si="190">C304+C306+C308</f>
        <v>#REF!</v>
      </c>
      <c r="D314" s="762" t="e">
        <f t="shared" si="190"/>
        <v>#REF!</v>
      </c>
      <c r="E314" s="762" t="e">
        <f t="shared" si="190"/>
        <v>#REF!</v>
      </c>
      <c r="F314" s="762" t="e">
        <f t="shared" si="190"/>
        <v>#REF!</v>
      </c>
      <c r="G314" s="762" t="e">
        <f t="shared" si="190"/>
        <v>#REF!</v>
      </c>
      <c r="H314" s="762" t="e">
        <f t="shared" si="190"/>
        <v>#REF!</v>
      </c>
      <c r="I314" s="762" t="e">
        <f t="shared" si="190"/>
        <v>#REF!</v>
      </c>
      <c r="J314" s="762" t="e">
        <f t="shared" si="190"/>
        <v>#REF!</v>
      </c>
      <c r="K314" s="762" t="e">
        <f t="shared" si="190"/>
        <v>#REF!</v>
      </c>
      <c r="L314" s="762" t="e">
        <f t="shared" si="190"/>
        <v>#REF!</v>
      </c>
      <c r="M314" s="762" t="e">
        <f t="shared" si="190"/>
        <v>#REF!</v>
      </c>
      <c r="N314" s="762" t="e">
        <f t="shared" si="190"/>
        <v>#REF!</v>
      </c>
      <c r="O314" s="762" t="e">
        <f t="shared" si="190"/>
        <v>#REF!</v>
      </c>
      <c r="P314" s="762" t="e">
        <f t="shared" si="190"/>
        <v>#REF!</v>
      </c>
      <c r="Q314" s="762" t="e">
        <f t="shared" si="190"/>
        <v>#REF!</v>
      </c>
      <c r="R314" s="762" t="e">
        <f t="shared" si="190"/>
        <v>#REF!</v>
      </c>
      <c r="S314" s="762" t="e">
        <f t="shared" si="190"/>
        <v>#REF!</v>
      </c>
      <c r="T314" s="762" t="e">
        <f t="shared" si="190"/>
        <v>#REF!</v>
      </c>
      <c r="U314" s="762" t="e">
        <f t="shared" si="190"/>
        <v>#REF!</v>
      </c>
      <c r="V314" s="762" t="e">
        <f t="shared" si="190"/>
        <v>#REF!</v>
      </c>
      <c r="W314" s="762" t="e">
        <f t="shared" si="190"/>
        <v>#REF!</v>
      </c>
      <c r="X314" s="762" t="e">
        <f t="shared" si="190"/>
        <v>#REF!</v>
      </c>
      <c r="Y314" s="762" t="e">
        <f t="shared" si="190"/>
        <v>#REF!</v>
      </c>
      <c r="Z314" s="762" t="e">
        <f t="shared" si="190"/>
        <v>#REF!</v>
      </c>
      <c r="AA314" s="762" t="e">
        <f t="shared" ref="AA314" si="191">AA304+AA306+AA308</f>
        <v>#REF!</v>
      </c>
    </row>
    <row r="330" spans="1:27">
      <c r="A330" s="735" t="s">
        <v>697</v>
      </c>
      <c r="B330" s="735">
        <f>B$12</f>
        <v>2003</v>
      </c>
      <c r="C330" s="735">
        <f t="shared" ref="C330:AA330" si="192">C$12</f>
        <v>2004</v>
      </c>
      <c r="D330" s="735">
        <f t="shared" si="192"/>
        <v>2005</v>
      </c>
      <c r="E330" s="735">
        <f t="shared" si="192"/>
        <v>2006</v>
      </c>
      <c r="F330" s="735">
        <f t="shared" si="192"/>
        <v>2007</v>
      </c>
      <c r="G330" s="735">
        <f t="shared" si="192"/>
        <v>2008</v>
      </c>
      <c r="H330" s="735">
        <f t="shared" si="192"/>
        <v>2009</v>
      </c>
      <c r="I330" s="735">
        <f t="shared" si="192"/>
        <v>2010</v>
      </c>
      <c r="J330" s="735">
        <f t="shared" si="192"/>
        <v>2011</v>
      </c>
      <c r="K330" s="735">
        <f t="shared" si="192"/>
        <v>2012</v>
      </c>
      <c r="L330" s="735">
        <f t="shared" si="192"/>
        <v>2013</v>
      </c>
      <c r="M330" s="735">
        <f t="shared" si="192"/>
        <v>2014</v>
      </c>
      <c r="N330" s="735">
        <f t="shared" si="192"/>
        <v>2015</v>
      </c>
      <c r="O330" s="735">
        <f t="shared" si="192"/>
        <v>2016</v>
      </c>
      <c r="P330" s="735">
        <f t="shared" si="192"/>
        <v>2017</v>
      </c>
      <c r="Q330" s="735">
        <f t="shared" si="192"/>
        <v>2018</v>
      </c>
      <c r="R330" s="735">
        <f t="shared" si="192"/>
        <v>2019</v>
      </c>
      <c r="S330" s="735">
        <f t="shared" si="192"/>
        <v>2020</v>
      </c>
      <c r="T330" s="735">
        <f t="shared" si="192"/>
        <v>2021</v>
      </c>
      <c r="U330" s="735">
        <f t="shared" si="192"/>
        <v>2022</v>
      </c>
      <c r="V330" s="735">
        <f t="shared" si="192"/>
        <v>2023</v>
      </c>
      <c r="W330" s="735">
        <f t="shared" si="192"/>
        <v>2024</v>
      </c>
      <c r="X330" s="735">
        <f t="shared" si="192"/>
        <v>2025</v>
      </c>
      <c r="Y330" s="735">
        <f t="shared" si="192"/>
        <v>2026</v>
      </c>
      <c r="Z330" s="735">
        <f t="shared" si="192"/>
        <v>2027</v>
      </c>
      <c r="AA330" s="735">
        <f t="shared" si="192"/>
        <v>2028</v>
      </c>
    </row>
    <row r="332" spans="1:27">
      <c r="A332" s="732" t="s">
        <v>698</v>
      </c>
    </row>
    <row r="333" spans="1:27" ht="15">
      <c r="A333" s="730" t="s">
        <v>472</v>
      </c>
      <c r="B333" s="742" t="e">
        <f>#REF!/$B$6</f>
        <v>#REF!</v>
      </c>
      <c r="C333" s="742" t="e">
        <f>#REF!/$B$6</f>
        <v>#REF!</v>
      </c>
      <c r="D333" s="742" t="e">
        <f>#REF!/$B$6</f>
        <v>#REF!</v>
      </c>
      <c r="E333" s="742" t="e">
        <f>#REF!/$B$6</f>
        <v>#REF!</v>
      </c>
      <c r="F333" s="742" t="e">
        <f>#REF!/$B$6</f>
        <v>#REF!</v>
      </c>
      <c r="G333" s="742" t="e">
        <f>#REF!/$B$6</f>
        <v>#REF!</v>
      </c>
      <c r="H333" s="742" t="e">
        <f>#REF!/$B$6</f>
        <v>#REF!</v>
      </c>
      <c r="I333" s="742" t="e">
        <f>#REF!/$B$6</f>
        <v>#REF!</v>
      </c>
      <c r="J333" s="742" t="e">
        <f>#REF!/$B$6</f>
        <v>#REF!</v>
      </c>
      <c r="K333" s="742" t="e">
        <f>#REF!/$B$6</f>
        <v>#REF!</v>
      </c>
      <c r="L333" s="742" t="e">
        <f>#REF!/$B$6</f>
        <v>#REF!</v>
      </c>
      <c r="M333" s="742" t="e">
        <f>#REF!/$B$6</f>
        <v>#REF!</v>
      </c>
      <c r="N333" s="742" t="e">
        <f>#REF!/$B$6</f>
        <v>#REF!</v>
      </c>
      <c r="O333" s="742" t="e">
        <f>#REF!/$B$6</f>
        <v>#REF!</v>
      </c>
      <c r="P333" s="742" t="e">
        <f>#REF!/$B$6</f>
        <v>#REF!</v>
      </c>
      <c r="Q333" s="742" t="e">
        <f>#REF!/$B$6</f>
        <v>#REF!</v>
      </c>
      <c r="R333" s="742" t="e">
        <f>#REF!/$B$6</f>
        <v>#REF!</v>
      </c>
      <c r="S333" s="742" t="e">
        <f>#REF!/$B$6</f>
        <v>#REF!</v>
      </c>
      <c r="T333" s="742" t="e">
        <f>#REF!/$B$6</f>
        <v>#REF!</v>
      </c>
      <c r="U333" s="742" t="e">
        <f>#REF!/$B$6</f>
        <v>#REF!</v>
      </c>
      <c r="V333" s="742" t="e">
        <f>#REF!/$B$6</f>
        <v>#REF!</v>
      </c>
      <c r="W333" s="742" t="e">
        <f>#REF!/$B$6</f>
        <v>#REF!</v>
      </c>
      <c r="X333" s="742" t="e">
        <f>#REF!/$B$6</f>
        <v>#REF!</v>
      </c>
      <c r="Y333" s="742" t="e">
        <f>#REF!/$B$6</f>
        <v>#REF!</v>
      </c>
      <c r="Z333" s="742" t="e">
        <f>#REF!/$B$6</f>
        <v>#REF!</v>
      </c>
      <c r="AA333" s="742" t="e">
        <f>#REF!/$B$6</f>
        <v>#REF!</v>
      </c>
    </row>
    <row r="334" spans="1:27" ht="15">
      <c r="A334" s="730" t="s">
        <v>699</v>
      </c>
      <c r="B334" s="742" t="e">
        <f>#REF!/$B$6</f>
        <v>#REF!</v>
      </c>
      <c r="C334" s="742" t="e">
        <f>#REF!/$B$6</f>
        <v>#REF!</v>
      </c>
      <c r="D334" s="742" t="e">
        <f>#REF!/$B$6</f>
        <v>#REF!</v>
      </c>
      <c r="E334" s="742" t="e">
        <f>#REF!/$B$6</f>
        <v>#REF!</v>
      </c>
      <c r="F334" s="742" t="e">
        <f>#REF!/$B$6</f>
        <v>#REF!</v>
      </c>
      <c r="G334" s="742" t="e">
        <f>#REF!/$B$6</f>
        <v>#REF!</v>
      </c>
      <c r="H334" s="742" t="e">
        <f>#REF!/$B$6</f>
        <v>#REF!</v>
      </c>
      <c r="I334" s="742" t="e">
        <f>#REF!/$B$6</f>
        <v>#REF!</v>
      </c>
      <c r="J334" s="742" t="e">
        <f>#REF!/$B$6</f>
        <v>#REF!</v>
      </c>
      <c r="K334" s="742" t="e">
        <f>#REF!/$B$6</f>
        <v>#REF!</v>
      </c>
      <c r="L334" s="742" t="e">
        <f>#REF!/$B$6</f>
        <v>#REF!</v>
      </c>
      <c r="M334" s="742" t="e">
        <f>#REF!/$B$6</f>
        <v>#REF!</v>
      </c>
      <c r="N334" s="742" t="e">
        <f>#REF!/$B$6</f>
        <v>#REF!</v>
      </c>
      <c r="O334" s="742" t="e">
        <f>#REF!/$B$6</f>
        <v>#REF!</v>
      </c>
      <c r="P334" s="742" t="e">
        <f>#REF!/$B$6</f>
        <v>#REF!</v>
      </c>
      <c r="Q334" s="742" t="e">
        <f>#REF!/$B$6</f>
        <v>#REF!</v>
      </c>
      <c r="R334" s="742" t="e">
        <f>#REF!/$B$6</f>
        <v>#REF!</v>
      </c>
      <c r="S334" s="742" t="e">
        <f>#REF!/$B$6</f>
        <v>#REF!</v>
      </c>
      <c r="T334" s="742" t="e">
        <f>#REF!/$B$6</f>
        <v>#REF!</v>
      </c>
      <c r="U334" s="742" t="e">
        <f>#REF!/$B$6</f>
        <v>#REF!</v>
      </c>
      <c r="V334" s="742" t="e">
        <f>#REF!/$B$6</f>
        <v>#REF!</v>
      </c>
      <c r="W334" s="742" t="e">
        <f>#REF!/$B$6</f>
        <v>#REF!</v>
      </c>
      <c r="X334" s="742" t="e">
        <f>#REF!/$B$6</f>
        <v>#REF!</v>
      </c>
      <c r="Y334" s="742" t="e">
        <f>#REF!/$B$6</f>
        <v>#REF!</v>
      </c>
      <c r="Z334" s="742" t="e">
        <f>#REF!/$B$6</f>
        <v>#REF!</v>
      </c>
      <c r="AA334" s="742" t="e">
        <f>#REF!/$B$6</f>
        <v>#REF!</v>
      </c>
    </row>
    <row r="335" spans="1:27">
      <c r="A335" s="760" t="s">
        <v>700</v>
      </c>
      <c r="B335" s="763" t="e">
        <f>#REF!/$B$6</f>
        <v>#REF!</v>
      </c>
      <c r="C335" s="763" t="e">
        <f>#REF!/$B$6</f>
        <v>#REF!</v>
      </c>
      <c r="D335" s="763" t="e">
        <f>#REF!/$B$6</f>
        <v>#REF!</v>
      </c>
      <c r="E335" s="763" t="e">
        <f>#REF!/$B$6</f>
        <v>#REF!</v>
      </c>
      <c r="F335" s="763" t="e">
        <f>#REF!/$B$6</f>
        <v>#REF!</v>
      </c>
      <c r="G335" s="763" t="e">
        <f>#REF!/$B$6</f>
        <v>#REF!</v>
      </c>
      <c r="H335" s="763" t="e">
        <f>#REF!/$B$6</f>
        <v>#REF!</v>
      </c>
      <c r="I335" s="763" t="e">
        <f>#REF!/$B$6</f>
        <v>#REF!</v>
      </c>
      <c r="J335" s="763" t="e">
        <f>#REF!/$B$6</f>
        <v>#REF!</v>
      </c>
      <c r="K335" s="763" t="e">
        <f>#REF!/$B$6</f>
        <v>#REF!</v>
      </c>
      <c r="L335" s="763" t="e">
        <f>#REF!/$B$6</f>
        <v>#REF!</v>
      </c>
      <c r="M335" s="763" t="e">
        <f>#REF!/$B$6</f>
        <v>#REF!</v>
      </c>
      <c r="N335" s="763" t="e">
        <f>#REF!/$B$6</f>
        <v>#REF!</v>
      </c>
      <c r="O335" s="763" t="e">
        <f>#REF!/$B$6</f>
        <v>#REF!</v>
      </c>
      <c r="P335" s="763" t="e">
        <f>#REF!/$B$6</f>
        <v>#REF!</v>
      </c>
      <c r="Q335" s="763" t="e">
        <f>#REF!/$B$6</f>
        <v>#REF!</v>
      </c>
      <c r="R335" s="763" t="e">
        <f>#REF!/$B$6</f>
        <v>#REF!</v>
      </c>
      <c r="S335" s="763" t="e">
        <f>#REF!/$B$6</f>
        <v>#REF!</v>
      </c>
      <c r="T335" s="763" t="e">
        <f>#REF!/$B$6</f>
        <v>#REF!</v>
      </c>
      <c r="U335" s="763" t="e">
        <f>#REF!/$B$6</f>
        <v>#REF!</v>
      </c>
      <c r="V335" s="763" t="e">
        <f>#REF!/$B$6</f>
        <v>#REF!</v>
      </c>
      <c r="W335" s="763" t="e">
        <f>#REF!/$B$6</f>
        <v>#REF!</v>
      </c>
      <c r="X335" s="763" t="e">
        <f>#REF!/$B$6</f>
        <v>#REF!</v>
      </c>
      <c r="Y335" s="763" t="e">
        <f>#REF!/$B$6</f>
        <v>#REF!</v>
      </c>
      <c r="Z335" s="763" t="e">
        <f>#REF!/$B$6</f>
        <v>#REF!</v>
      </c>
      <c r="AA335" s="763" t="e">
        <f>#REF!/$B$6</f>
        <v>#REF!</v>
      </c>
    </row>
    <row r="336" spans="1:27" ht="15">
      <c r="B336" s="736"/>
    </row>
    <row r="337" spans="1:27">
      <c r="A337" s="732" t="s">
        <v>701</v>
      </c>
    </row>
    <row r="338" spans="1:27" ht="15">
      <c r="A338" s="730" t="s">
        <v>472</v>
      </c>
      <c r="B338" s="742" t="e">
        <f>#REF!/$B$6</f>
        <v>#REF!</v>
      </c>
      <c r="C338" s="742" t="e">
        <f>#REF!/$B$6</f>
        <v>#REF!</v>
      </c>
      <c r="D338" s="742" t="e">
        <f>#REF!/$B$6</f>
        <v>#REF!</v>
      </c>
      <c r="E338" s="742" t="e">
        <f>#REF!/$B$6</f>
        <v>#REF!</v>
      </c>
      <c r="F338" s="742" t="e">
        <f>#REF!/$B$6</f>
        <v>#REF!</v>
      </c>
      <c r="G338" s="742" t="e">
        <f>#REF!/$B$6</f>
        <v>#REF!</v>
      </c>
      <c r="H338" s="742" t="e">
        <f>#REF!/$B$6</f>
        <v>#REF!</v>
      </c>
      <c r="I338" s="742" t="e">
        <f>#REF!/$B$6</f>
        <v>#REF!</v>
      </c>
      <c r="J338" s="742" t="e">
        <f>#REF!/$B$6</f>
        <v>#REF!</v>
      </c>
      <c r="K338" s="742" t="e">
        <f>#REF!/$B$6</f>
        <v>#REF!</v>
      </c>
      <c r="L338" s="742" t="e">
        <f>#REF!/$B$6</f>
        <v>#REF!</v>
      </c>
      <c r="M338" s="742" t="e">
        <f>#REF!/$B$6</f>
        <v>#REF!</v>
      </c>
      <c r="N338" s="742" t="e">
        <f>#REF!/$B$6</f>
        <v>#REF!</v>
      </c>
      <c r="O338" s="742" t="e">
        <f>#REF!/$B$6</f>
        <v>#REF!</v>
      </c>
      <c r="P338" s="742" t="e">
        <f>#REF!/$B$6</f>
        <v>#REF!</v>
      </c>
      <c r="Q338" s="742" t="e">
        <f>#REF!/$B$6</f>
        <v>#REF!</v>
      </c>
      <c r="R338" s="742" t="e">
        <f>#REF!/$B$6</f>
        <v>#REF!</v>
      </c>
      <c r="S338" s="742" t="e">
        <f>#REF!/$B$6</f>
        <v>#REF!</v>
      </c>
      <c r="T338" s="742" t="e">
        <f>#REF!/$B$6</f>
        <v>#REF!</v>
      </c>
      <c r="U338" s="742" t="e">
        <f>#REF!/$B$6</f>
        <v>#REF!</v>
      </c>
      <c r="V338" s="742" t="e">
        <f>#REF!/$B$6</f>
        <v>#REF!</v>
      </c>
      <c r="W338" s="742" t="e">
        <f>#REF!/$B$6</f>
        <v>#REF!</v>
      </c>
      <c r="X338" s="742" t="e">
        <f>#REF!/$B$6</f>
        <v>#REF!</v>
      </c>
      <c r="Y338" s="742" t="e">
        <f>#REF!/$B$6</f>
        <v>#REF!</v>
      </c>
      <c r="Z338" s="742" t="e">
        <f>#REF!/$B$6</f>
        <v>#REF!</v>
      </c>
      <c r="AA338" s="742" t="e">
        <f>#REF!/$B$6</f>
        <v>#REF!</v>
      </c>
    </row>
    <row r="339" spans="1:27" ht="15">
      <c r="A339" s="730" t="s">
        <v>699</v>
      </c>
      <c r="B339" s="742" t="e">
        <f>#REF!/$B$6</f>
        <v>#REF!</v>
      </c>
      <c r="C339" s="742" t="e">
        <f>#REF!/$B$6</f>
        <v>#REF!</v>
      </c>
      <c r="D339" s="742" t="e">
        <f>#REF!/$B$6</f>
        <v>#REF!</v>
      </c>
      <c r="E339" s="742" t="e">
        <f>#REF!/$B$6</f>
        <v>#REF!</v>
      </c>
      <c r="F339" s="742" t="e">
        <f>#REF!/$B$6</f>
        <v>#REF!</v>
      </c>
      <c r="G339" s="742" t="e">
        <f>#REF!/$B$6</f>
        <v>#REF!</v>
      </c>
      <c r="H339" s="742" t="e">
        <f>#REF!/$B$6</f>
        <v>#REF!</v>
      </c>
      <c r="I339" s="742" t="e">
        <f>#REF!/$B$6</f>
        <v>#REF!</v>
      </c>
      <c r="J339" s="742" t="e">
        <f>#REF!/$B$6</f>
        <v>#REF!</v>
      </c>
      <c r="K339" s="742" t="e">
        <f>#REF!/$B$6</f>
        <v>#REF!</v>
      </c>
      <c r="L339" s="742" t="e">
        <f>#REF!/$B$6</f>
        <v>#REF!</v>
      </c>
      <c r="M339" s="742" t="e">
        <f>#REF!/$B$6</f>
        <v>#REF!</v>
      </c>
      <c r="N339" s="742" t="e">
        <f>#REF!/$B$6</f>
        <v>#REF!</v>
      </c>
      <c r="O339" s="742" t="e">
        <f>#REF!/$B$6</f>
        <v>#REF!</v>
      </c>
      <c r="P339" s="742" t="e">
        <f>#REF!/$B$6</f>
        <v>#REF!</v>
      </c>
      <c r="Q339" s="742" t="e">
        <f>#REF!/$B$6</f>
        <v>#REF!</v>
      </c>
      <c r="R339" s="742" t="e">
        <f>#REF!/$B$6</f>
        <v>#REF!</v>
      </c>
      <c r="S339" s="742" t="e">
        <f>#REF!/$B$6</f>
        <v>#REF!</v>
      </c>
      <c r="T339" s="742" t="e">
        <f>#REF!/$B$6</f>
        <v>#REF!</v>
      </c>
      <c r="U339" s="742" t="e">
        <f>#REF!/$B$6</f>
        <v>#REF!</v>
      </c>
      <c r="V339" s="742" t="e">
        <f>#REF!/$B$6</f>
        <v>#REF!</v>
      </c>
      <c r="W339" s="742" t="e">
        <f>#REF!/$B$6</f>
        <v>#REF!</v>
      </c>
      <c r="X339" s="742" t="e">
        <f>#REF!/$B$6</f>
        <v>#REF!</v>
      </c>
      <c r="Y339" s="742" t="e">
        <f>#REF!/$B$6</f>
        <v>#REF!</v>
      </c>
      <c r="Z339" s="742" t="e">
        <f>#REF!/$B$6</f>
        <v>#REF!</v>
      </c>
      <c r="AA339" s="742" t="e">
        <f>#REF!/$B$6</f>
        <v>#REF!</v>
      </c>
    </row>
    <row r="340" spans="1:27">
      <c r="A340" s="760" t="s">
        <v>702</v>
      </c>
      <c r="B340" s="763" t="e">
        <f>#REF!/$B$6</f>
        <v>#REF!</v>
      </c>
      <c r="C340" s="763" t="e">
        <f>#REF!/$B$6</f>
        <v>#REF!</v>
      </c>
      <c r="D340" s="763" t="e">
        <f>#REF!/$B$6</f>
        <v>#REF!</v>
      </c>
      <c r="E340" s="763" t="e">
        <f>#REF!/$B$6</f>
        <v>#REF!</v>
      </c>
      <c r="F340" s="763" t="e">
        <f>#REF!/$B$6</f>
        <v>#REF!</v>
      </c>
      <c r="G340" s="763" t="e">
        <f>#REF!/$B$6</f>
        <v>#REF!</v>
      </c>
      <c r="H340" s="763" t="e">
        <f>#REF!/$B$6</f>
        <v>#REF!</v>
      </c>
      <c r="I340" s="763" t="e">
        <f>#REF!/$B$6</f>
        <v>#REF!</v>
      </c>
      <c r="J340" s="763" t="e">
        <f>#REF!/$B$6</f>
        <v>#REF!</v>
      </c>
      <c r="K340" s="763" t="e">
        <f>#REF!/$B$6</f>
        <v>#REF!</v>
      </c>
      <c r="L340" s="763" t="e">
        <f>#REF!/$B$6</f>
        <v>#REF!</v>
      </c>
      <c r="M340" s="763" t="e">
        <f>#REF!/$B$6</f>
        <v>#REF!</v>
      </c>
      <c r="N340" s="763" t="e">
        <f>#REF!/$B$6</f>
        <v>#REF!</v>
      </c>
      <c r="O340" s="763" t="e">
        <f>#REF!/$B$6</f>
        <v>#REF!</v>
      </c>
      <c r="P340" s="763" t="e">
        <f>#REF!/$B$6</f>
        <v>#REF!</v>
      </c>
      <c r="Q340" s="763" t="e">
        <f>#REF!/$B$6</f>
        <v>#REF!</v>
      </c>
      <c r="R340" s="763" t="e">
        <f>#REF!/$B$6</f>
        <v>#REF!</v>
      </c>
      <c r="S340" s="763" t="e">
        <f>#REF!/$B$6</f>
        <v>#REF!</v>
      </c>
      <c r="T340" s="763" t="e">
        <f>#REF!/$B$6</f>
        <v>#REF!</v>
      </c>
      <c r="U340" s="763" t="e">
        <f>#REF!/$B$6</f>
        <v>#REF!</v>
      </c>
      <c r="V340" s="763" t="e">
        <f>#REF!/$B$6</f>
        <v>#REF!</v>
      </c>
      <c r="W340" s="763" t="e">
        <f>#REF!/$B$6</f>
        <v>#REF!</v>
      </c>
      <c r="X340" s="763" t="e">
        <f>#REF!/$B$6</f>
        <v>#REF!</v>
      </c>
      <c r="Y340" s="763" t="e">
        <f>#REF!/$B$6</f>
        <v>#REF!</v>
      </c>
      <c r="Z340" s="763" t="e">
        <f>#REF!/$B$6</f>
        <v>#REF!</v>
      </c>
      <c r="AA340" s="763" t="e">
        <f>#REF!/$B$6</f>
        <v>#REF!</v>
      </c>
    </row>
    <row r="343" spans="1:27">
      <c r="A343" s="732" t="s">
        <v>703</v>
      </c>
    </row>
    <row r="344" spans="1:27">
      <c r="A344" s="730" t="s">
        <v>704</v>
      </c>
      <c r="B344" s="739" t="e">
        <f>B346-B345</f>
        <v>#REF!</v>
      </c>
      <c r="C344" s="739" t="e">
        <f t="shared" ref="C344:Z344" si="193">C346-C345</f>
        <v>#REF!</v>
      </c>
      <c r="D344" s="739" t="e">
        <f t="shared" si="193"/>
        <v>#REF!</v>
      </c>
      <c r="E344" s="739" t="e">
        <f t="shared" si="193"/>
        <v>#REF!</v>
      </c>
      <c r="F344" s="739" t="e">
        <f t="shared" si="193"/>
        <v>#REF!</v>
      </c>
      <c r="G344" s="739" t="e">
        <f t="shared" si="193"/>
        <v>#REF!</v>
      </c>
      <c r="H344" s="739" t="e">
        <f t="shared" si="193"/>
        <v>#REF!</v>
      </c>
      <c r="I344" s="739" t="e">
        <f t="shared" si="193"/>
        <v>#REF!</v>
      </c>
      <c r="J344" s="739" t="e">
        <f t="shared" si="193"/>
        <v>#REF!</v>
      </c>
      <c r="K344" s="739" t="e">
        <f t="shared" si="193"/>
        <v>#REF!</v>
      </c>
      <c r="L344" s="739" t="e">
        <f t="shared" si="193"/>
        <v>#REF!</v>
      </c>
      <c r="M344" s="739" t="e">
        <f t="shared" si="193"/>
        <v>#REF!</v>
      </c>
      <c r="N344" s="739" t="e">
        <f t="shared" si="193"/>
        <v>#REF!</v>
      </c>
      <c r="O344" s="739" t="e">
        <f t="shared" si="193"/>
        <v>#REF!</v>
      </c>
      <c r="P344" s="739" t="e">
        <f t="shared" si="193"/>
        <v>#REF!</v>
      </c>
      <c r="Q344" s="739" t="e">
        <f t="shared" si="193"/>
        <v>#REF!</v>
      </c>
      <c r="R344" s="739" t="e">
        <f t="shared" si="193"/>
        <v>#REF!</v>
      </c>
      <c r="S344" s="739" t="e">
        <f t="shared" si="193"/>
        <v>#REF!</v>
      </c>
      <c r="T344" s="739" t="e">
        <f t="shared" si="193"/>
        <v>#REF!</v>
      </c>
      <c r="U344" s="739" t="e">
        <f t="shared" si="193"/>
        <v>#REF!</v>
      </c>
      <c r="V344" s="739" t="e">
        <f t="shared" si="193"/>
        <v>#REF!</v>
      </c>
      <c r="W344" s="739" t="e">
        <f t="shared" si="193"/>
        <v>#REF!</v>
      </c>
      <c r="X344" s="739" t="e">
        <f t="shared" si="193"/>
        <v>#REF!</v>
      </c>
      <c r="Y344" s="739" t="e">
        <f t="shared" si="193"/>
        <v>#REF!</v>
      </c>
      <c r="Z344" s="739" t="e">
        <f t="shared" si="193"/>
        <v>#REF!</v>
      </c>
      <c r="AA344" s="739" t="e">
        <f t="shared" ref="AA344" si="194">AA346-AA345</f>
        <v>#REF!</v>
      </c>
    </row>
    <row r="345" spans="1:27" ht="15">
      <c r="A345" s="730" t="s">
        <v>705</v>
      </c>
      <c r="B345" s="736" t="e">
        <f>B372</f>
        <v>#REF!</v>
      </c>
      <c r="C345" s="736" t="e">
        <f t="shared" ref="C345:Z345" si="195">C372</f>
        <v>#REF!</v>
      </c>
      <c r="D345" s="736" t="e">
        <f t="shared" si="195"/>
        <v>#REF!</v>
      </c>
      <c r="E345" s="736" t="e">
        <f t="shared" si="195"/>
        <v>#REF!</v>
      </c>
      <c r="F345" s="736" t="e">
        <f t="shared" si="195"/>
        <v>#REF!</v>
      </c>
      <c r="G345" s="736" t="e">
        <f t="shared" si="195"/>
        <v>#REF!</v>
      </c>
      <c r="H345" s="736" t="e">
        <f t="shared" si="195"/>
        <v>#REF!</v>
      </c>
      <c r="I345" s="736" t="e">
        <f t="shared" si="195"/>
        <v>#REF!</v>
      </c>
      <c r="J345" s="736" t="e">
        <f t="shared" si="195"/>
        <v>#REF!</v>
      </c>
      <c r="K345" s="736" t="e">
        <f t="shared" si="195"/>
        <v>#REF!</v>
      </c>
      <c r="L345" s="736" t="e">
        <f t="shared" si="195"/>
        <v>#REF!</v>
      </c>
      <c r="M345" s="736" t="e">
        <f t="shared" si="195"/>
        <v>#REF!</v>
      </c>
      <c r="N345" s="736" t="e">
        <f t="shared" si="195"/>
        <v>#REF!</v>
      </c>
      <c r="O345" s="736" t="e">
        <f t="shared" si="195"/>
        <v>#REF!</v>
      </c>
      <c r="P345" s="736" t="e">
        <f t="shared" si="195"/>
        <v>#REF!</v>
      </c>
      <c r="Q345" s="736" t="e">
        <f t="shared" si="195"/>
        <v>#REF!</v>
      </c>
      <c r="R345" s="736" t="e">
        <f t="shared" si="195"/>
        <v>#REF!</v>
      </c>
      <c r="S345" s="736" t="e">
        <f t="shared" si="195"/>
        <v>#REF!</v>
      </c>
      <c r="T345" s="736" t="e">
        <f t="shared" si="195"/>
        <v>#REF!</v>
      </c>
      <c r="U345" s="736" t="e">
        <f t="shared" si="195"/>
        <v>#REF!</v>
      </c>
      <c r="V345" s="736" t="e">
        <f t="shared" si="195"/>
        <v>#REF!</v>
      </c>
      <c r="W345" s="736" t="e">
        <f t="shared" si="195"/>
        <v>#REF!</v>
      </c>
      <c r="X345" s="736" t="e">
        <f t="shared" si="195"/>
        <v>#REF!</v>
      </c>
      <c r="Y345" s="736" t="e">
        <f t="shared" si="195"/>
        <v>#REF!</v>
      </c>
      <c r="Z345" s="736" t="e">
        <f t="shared" si="195"/>
        <v>#REF!</v>
      </c>
      <c r="AA345" s="736" t="e">
        <f t="shared" ref="AA345" si="196">AA372</f>
        <v>#REF!</v>
      </c>
    </row>
    <row r="346" spans="1:27">
      <c r="A346" s="756" t="s">
        <v>706</v>
      </c>
      <c r="B346" s="764" t="e">
        <f>B348-B347</f>
        <v>#REF!</v>
      </c>
      <c r="C346" s="764" t="e">
        <f t="shared" ref="C346:Z346" si="197">C348-C347</f>
        <v>#REF!</v>
      </c>
      <c r="D346" s="764" t="e">
        <f t="shared" si="197"/>
        <v>#REF!</v>
      </c>
      <c r="E346" s="764" t="e">
        <f t="shared" si="197"/>
        <v>#REF!</v>
      </c>
      <c r="F346" s="764" t="e">
        <f t="shared" si="197"/>
        <v>#REF!</v>
      </c>
      <c r="G346" s="764" t="e">
        <f t="shared" si="197"/>
        <v>#REF!</v>
      </c>
      <c r="H346" s="764" t="e">
        <f t="shared" si="197"/>
        <v>#REF!</v>
      </c>
      <c r="I346" s="764" t="e">
        <f t="shared" si="197"/>
        <v>#REF!</v>
      </c>
      <c r="J346" s="764" t="e">
        <f t="shared" si="197"/>
        <v>#REF!</v>
      </c>
      <c r="K346" s="764" t="e">
        <f t="shared" si="197"/>
        <v>#REF!</v>
      </c>
      <c r="L346" s="764" t="e">
        <f t="shared" si="197"/>
        <v>#REF!</v>
      </c>
      <c r="M346" s="764" t="e">
        <f t="shared" si="197"/>
        <v>#REF!</v>
      </c>
      <c r="N346" s="764" t="e">
        <f t="shared" si="197"/>
        <v>#REF!</v>
      </c>
      <c r="O346" s="764" t="e">
        <f t="shared" si="197"/>
        <v>#REF!</v>
      </c>
      <c r="P346" s="764" t="e">
        <f t="shared" si="197"/>
        <v>#REF!</v>
      </c>
      <c r="Q346" s="764" t="e">
        <f t="shared" si="197"/>
        <v>#REF!</v>
      </c>
      <c r="R346" s="764" t="e">
        <f t="shared" si="197"/>
        <v>#REF!</v>
      </c>
      <c r="S346" s="764" t="e">
        <f t="shared" si="197"/>
        <v>#REF!</v>
      </c>
      <c r="T346" s="764" t="e">
        <f t="shared" si="197"/>
        <v>#REF!</v>
      </c>
      <c r="U346" s="764" t="e">
        <f t="shared" si="197"/>
        <v>#REF!</v>
      </c>
      <c r="V346" s="764" t="e">
        <f t="shared" si="197"/>
        <v>#REF!</v>
      </c>
      <c r="W346" s="764" t="e">
        <f t="shared" si="197"/>
        <v>#REF!</v>
      </c>
      <c r="X346" s="764" t="e">
        <f t="shared" si="197"/>
        <v>#REF!</v>
      </c>
      <c r="Y346" s="764" t="e">
        <f t="shared" si="197"/>
        <v>#REF!</v>
      </c>
      <c r="Z346" s="764" t="e">
        <f t="shared" si="197"/>
        <v>#REF!</v>
      </c>
      <c r="AA346" s="764" t="e">
        <f t="shared" ref="AA346" si="198">AA348-AA347</f>
        <v>#REF!</v>
      </c>
    </row>
    <row r="347" spans="1:27" ht="15">
      <c r="A347" s="730" t="s">
        <v>707</v>
      </c>
      <c r="B347" s="742" t="e">
        <f>#REF!/$B$6</f>
        <v>#REF!</v>
      </c>
      <c r="C347" s="742" t="e">
        <f>#REF!/$B$6</f>
        <v>#REF!</v>
      </c>
      <c r="D347" s="742" t="e">
        <f>#REF!/$B$6</f>
        <v>#REF!</v>
      </c>
      <c r="E347" s="742" t="e">
        <f>#REF!/$B$6</f>
        <v>#REF!</v>
      </c>
      <c r="F347" s="742" t="e">
        <f>#REF!/$B$6</f>
        <v>#REF!</v>
      </c>
      <c r="G347" s="742" t="e">
        <f>#REF!/$B$6</f>
        <v>#REF!</v>
      </c>
      <c r="H347" s="742" t="e">
        <f>#REF!/$B$6</f>
        <v>#REF!</v>
      </c>
      <c r="I347" s="742" t="e">
        <f>#REF!/$B$6</f>
        <v>#REF!</v>
      </c>
      <c r="J347" s="742" t="e">
        <f>#REF!/$B$6</f>
        <v>#REF!</v>
      </c>
      <c r="K347" s="742" t="e">
        <f>#REF!/$B$6</f>
        <v>#REF!</v>
      </c>
      <c r="L347" s="742" t="e">
        <f>#REF!/$B$6</f>
        <v>#REF!</v>
      </c>
      <c r="M347" s="742" t="e">
        <f>#REF!/$B$6</f>
        <v>#REF!</v>
      </c>
      <c r="N347" s="742" t="e">
        <f>#REF!/$B$6</f>
        <v>#REF!</v>
      </c>
      <c r="O347" s="742" t="e">
        <f>#REF!/$B$6</f>
        <v>#REF!</v>
      </c>
      <c r="P347" s="742" t="e">
        <f>#REF!/$B$6</f>
        <v>#REF!</v>
      </c>
      <c r="Q347" s="742" t="e">
        <f>#REF!/$B$6</f>
        <v>#REF!</v>
      </c>
      <c r="R347" s="742" t="e">
        <f>#REF!/$B$6</f>
        <v>#REF!</v>
      </c>
      <c r="S347" s="742" t="e">
        <f>#REF!/$B$6</f>
        <v>#REF!</v>
      </c>
      <c r="T347" s="742" t="e">
        <f>#REF!/$B$6</f>
        <v>#REF!</v>
      </c>
      <c r="U347" s="742" t="e">
        <f>#REF!/$B$6</f>
        <v>#REF!</v>
      </c>
      <c r="V347" s="742" t="e">
        <f>#REF!/$B$6</f>
        <v>#REF!</v>
      </c>
      <c r="W347" s="742" t="e">
        <f>#REF!/$B$6</f>
        <v>#REF!</v>
      </c>
      <c r="X347" s="742" t="e">
        <f>#REF!/$B$6</f>
        <v>#REF!</v>
      </c>
      <c r="Y347" s="742" t="e">
        <f>#REF!/$B$6</f>
        <v>#REF!</v>
      </c>
      <c r="Z347" s="742" t="e">
        <f>#REF!/$B$6</f>
        <v>#REF!</v>
      </c>
      <c r="AA347" s="742" t="e">
        <f>#REF!/$B$6</f>
        <v>#REF!</v>
      </c>
    </row>
    <row r="348" spans="1:27">
      <c r="A348" s="760" t="s">
        <v>708</v>
      </c>
      <c r="B348" s="763" t="e">
        <f>#REF!/$B$6</f>
        <v>#REF!</v>
      </c>
      <c r="C348" s="763" t="e">
        <f>#REF!/$B$6</f>
        <v>#REF!</v>
      </c>
      <c r="D348" s="763" t="e">
        <f>#REF!/$B$6</f>
        <v>#REF!</v>
      </c>
      <c r="E348" s="763" t="e">
        <f>#REF!/$B$6</f>
        <v>#REF!</v>
      </c>
      <c r="F348" s="763" t="e">
        <f>#REF!/$B$6</f>
        <v>#REF!</v>
      </c>
      <c r="G348" s="763" t="e">
        <f>#REF!/$B$6</f>
        <v>#REF!</v>
      </c>
      <c r="H348" s="763" t="e">
        <f>#REF!/$B$6</f>
        <v>#REF!</v>
      </c>
      <c r="I348" s="763" t="e">
        <f>#REF!/$B$6</f>
        <v>#REF!</v>
      </c>
      <c r="J348" s="763" t="e">
        <f>#REF!/$B$6</f>
        <v>#REF!</v>
      </c>
      <c r="K348" s="763" t="e">
        <f>#REF!/$B$6</f>
        <v>#REF!</v>
      </c>
      <c r="L348" s="763" t="e">
        <f>#REF!/$B$6</f>
        <v>#REF!</v>
      </c>
      <c r="M348" s="763" t="e">
        <f>#REF!/$B$6</f>
        <v>#REF!</v>
      </c>
      <c r="N348" s="763" t="e">
        <f>#REF!/$B$6</f>
        <v>#REF!</v>
      </c>
      <c r="O348" s="763" t="e">
        <f>#REF!/$B$6</f>
        <v>#REF!</v>
      </c>
      <c r="P348" s="763" t="e">
        <f>#REF!/$B$6</f>
        <v>#REF!</v>
      </c>
      <c r="Q348" s="763" t="e">
        <f>#REF!/$B$6</f>
        <v>#REF!</v>
      </c>
      <c r="R348" s="763" t="e">
        <f>#REF!/$B$6</f>
        <v>#REF!</v>
      </c>
      <c r="S348" s="763" t="e">
        <f>#REF!/$B$6</f>
        <v>#REF!</v>
      </c>
      <c r="T348" s="763" t="e">
        <f>#REF!/$B$6</f>
        <v>#REF!</v>
      </c>
      <c r="U348" s="763" t="e">
        <f>#REF!/$B$6</f>
        <v>#REF!</v>
      </c>
      <c r="V348" s="763" t="e">
        <f>#REF!/$B$6</f>
        <v>#REF!</v>
      </c>
      <c r="W348" s="763" t="e">
        <f>#REF!/$B$6</f>
        <v>#REF!</v>
      </c>
      <c r="X348" s="763" t="e">
        <f>#REF!/$B$6</f>
        <v>#REF!</v>
      </c>
      <c r="Y348" s="763" t="e">
        <f>#REF!/$B$6</f>
        <v>#REF!</v>
      </c>
      <c r="Z348" s="763" t="e">
        <f>#REF!/$B$6</f>
        <v>#REF!</v>
      </c>
      <c r="AA348" s="763" t="e">
        <f>#REF!/$B$6</f>
        <v>#REF!</v>
      </c>
    </row>
    <row r="351" spans="1:27" ht="15">
      <c r="A351" s="730" t="s">
        <v>709</v>
      </c>
      <c r="B351" s="742" t="e">
        <f>#REF!/$B$6</f>
        <v>#REF!</v>
      </c>
      <c r="C351" s="742" t="e">
        <f>#REF!/$B$6</f>
        <v>#REF!</v>
      </c>
      <c r="D351" s="742" t="e">
        <f>#REF!/$B$6</f>
        <v>#REF!</v>
      </c>
      <c r="E351" s="742" t="e">
        <f>#REF!/$B$6</f>
        <v>#REF!</v>
      </c>
      <c r="F351" s="742" t="e">
        <f>#REF!/$B$6</f>
        <v>#REF!</v>
      </c>
      <c r="G351" s="742" t="e">
        <f>#REF!/$B$6</f>
        <v>#REF!</v>
      </c>
      <c r="H351" s="742" t="e">
        <f>#REF!/$B$6</f>
        <v>#REF!</v>
      </c>
      <c r="I351" s="742" t="e">
        <f>#REF!/$B$6</f>
        <v>#REF!</v>
      </c>
      <c r="J351" s="742" t="e">
        <f>#REF!/$B$6</f>
        <v>#REF!</v>
      </c>
      <c r="K351" s="742" t="e">
        <f>#REF!/$B$6</f>
        <v>#REF!</v>
      </c>
      <c r="L351" s="742" t="e">
        <f>#REF!/$B$6</f>
        <v>#REF!</v>
      </c>
      <c r="M351" s="742" t="e">
        <f>#REF!/$B$6</f>
        <v>#REF!</v>
      </c>
      <c r="N351" s="742" t="e">
        <f>#REF!/$B$6</f>
        <v>#REF!</v>
      </c>
      <c r="O351" s="742" t="e">
        <f>#REF!/$B$6</f>
        <v>#REF!</v>
      </c>
      <c r="P351" s="742" t="e">
        <f>#REF!/$B$6</f>
        <v>#REF!</v>
      </c>
      <c r="Q351" s="742" t="e">
        <f>#REF!/$B$6</f>
        <v>#REF!</v>
      </c>
      <c r="R351" s="742" t="e">
        <f>#REF!/$B$6</f>
        <v>#REF!</v>
      </c>
      <c r="S351" s="742" t="e">
        <f>#REF!/$B$6</f>
        <v>#REF!</v>
      </c>
      <c r="T351" s="742" t="e">
        <f>#REF!/$B$6</f>
        <v>#REF!</v>
      </c>
      <c r="U351" s="742" t="e">
        <f>#REF!/$B$6</f>
        <v>#REF!</v>
      </c>
      <c r="V351" s="742" t="e">
        <f>#REF!/$B$6</f>
        <v>#REF!</v>
      </c>
      <c r="W351" s="742" t="e">
        <f>#REF!/$B$6</f>
        <v>#REF!</v>
      </c>
      <c r="X351" s="742" t="e">
        <f>#REF!/$B$6</f>
        <v>#REF!</v>
      </c>
      <c r="Y351" s="742" t="e">
        <f>#REF!/$B$6</f>
        <v>#REF!</v>
      </c>
      <c r="Z351" s="742" t="e">
        <f>#REF!/$B$6</f>
        <v>#REF!</v>
      </c>
      <c r="AA351" s="742" t="e">
        <f>#REF!/$B$6</f>
        <v>#REF!</v>
      </c>
    </row>
    <row r="352" spans="1:27" ht="15">
      <c r="A352" s="730" t="s">
        <v>710</v>
      </c>
      <c r="B352" s="736" t="e">
        <f>B373</f>
        <v>#REF!</v>
      </c>
      <c r="C352" s="736" t="e">
        <f t="shared" ref="C352:Z352" si="199">C373</f>
        <v>#REF!</v>
      </c>
      <c r="D352" s="736" t="e">
        <f t="shared" si="199"/>
        <v>#REF!</v>
      </c>
      <c r="E352" s="736" t="e">
        <f t="shared" si="199"/>
        <v>#REF!</v>
      </c>
      <c r="F352" s="736" t="e">
        <f t="shared" si="199"/>
        <v>#REF!</v>
      </c>
      <c r="G352" s="736" t="e">
        <f t="shared" si="199"/>
        <v>#REF!</v>
      </c>
      <c r="H352" s="736" t="e">
        <f t="shared" si="199"/>
        <v>#REF!</v>
      </c>
      <c r="I352" s="736" t="e">
        <f t="shared" si="199"/>
        <v>#REF!</v>
      </c>
      <c r="J352" s="736" t="e">
        <f t="shared" si="199"/>
        <v>#REF!</v>
      </c>
      <c r="K352" s="736" t="e">
        <f t="shared" si="199"/>
        <v>#REF!</v>
      </c>
      <c r="L352" s="736" t="e">
        <f t="shared" si="199"/>
        <v>#REF!</v>
      </c>
      <c r="M352" s="736" t="e">
        <f t="shared" si="199"/>
        <v>#REF!</v>
      </c>
      <c r="N352" s="736" t="e">
        <f t="shared" si="199"/>
        <v>#REF!</v>
      </c>
      <c r="O352" s="736" t="e">
        <f t="shared" si="199"/>
        <v>#REF!</v>
      </c>
      <c r="P352" s="736" t="e">
        <f t="shared" si="199"/>
        <v>#REF!</v>
      </c>
      <c r="Q352" s="736" t="e">
        <f t="shared" si="199"/>
        <v>#REF!</v>
      </c>
      <c r="R352" s="736" t="e">
        <f t="shared" si="199"/>
        <v>#REF!</v>
      </c>
      <c r="S352" s="736" t="e">
        <f t="shared" si="199"/>
        <v>#REF!</v>
      </c>
      <c r="T352" s="736" t="e">
        <f t="shared" si="199"/>
        <v>#REF!</v>
      </c>
      <c r="U352" s="736" t="e">
        <f t="shared" si="199"/>
        <v>#REF!</v>
      </c>
      <c r="V352" s="736" t="e">
        <f t="shared" si="199"/>
        <v>#REF!</v>
      </c>
      <c r="W352" s="736" t="e">
        <f t="shared" si="199"/>
        <v>#REF!</v>
      </c>
      <c r="X352" s="736" t="e">
        <f t="shared" si="199"/>
        <v>#REF!</v>
      </c>
      <c r="Y352" s="736" t="e">
        <f t="shared" si="199"/>
        <v>#REF!</v>
      </c>
      <c r="Z352" s="736" t="e">
        <f t="shared" si="199"/>
        <v>#REF!</v>
      </c>
      <c r="AA352" s="736" t="e">
        <f t="shared" ref="AA352" si="200">AA373</f>
        <v>#REF!</v>
      </c>
    </row>
    <row r="353" spans="1:27" ht="15">
      <c r="A353" s="730" t="s">
        <v>711</v>
      </c>
      <c r="B353" s="742" t="e">
        <f>#REF!/$B$6</f>
        <v>#REF!</v>
      </c>
      <c r="C353" s="742" t="e">
        <f>#REF!/$B$6</f>
        <v>#REF!</v>
      </c>
      <c r="D353" s="742" t="e">
        <f>#REF!/$B$6</f>
        <v>#REF!</v>
      </c>
      <c r="E353" s="742" t="e">
        <f>#REF!/$B$6</f>
        <v>#REF!</v>
      </c>
      <c r="F353" s="742" t="e">
        <f>#REF!/$B$6</f>
        <v>#REF!</v>
      </c>
      <c r="G353" s="742" t="e">
        <f>#REF!/$B$6</f>
        <v>#REF!</v>
      </c>
      <c r="H353" s="742" t="e">
        <f>#REF!/$B$6</f>
        <v>#REF!</v>
      </c>
      <c r="I353" s="742" t="e">
        <f>#REF!/$B$6</f>
        <v>#REF!</v>
      </c>
      <c r="J353" s="742" t="e">
        <f>#REF!/$B$6</f>
        <v>#REF!</v>
      </c>
      <c r="K353" s="742" t="e">
        <f>#REF!/$B$6</f>
        <v>#REF!</v>
      </c>
      <c r="L353" s="742" t="e">
        <f>#REF!/$B$6</f>
        <v>#REF!</v>
      </c>
      <c r="M353" s="742" t="e">
        <f>#REF!/$B$6</f>
        <v>#REF!</v>
      </c>
      <c r="N353" s="742" t="e">
        <f>#REF!/$B$6</f>
        <v>#REF!</v>
      </c>
      <c r="O353" s="742" t="e">
        <f>#REF!/$B$6</f>
        <v>#REF!</v>
      </c>
      <c r="P353" s="742" t="e">
        <f>#REF!/$B$6</f>
        <v>#REF!</v>
      </c>
      <c r="Q353" s="742" t="e">
        <f>#REF!/$B$6</f>
        <v>#REF!</v>
      </c>
      <c r="R353" s="742" t="e">
        <f>#REF!/$B$6</f>
        <v>#REF!</v>
      </c>
      <c r="S353" s="742" t="e">
        <f>#REF!/$B$6</f>
        <v>#REF!</v>
      </c>
      <c r="T353" s="742" t="e">
        <f>#REF!/$B$6</f>
        <v>#REF!</v>
      </c>
      <c r="U353" s="742" t="e">
        <f>#REF!/$B$6</f>
        <v>#REF!</v>
      </c>
      <c r="V353" s="742" t="e">
        <f>#REF!/$B$6</f>
        <v>#REF!</v>
      </c>
      <c r="W353" s="742" t="e">
        <f>#REF!/$B$6</f>
        <v>#REF!</v>
      </c>
      <c r="X353" s="742" t="e">
        <f>#REF!/$B$6</f>
        <v>#REF!</v>
      </c>
      <c r="Y353" s="742" t="e">
        <f>#REF!/$B$6</f>
        <v>#REF!</v>
      </c>
      <c r="Z353" s="742" t="e">
        <f>#REF!/$B$6</f>
        <v>#REF!</v>
      </c>
      <c r="AA353" s="742" t="e">
        <f>#REF!/$B$6</f>
        <v>#REF!</v>
      </c>
    </row>
    <row r="354" spans="1:27" ht="15">
      <c r="A354" s="730" t="s">
        <v>712</v>
      </c>
      <c r="B354" s="742" t="e">
        <f>#REF!/$B$6</f>
        <v>#REF!</v>
      </c>
      <c r="C354" s="742" t="e">
        <f>#REF!/$B$6</f>
        <v>#REF!</v>
      </c>
      <c r="D354" s="742" t="e">
        <f>#REF!/$B$6</f>
        <v>#REF!</v>
      </c>
      <c r="E354" s="742" t="e">
        <f>#REF!/$B$6</f>
        <v>#REF!</v>
      </c>
      <c r="F354" s="742" t="e">
        <f>#REF!/$B$6</f>
        <v>#REF!</v>
      </c>
      <c r="G354" s="742" t="e">
        <f>#REF!/$B$6</f>
        <v>#REF!</v>
      </c>
      <c r="H354" s="742" t="e">
        <f>#REF!/$B$6</f>
        <v>#REF!</v>
      </c>
      <c r="I354" s="742" t="e">
        <f>#REF!/$B$6</f>
        <v>#REF!</v>
      </c>
      <c r="J354" s="742" t="e">
        <f>#REF!/$B$6</f>
        <v>#REF!</v>
      </c>
      <c r="K354" s="742" t="e">
        <f>#REF!/$B$6</f>
        <v>#REF!</v>
      </c>
      <c r="L354" s="742" t="e">
        <f>#REF!/$B$6</f>
        <v>#REF!</v>
      </c>
      <c r="M354" s="742" t="e">
        <f>#REF!/$B$6</f>
        <v>#REF!</v>
      </c>
      <c r="N354" s="742" t="e">
        <f>#REF!/$B$6</f>
        <v>#REF!</v>
      </c>
      <c r="O354" s="742" t="e">
        <f>#REF!/$B$6</f>
        <v>#REF!</v>
      </c>
      <c r="P354" s="742" t="e">
        <f>#REF!/$B$6</f>
        <v>#REF!</v>
      </c>
      <c r="Q354" s="742" t="e">
        <f>#REF!/$B$6</f>
        <v>#REF!</v>
      </c>
      <c r="R354" s="742" t="e">
        <f>#REF!/$B$6</f>
        <v>#REF!</v>
      </c>
      <c r="S354" s="742" t="e">
        <f>#REF!/$B$6</f>
        <v>#REF!</v>
      </c>
      <c r="T354" s="742" t="e">
        <f>#REF!/$B$6</f>
        <v>#REF!</v>
      </c>
      <c r="U354" s="742" t="e">
        <f>#REF!/$B$6</f>
        <v>#REF!</v>
      </c>
      <c r="V354" s="742" t="e">
        <f>#REF!/$B$6</f>
        <v>#REF!</v>
      </c>
      <c r="W354" s="742" t="e">
        <f>#REF!/$B$6</f>
        <v>#REF!</v>
      </c>
      <c r="X354" s="742" t="e">
        <f>#REF!/$B$6</f>
        <v>#REF!</v>
      </c>
      <c r="Y354" s="742" t="e">
        <f>#REF!/$B$6</f>
        <v>#REF!</v>
      </c>
      <c r="Z354" s="742" t="e">
        <f>#REF!/$B$6</f>
        <v>#REF!</v>
      </c>
      <c r="AA354" s="742" t="e">
        <f>#REF!/$B$6</f>
        <v>#REF!</v>
      </c>
    </row>
    <row r="355" spans="1:27" ht="15">
      <c r="A355" s="730" t="s">
        <v>713</v>
      </c>
      <c r="B355" s="742" t="e">
        <f>#REF!/$B$6</f>
        <v>#REF!</v>
      </c>
      <c r="C355" s="742" t="e">
        <f>#REF!/$B$6</f>
        <v>#REF!</v>
      </c>
      <c r="D355" s="742" t="e">
        <f>#REF!/$B$6</f>
        <v>#REF!</v>
      </c>
      <c r="E355" s="742" t="e">
        <f>#REF!/$B$6</f>
        <v>#REF!</v>
      </c>
      <c r="F355" s="742" t="e">
        <f>#REF!/$B$6</f>
        <v>#REF!</v>
      </c>
      <c r="G355" s="742" t="e">
        <f>#REF!/$B$6</f>
        <v>#REF!</v>
      </c>
      <c r="H355" s="742" t="e">
        <f>#REF!/$B$6</f>
        <v>#REF!</v>
      </c>
      <c r="I355" s="742" t="e">
        <f>#REF!/$B$6</f>
        <v>#REF!</v>
      </c>
      <c r="J355" s="742" t="e">
        <f>#REF!/$B$6</f>
        <v>#REF!</v>
      </c>
      <c r="K355" s="742" t="e">
        <f>#REF!/$B$6</f>
        <v>#REF!</v>
      </c>
      <c r="L355" s="742" t="e">
        <f>#REF!/$B$6</f>
        <v>#REF!</v>
      </c>
      <c r="M355" s="742" t="e">
        <f>#REF!/$B$6</f>
        <v>#REF!</v>
      </c>
      <c r="N355" s="742" t="e">
        <f>#REF!/$B$6</f>
        <v>#REF!</v>
      </c>
      <c r="O355" s="742" t="e">
        <f>#REF!/$B$6</f>
        <v>#REF!</v>
      </c>
      <c r="P355" s="742" t="e">
        <f>#REF!/$B$6</f>
        <v>#REF!</v>
      </c>
      <c r="Q355" s="742" t="e">
        <f>#REF!/$B$6</f>
        <v>#REF!</v>
      </c>
      <c r="R355" s="742" t="e">
        <f>#REF!/$B$6</f>
        <v>#REF!</v>
      </c>
      <c r="S355" s="742" t="e">
        <f>#REF!/$B$6</f>
        <v>#REF!</v>
      </c>
      <c r="T355" s="742" t="e">
        <f>#REF!/$B$6</f>
        <v>#REF!</v>
      </c>
      <c r="U355" s="742" t="e">
        <f>#REF!/$B$6</f>
        <v>#REF!</v>
      </c>
      <c r="V355" s="742" t="e">
        <f>#REF!/$B$6</f>
        <v>#REF!</v>
      </c>
      <c r="W355" s="742" t="e">
        <f>#REF!/$B$6</f>
        <v>#REF!</v>
      </c>
      <c r="X355" s="742" t="e">
        <f>#REF!/$B$6</f>
        <v>#REF!</v>
      </c>
      <c r="Y355" s="742" t="e">
        <f>#REF!/$B$6</f>
        <v>#REF!</v>
      </c>
      <c r="Z355" s="742" t="e">
        <f>#REF!/$B$6</f>
        <v>#REF!</v>
      </c>
      <c r="AA355" s="742" t="e">
        <f>#REF!/$B$6</f>
        <v>#REF!</v>
      </c>
    </row>
    <row r="356" spans="1:27">
      <c r="A356" s="760" t="s">
        <v>714</v>
      </c>
      <c r="B356" s="761" t="e">
        <f>SUM(B351:B355)</f>
        <v>#REF!</v>
      </c>
      <c r="C356" s="761" t="e">
        <f t="shared" ref="C356:Z356" si="201">SUM(C351:C355)</f>
        <v>#REF!</v>
      </c>
      <c r="D356" s="761" t="e">
        <f t="shared" si="201"/>
        <v>#REF!</v>
      </c>
      <c r="E356" s="761" t="e">
        <f t="shared" si="201"/>
        <v>#REF!</v>
      </c>
      <c r="F356" s="761" t="e">
        <f t="shared" si="201"/>
        <v>#REF!</v>
      </c>
      <c r="G356" s="761" t="e">
        <f t="shared" si="201"/>
        <v>#REF!</v>
      </c>
      <c r="H356" s="761" t="e">
        <f t="shared" si="201"/>
        <v>#REF!</v>
      </c>
      <c r="I356" s="761" t="e">
        <f t="shared" si="201"/>
        <v>#REF!</v>
      </c>
      <c r="J356" s="761" t="e">
        <f t="shared" si="201"/>
        <v>#REF!</v>
      </c>
      <c r="K356" s="761" t="e">
        <f t="shared" si="201"/>
        <v>#REF!</v>
      </c>
      <c r="L356" s="761" t="e">
        <f t="shared" si="201"/>
        <v>#REF!</v>
      </c>
      <c r="M356" s="761" t="e">
        <f t="shared" si="201"/>
        <v>#REF!</v>
      </c>
      <c r="N356" s="761" t="e">
        <f t="shared" si="201"/>
        <v>#REF!</v>
      </c>
      <c r="O356" s="761" t="e">
        <f t="shared" si="201"/>
        <v>#REF!</v>
      </c>
      <c r="P356" s="761" t="e">
        <f t="shared" si="201"/>
        <v>#REF!</v>
      </c>
      <c r="Q356" s="761" t="e">
        <f t="shared" si="201"/>
        <v>#REF!</v>
      </c>
      <c r="R356" s="761" t="e">
        <f t="shared" si="201"/>
        <v>#REF!</v>
      </c>
      <c r="S356" s="761" t="e">
        <f t="shared" si="201"/>
        <v>#REF!</v>
      </c>
      <c r="T356" s="761" t="e">
        <f t="shared" si="201"/>
        <v>#REF!</v>
      </c>
      <c r="U356" s="761" t="e">
        <f t="shared" si="201"/>
        <v>#REF!</v>
      </c>
      <c r="V356" s="761" t="e">
        <f t="shared" si="201"/>
        <v>#REF!</v>
      </c>
      <c r="W356" s="761" t="e">
        <f t="shared" si="201"/>
        <v>#REF!</v>
      </c>
      <c r="X356" s="761" t="e">
        <f t="shared" si="201"/>
        <v>#REF!</v>
      </c>
      <c r="Y356" s="761" t="e">
        <f t="shared" si="201"/>
        <v>#REF!</v>
      </c>
      <c r="Z356" s="761" t="e">
        <f t="shared" si="201"/>
        <v>#REF!</v>
      </c>
      <c r="AA356" s="761" t="e">
        <f t="shared" ref="AA356" si="202">SUM(AA351:AA355)</f>
        <v>#REF!</v>
      </c>
    </row>
    <row r="359" spans="1:27" ht="14" thickBot="1">
      <c r="A359" s="751" t="s">
        <v>301</v>
      </c>
      <c r="B359" s="752" t="e">
        <f>B335+B340+B348+B356</f>
        <v>#REF!</v>
      </c>
      <c r="C359" s="752" t="e">
        <f t="shared" ref="C359:Z359" si="203">C335+C340+C348+C356</f>
        <v>#REF!</v>
      </c>
      <c r="D359" s="752" t="e">
        <f t="shared" si="203"/>
        <v>#REF!</v>
      </c>
      <c r="E359" s="752" t="e">
        <f t="shared" si="203"/>
        <v>#REF!</v>
      </c>
      <c r="F359" s="752" t="e">
        <f t="shared" si="203"/>
        <v>#REF!</v>
      </c>
      <c r="G359" s="752" t="e">
        <f t="shared" si="203"/>
        <v>#REF!</v>
      </c>
      <c r="H359" s="752" t="e">
        <f t="shared" si="203"/>
        <v>#REF!</v>
      </c>
      <c r="I359" s="752" t="e">
        <f t="shared" si="203"/>
        <v>#REF!</v>
      </c>
      <c r="J359" s="752" t="e">
        <f t="shared" si="203"/>
        <v>#REF!</v>
      </c>
      <c r="K359" s="752" t="e">
        <f t="shared" si="203"/>
        <v>#REF!</v>
      </c>
      <c r="L359" s="752" t="e">
        <f t="shared" si="203"/>
        <v>#REF!</v>
      </c>
      <c r="M359" s="752" t="e">
        <f t="shared" si="203"/>
        <v>#REF!</v>
      </c>
      <c r="N359" s="752" t="e">
        <f t="shared" si="203"/>
        <v>#REF!</v>
      </c>
      <c r="O359" s="752" t="e">
        <f t="shared" si="203"/>
        <v>#REF!</v>
      </c>
      <c r="P359" s="752" t="e">
        <f t="shared" si="203"/>
        <v>#REF!</v>
      </c>
      <c r="Q359" s="752" t="e">
        <f t="shared" si="203"/>
        <v>#REF!</v>
      </c>
      <c r="R359" s="752" t="e">
        <f t="shared" si="203"/>
        <v>#REF!</v>
      </c>
      <c r="S359" s="752" t="e">
        <f t="shared" si="203"/>
        <v>#REF!</v>
      </c>
      <c r="T359" s="752" t="e">
        <f t="shared" si="203"/>
        <v>#REF!</v>
      </c>
      <c r="U359" s="752" t="e">
        <f t="shared" si="203"/>
        <v>#REF!</v>
      </c>
      <c r="V359" s="752" t="e">
        <f t="shared" si="203"/>
        <v>#REF!</v>
      </c>
      <c r="W359" s="752" t="e">
        <f t="shared" si="203"/>
        <v>#REF!</v>
      </c>
      <c r="X359" s="752" t="e">
        <f t="shared" si="203"/>
        <v>#REF!</v>
      </c>
      <c r="Y359" s="752" t="e">
        <f t="shared" si="203"/>
        <v>#REF!</v>
      </c>
      <c r="Z359" s="752" t="e">
        <f t="shared" si="203"/>
        <v>#REF!</v>
      </c>
      <c r="AA359" s="752" t="e">
        <f t="shared" ref="AA359" si="204">AA335+AA340+AA348+AA356</f>
        <v>#REF!</v>
      </c>
    </row>
    <row r="360" spans="1:27" ht="16" thickTop="1">
      <c r="B360" s="736"/>
    </row>
    <row r="361" spans="1:27" ht="15">
      <c r="B361" s="736"/>
    </row>
    <row r="362" spans="1:27" ht="15">
      <c r="A362" s="730" t="s">
        <v>698</v>
      </c>
      <c r="B362" s="736" t="e">
        <f>B335</f>
        <v>#REF!</v>
      </c>
      <c r="C362" s="736" t="e">
        <f t="shared" ref="C362:Z362" si="205">C335</f>
        <v>#REF!</v>
      </c>
      <c r="D362" s="736" t="e">
        <f t="shared" si="205"/>
        <v>#REF!</v>
      </c>
      <c r="E362" s="736" t="e">
        <f t="shared" si="205"/>
        <v>#REF!</v>
      </c>
      <c r="F362" s="736" t="e">
        <f t="shared" si="205"/>
        <v>#REF!</v>
      </c>
      <c r="G362" s="736" t="e">
        <f t="shared" si="205"/>
        <v>#REF!</v>
      </c>
      <c r="H362" s="736" t="e">
        <f t="shared" si="205"/>
        <v>#REF!</v>
      </c>
      <c r="I362" s="736" t="e">
        <f t="shared" si="205"/>
        <v>#REF!</v>
      </c>
      <c r="J362" s="736" t="e">
        <f t="shared" si="205"/>
        <v>#REF!</v>
      </c>
      <c r="K362" s="736" t="e">
        <f t="shared" si="205"/>
        <v>#REF!</v>
      </c>
      <c r="L362" s="736" t="e">
        <f t="shared" si="205"/>
        <v>#REF!</v>
      </c>
      <c r="M362" s="736" t="e">
        <f t="shared" si="205"/>
        <v>#REF!</v>
      </c>
      <c r="N362" s="736" t="e">
        <f t="shared" si="205"/>
        <v>#REF!</v>
      </c>
      <c r="O362" s="736" t="e">
        <f t="shared" si="205"/>
        <v>#REF!</v>
      </c>
      <c r="P362" s="736" t="e">
        <f t="shared" si="205"/>
        <v>#REF!</v>
      </c>
      <c r="Q362" s="736" t="e">
        <f t="shared" si="205"/>
        <v>#REF!</v>
      </c>
      <c r="R362" s="736" t="e">
        <f t="shared" si="205"/>
        <v>#REF!</v>
      </c>
      <c r="S362" s="736" t="e">
        <f t="shared" si="205"/>
        <v>#REF!</v>
      </c>
      <c r="T362" s="736" t="e">
        <f t="shared" si="205"/>
        <v>#REF!</v>
      </c>
      <c r="U362" s="736" t="e">
        <f t="shared" si="205"/>
        <v>#REF!</v>
      </c>
      <c r="V362" s="736" t="e">
        <f t="shared" si="205"/>
        <v>#REF!</v>
      </c>
      <c r="W362" s="736" t="e">
        <f t="shared" si="205"/>
        <v>#REF!</v>
      </c>
      <c r="X362" s="736" t="e">
        <f t="shared" si="205"/>
        <v>#REF!</v>
      </c>
      <c r="Y362" s="736" t="e">
        <f t="shared" si="205"/>
        <v>#REF!</v>
      </c>
      <c r="Z362" s="736" t="e">
        <f t="shared" si="205"/>
        <v>#REF!</v>
      </c>
      <c r="AA362" s="736" t="e">
        <f t="shared" ref="AA362" si="206">AA335</f>
        <v>#REF!</v>
      </c>
    </row>
    <row r="363" spans="1:27" ht="15">
      <c r="A363" s="730" t="s">
        <v>701</v>
      </c>
      <c r="B363" s="736" t="e">
        <f>B340</f>
        <v>#REF!</v>
      </c>
      <c r="C363" s="736" t="e">
        <f t="shared" ref="C363:Z363" si="207">C340</f>
        <v>#REF!</v>
      </c>
      <c r="D363" s="736" t="e">
        <f t="shared" si="207"/>
        <v>#REF!</v>
      </c>
      <c r="E363" s="736" t="e">
        <f t="shared" si="207"/>
        <v>#REF!</v>
      </c>
      <c r="F363" s="736" t="e">
        <f t="shared" si="207"/>
        <v>#REF!</v>
      </c>
      <c r="G363" s="736" t="e">
        <f t="shared" si="207"/>
        <v>#REF!</v>
      </c>
      <c r="H363" s="736" t="e">
        <f t="shared" si="207"/>
        <v>#REF!</v>
      </c>
      <c r="I363" s="736" t="e">
        <f t="shared" si="207"/>
        <v>#REF!</v>
      </c>
      <c r="J363" s="736" t="e">
        <f t="shared" si="207"/>
        <v>#REF!</v>
      </c>
      <c r="K363" s="736" t="e">
        <f t="shared" si="207"/>
        <v>#REF!</v>
      </c>
      <c r="L363" s="736" t="e">
        <f t="shared" si="207"/>
        <v>#REF!</v>
      </c>
      <c r="M363" s="736" t="e">
        <f t="shared" si="207"/>
        <v>#REF!</v>
      </c>
      <c r="N363" s="736" t="e">
        <f t="shared" si="207"/>
        <v>#REF!</v>
      </c>
      <c r="O363" s="736" t="e">
        <f t="shared" si="207"/>
        <v>#REF!</v>
      </c>
      <c r="P363" s="736" t="e">
        <f t="shared" si="207"/>
        <v>#REF!</v>
      </c>
      <c r="Q363" s="736" t="e">
        <f t="shared" si="207"/>
        <v>#REF!</v>
      </c>
      <c r="R363" s="736" t="e">
        <f t="shared" si="207"/>
        <v>#REF!</v>
      </c>
      <c r="S363" s="736" t="e">
        <f t="shared" si="207"/>
        <v>#REF!</v>
      </c>
      <c r="T363" s="736" t="e">
        <f t="shared" si="207"/>
        <v>#REF!</v>
      </c>
      <c r="U363" s="736" t="e">
        <f t="shared" si="207"/>
        <v>#REF!</v>
      </c>
      <c r="V363" s="736" t="e">
        <f t="shared" si="207"/>
        <v>#REF!</v>
      </c>
      <c r="W363" s="736" t="e">
        <f t="shared" si="207"/>
        <v>#REF!</v>
      </c>
      <c r="X363" s="736" t="e">
        <f t="shared" si="207"/>
        <v>#REF!</v>
      </c>
      <c r="Y363" s="736" t="e">
        <f t="shared" si="207"/>
        <v>#REF!</v>
      </c>
      <c r="Z363" s="736" t="e">
        <f t="shared" si="207"/>
        <v>#REF!</v>
      </c>
      <c r="AA363" s="736" t="e">
        <f t="shared" ref="AA363" si="208">AA340</f>
        <v>#REF!</v>
      </c>
    </row>
    <row r="364" spans="1:27">
      <c r="A364" s="760" t="s">
        <v>309</v>
      </c>
      <c r="B364" s="765" t="e">
        <f>B362+B363</f>
        <v>#REF!</v>
      </c>
      <c r="C364" s="765" t="e">
        <f t="shared" ref="C364:Z364" si="209">C362+C363</f>
        <v>#REF!</v>
      </c>
      <c r="D364" s="765" t="e">
        <f t="shared" si="209"/>
        <v>#REF!</v>
      </c>
      <c r="E364" s="765" t="e">
        <f t="shared" si="209"/>
        <v>#REF!</v>
      </c>
      <c r="F364" s="765" t="e">
        <f t="shared" si="209"/>
        <v>#REF!</v>
      </c>
      <c r="G364" s="765" t="e">
        <f t="shared" si="209"/>
        <v>#REF!</v>
      </c>
      <c r="H364" s="765" t="e">
        <f t="shared" si="209"/>
        <v>#REF!</v>
      </c>
      <c r="I364" s="765" t="e">
        <f t="shared" si="209"/>
        <v>#REF!</v>
      </c>
      <c r="J364" s="765" t="e">
        <f t="shared" si="209"/>
        <v>#REF!</v>
      </c>
      <c r="K364" s="765" t="e">
        <f t="shared" si="209"/>
        <v>#REF!</v>
      </c>
      <c r="L364" s="765" t="e">
        <f t="shared" si="209"/>
        <v>#REF!</v>
      </c>
      <c r="M364" s="765" t="e">
        <f t="shared" si="209"/>
        <v>#REF!</v>
      </c>
      <c r="N364" s="765" t="e">
        <f t="shared" si="209"/>
        <v>#REF!</v>
      </c>
      <c r="O364" s="765" t="e">
        <f t="shared" si="209"/>
        <v>#REF!</v>
      </c>
      <c r="P364" s="765" t="e">
        <f t="shared" si="209"/>
        <v>#REF!</v>
      </c>
      <c r="Q364" s="765" t="e">
        <f t="shared" si="209"/>
        <v>#REF!</v>
      </c>
      <c r="R364" s="765" t="e">
        <f t="shared" si="209"/>
        <v>#REF!</v>
      </c>
      <c r="S364" s="765" t="e">
        <f t="shared" si="209"/>
        <v>#REF!</v>
      </c>
      <c r="T364" s="765" t="e">
        <f t="shared" si="209"/>
        <v>#REF!</v>
      </c>
      <c r="U364" s="765" t="e">
        <f t="shared" si="209"/>
        <v>#REF!</v>
      </c>
      <c r="V364" s="765" t="e">
        <f t="shared" si="209"/>
        <v>#REF!</v>
      </c>
      <c r="W364" s="765" t="e">
        <f t="shared" si="209"/>
        <v>#REF!</v>
      </c>
      <c r="X364" s="765" t="e">
        <f t="shared" si="209"/>
        <v>#REF!</v>
      </c>
      <c r="Y364" s="765" t="e">
        <f t="shared" si="209"/>
        <v>#REF!</v>
      </c>
      <c r="Z364" s="765" t="e">
        <f t="shared" si="209"/>
        <v>#REF!</v>
      </c>
      <c r="AA364" s="765" t="e">
        <f t="shared" ref="AA364" si="210">AA362+AA363</f>
        <v>#REF!</v>
      </c>
    </row>
    <row r="365" spans="1:27" ht="15">
      <c r="B365" s="736"/>
      <c r="C365" s="736"/>
      <c r="D365" s="736"/>
      <c r="E365" s="736"/>
      <c r="F365" s="736"/>
      <c r="G365" s="736"/>
    </row>
    <row r="366" spans="1:27" ht="15">
      <c r="A366" s="730" t="s">
        <v>715</v>
      </c>
      <c r="B366" s="736" t="e">
        <f>B334+B339</f>
        <v>#REF!</v>
      </c>
      <c r="C366" s="736" t="e">
        <f t="shared" ref="C366:Z366" si="211">C334+C339</f>
        <v>#REF!</v>
      </c>
      <c r="D366" s="736" t="e">
        <f t="shared" si="211"/>
        <v>#REF!</v>
      </c>
      <c r="E366" s="736" t="e">
        <f t="shared" si="211"/>
        <v>#REF!</v>
      </c>
      <c r="F366" s="736" t="e">
        <f t="shared" si="211"/>
        <v>#REF!</v>
      </c>
      <c r="G366" s="736" t="e">
        <f t="shared" si="211"/>
        <v>#REF!</v>
      </c>
      <c r="H366" s="736" t="e">
        <f t="shared" si="211"/>
        <v>#REF!</v>
      </c>
      <c r="I366" s="736" t="e">
        <f t="shared" si="211"/>
        <v>#REF!</v>
      </c>
      <c r="J366" s="736" t="e">
        <f t="shared" si="211"/>
        <v>#REF!</v>
      </c>
      <c r="K366" s="736" t="e">
        <f t="shared" si="211"/>
        <v>#REF!</v>
      </c>
      <c r="L366" s="736" t="e">
        <f t="shared" si="211"/>
        <v>#REF!</v>
      </c>
      <c r="M366" s="736" t="e">
        <f t="shared" si="211"/>
        <v>#REF!</v>
      </c>
      <c r="N366" s="736" t="e">
        <f t="shared" si="211"/>
        <v>#REF!</v>
      </c>
      <c r="O366" s="736" t="e">
        <f t="shared" si="211"/>
        <v>#REF!</v>
      </c>
      <c r="P366" s="736" t="e">
        <f t="shared" si="211"/>
        <v>#REF!</v>
      </c>
      <c r="Q366" s="736" t="e">
        <f t="shared" si="211"/>
        <v>#REF!</v>
      </c>
      <c r="R366" s="736" t="e">
        <f t="shared" si="211"/>
        <v>#REF!</v>
      </c>
      <c r="S366" s="736" t="e">
        <f t="shared" si="211"/>
        <v>#REF!</v>
      </c>
      <c r="T366" s="736" t="e">
        <f t="shared" si="211"/>
        <v>#REF!</v>
      </c>
      <c r="U366" s="736" t="e">
        <f t="shared" si="211"/>
        <v>#REF!</v>
      </c>
      <c r="V366" s="736" t="e">
        <f t="shared" si="211"/>
        <v>#REF!</v>
      </c>
      <c r="W366" s="736" t="e">
        <f t="shared" si="211"/>
        <v>#REF!</v>
      </c>
      <c r="X366" s="736" t="e">
        <f t="shared" si="211"/>
        <v>#REF!</v>
      </c>
      <c r="Y366" s="736" t="e">
        <f t="shared" si="211"/>
        <v>#REF!</v>
      </c>
      <c r="Z366" s="736" t="e">
        <f t="shared" si="211"/>
        <v>#REF!</v>
      </c>
      <c r="AA366" s="736" t="e">
        <f t="shared" ref="AA366" si="212">AA334+AA339</f>
        <v>#REF!</v>
      </c>
    </row>
    <row r="367" spans="1:27" ht="15">
      <c r="A367" s="730" t="s">
        <v>716</v>
      </c>
      <c r="B367" s="736" t="e">
        <f>B348</f>
        <v>#REF!</v>
      </c>
      <c r="C367" s="736" t="e">
        <f t="shared" ref="C367:Z367" si="213">C348</f>
        <v>#REF!</v>
      </c>
      <c r="D367" s="736" t="e">
        <f t="shared" si="213"/>
        <v>#REF!</v>
      </c>
      <c r="E367" s="736" t="e">
        <f t="shared" si="213"/>
        <v>#REF!</v>
      </c>
      <c r="F367" s="736" t="e">
        <f t="shared" si="213"/>
        <v>#REF!</v>
      </c>
      <c r="G367" s="736" t="e">
        <f t="shared" si="213"/>
        <v>#REF!</v>
      </c>
      <c r="H367" s="736" t="e">
        <f t="shared" si="213"/>
        <v>#REF!</v>
      </c>
      <c r="I367" s="736" t="e">
        <f t="shared" si="213"/>
        <v>#REF!</v>
      </c>
      <c r="J367" s="736" t="e">
        <f t="shared" si="213"/>
        <v>#REF!</v>
      </c>
      <c r="K367" s="736" t="e">
        <f t="shared" si="213"/>
        <v>#REF!</v>
      </c>
      <c r="L367" s="736" t="e">
        <f t="shared" si="213"/>
        <v>#REF!</v>
      </c>
      <c r="M367" s="736" t="e">
        <f t="shared" si="213"/>
        <v>#REF!</v>
      </c>
      <c r="N367" s="736" t="e">
        <f t="shared" si="213"/>
        <v>#REF!</v>
      </c>
      <c r="O367" s="736" t="e">
        <f t="shared" si="213"/>
        <v>#REF!</v>
      </c>
      <c r="P367" s="736" t="e">
        <f t="shared" si="213"/>
        <v>#REF!</v>
      </c>
      <c r="Q367" s="736" t="e">
        <f t="shared" si="213"/>
        <v>#REF!</v>
      </c>
      <c r="R367" s="736" t="e">
        <f t="shared" si="213"/>
        <v>#REF!</v>
      </c>
      <c r="S367" s="736" t="e">
        <f t="shared" si="213"/>
        <v>#REF!</v>
      </c>
      <c r="T367" s="736" t="e">
        <f t="shared" si="213"/>
        <v>#REF!</v>
      </c>
      <c r="U367" s="736" t="e">
        <f t="shared" si="213"/>
        <v>#REF!</v>
      </c>
      <c r="V367" s="736" t="e">
        <f t="shared" si="213"/>
        <v>#REF!</v>
      </c>
      <c r="W367" s="736" t="e">
        <f t="shared" si="213"/>
        <v>#REF!</v>
      </c>
      <c r="X367" s="736" t="e">
        <f t="shared" si="213"/>
        <v>#REF!</v>
      </c>
      <c r="Y367" s="736" t="e">
        <f t="shared" si="213"/>
        <v>#REF!</v>
      </c>
      <c r="Z367" s="736" t="e">
        <f t="shared" si="213"/>
        <v>#REF!</v>
      </c>
      <c r="AA367" s="736" t="e">
        <f t="shared" ref="AA367" si="214">AA348</f>
        <v>#REF!</v>
      </c>
    </row>
    <row r="368" spans="1:27">
      <c r="A368" s="760" t="s">
        <v>717</v>
      </c>
      <c r="B368" s="765" t="e">
        <f>B366+B367</f>
        <v>#REF!</v>
      </c>
      <c r="C368" s="765" t="e">
        <f t="shared" ref="C368:Z368" si="215">C366+C367</f>
        <v>#REF!</v>
      </c>
      <c r="D368" s="765" t="e">
        <f t="shared" si="215"/>
        <v>#REF!</v>
      </c>
      <c r="E368" s="765" t="e">
        <f t="shared" si="215"/>
        <v>#REF!</v>
      </c>
      <c r="F368" s="765" t="e">
        <f t="shared" si="215"/>
        <v>#REF!</v>
      </c>
      <c r="G368" s="765" t="e">
        <f t="shared" si="215"/>
        <v>#REF!</v>
      </c>
      <c r="H368" s="765" t="e">
        <f t="shared" si="215"/>
        <v>#REF!</v>
      </c>
      <c r="I368" s="765" t="e">
        <f t="shared" si="215"/>
        <v>#REF!</v>
      </c>
      <c r="J368" s="765" t="e">
        <f t="shared" si="215"/>
        <v>#REF!</v>
      </c>
      <c r="K368" s="765" t="e">
        <f t="shared" si="215"/>
        <v>#REF!</v>
      </c>
      <c r="L368" s="765" t="e">
        <f t="shared" si="215"/>
        <v>#REF!</v>
      </c>
      <c r="M368" s="765" t="e">
        <f t="shared" si="215"/>
        <v>#REF!</v>
      </c>
      <c r="N368" s="765" t="e">
        <f t="shared" si="215"/>
        <v>#REF!</v>
      </c>
      <c r="O368" s="765" t="e">
        <f t="shared" si="215"/>
        <v>#REF!</v>
      </c>
      <c r="P368" s="765" t="e">
        <f t="shared" si="215"/>
        <v>#REF!</v>
      </c>
      <c r="Q368" s="765" t="e">
        <f t="shared" si="215"/>
        <v>#REF!</v>
      </c>
      <c r="R368" s="765" t="e">
        <f t="shared" si="215"/>
        <v>#REF!</v>
      </c>
      <c r="S368" s="765" t="e">
        <f t="shared" si="215"/>
        <v>#REF!</v>
      </c>
      <c r="T368" s="765" t="e">
        <f t="shared" si="215"/>
        <v>#REF!</v>
      </c>
      <c r="U368" s="765" t="e">
        <f t="shared" si="215"/>
        <v>#REF!</v>
      </c>
      <c r="V368" s="765" t="e">
        <f t="shared" si="215"/>
        <v>#REF!</v>
      </c>
      <c r="W368" s="765" t="e">
        <f t="shared" si="215"/>
        <v>#REF!</v>
      </c>
      <c r="X368" s="765" t="e">
        <f t="shared" si="215"/>
        <v>#REF!</v>
      </c>
      <c r="Y368" s="765" t="e">
        <f t="shared" si="215"/>
        <v>#REF!</v>
      </c>
      <c r="Z368" s="765" t="e">
        <f t="shared" si="215"/>
        <v>#REF!</v>
      </c>
      <c r="AA368" s="765" t="e">
        <f t="shared" ref="AA368" si="216">AA366+AA367</f>
        <v>#REF!</v>
      </c>
    </row>
    <row r="371" spans="1:27">
      <c r="A371" s="732" t="s">
        <v>242</v>
      </c>
    </row>
    <row r="372" spans="1:27" ht="15">
      <c r="A372" s="730" t="s">
        <v>718</v>
      </c>
      <c r="B372" s="742" t="e">
        <f>#REF!/$B$6</f>
        <v>#REF!</v>
      </c>
      <c r="C372" s="742" t="e">
        <f>#REF!/$B$6</f>
        <v>#REF!</v>
      </c>
      <c r="D372" s="742" t="e">
        <f>#REF!/$B$6</f>
        <v>#REF!</v>
      </c>
      <c r="E372" s="742" t="e">
        <f>#REF!/$B$6</f>
        <v>#REF!</v>
      </c>
      <c r="F372" s="742" t="e">
        <f>#REF!/$B$6</f>
        <v>#REF!</v>
      </c>
      <c r="G372" s="742" t="e">
        <f>#REF!/$B$6</f>
        <v>#REF!</v>
      </c>
      <c r="H372" s="742" t="e">
        <f>#REF!/$B$6</f>
        <v>#REF!</v>
      </c>
      <c r="I372" s="742" t="e">
        <f>#REF!/$B$6</f>
        <v>#REF!</v>
      </c>
      <c r="J372" s="742" t="e">
        <f>#REF!/$B$6</f>
        <v>#REF!</v>
      </c>
      <c r="K372" s="742" t="e">
        <f>#REF!/$B$6</f>
        <v>#REF!</v>
      </c>
      <c r="L372" s="742" t="e">
        <f>#REF!/$B$6</f>
        <v>#REF!</v>
      </c>
      <c r="M372" s="742" t="e">
        <f>#REF!/$B$6</f>
        <v>#REF!</v>
      </c>
      <c r="N372" s="742" t="e">
        <f>#REF!/$B$6</f>
        <v>#REF!</v>
      </c>
      <c r="O372" s="742" t="e">
        <f>#REF!/$B$6</f>
        <v>#REF!</v>
      </c>
      <c r="P372" s="742" t="e">
        <f>#REF!/$B$6</f>
        <v>#REF!</v>
      </c>
      <c r="Q372" s="742" t="e">
        <f>#REF!/$B$6</f>
        <v>#REF!</v>
      </c>
      <c r="R372" s="742" t="e">
        <f>#REF!/$B$6</f>
        <v>#REF!</v>
      </c>
      <c r="S372" s="742" t="e">
        <f>#REF!/$B$6</f>
        <v>#REF!</v>
      </c>
      <c r="T372" s="742" t="e">
        <f>#REF!/$B$6</f>
        <v>#REF!</v>
      </c>
      <c r="U372" s="742" t="e">
        <f>#REF!/$B$6</f>
        <v>#REF!</v>
      </c>
      <c r="V372" s="742" t="e">
        <f>#REF!/$B$6</f>
        <v>#REF!</v>
      </c>
      <c r="W372" s="742" t="e">
        <f>#REF!/$B$6</f>
        <v>#REF!</v>
      </c>
      <c r="X372" s="742" t="e">
        <f>#REF!/$B$6</f>
        <v>#REF!</v>
      </c>
      <c r="Y372" s="742" t="e">
        <f>#REF!/$B$6</f>
        <v>#REF!</v>
      </c>
      <c r="Z372" s="742" t="e">
        <f>#REF!/$B$6</f>
        <v>#REF!</v>
      </c>
      <c r="AA372" s="742" t="e">
        <f>#REF!/$B$6</f>
        <v>#REF!</v>
      </c>
    </row>
    <row r="373" spans="1:27" ht="15">
      <c r="A373" s="730" t="s">
        <v>719</v>
      </c>
      <c r="B373" s="742" t="e">
        <f>#REF!/$B$6</f>
        <v>#REF!</v>
      </c>
      <c r="C373" s="742" t="e">
        <f>#REF!/$B$6</f>
        <v>#REF!</v>
      </c>
      <c r="D373" s="742" t="e">
        <f>#REF!/$B$6</f>
        <v>#REF!</v>
      </c>
      <c r="E373" s="742" t="e">
        <f>#REF!/$B$6</f>
        <v>#REF!</v>
      </c>
      <c r="F373" s="742" t="e">
        <f>#REF!/$B$6</f>
        <v>#REF!</v>
      </c>
      <c r="G373" s="742" t="e">
        <f>#REF!/$B$6</f>
        <v>#REF!</v>
      </c>
      <c r="H373" s="742" t="e">
        <f>#REF!/$B$6</f>
        <v>#REF!</v>
      </c>
      <c r="I373" s="742" t="e">
        <f>#REF!/$B$6</f>
        <v>#REF!</v>
      </c>
      <c r="J373" s="742" t="e">
        <f>#REF!/$B$6</f>
        <v>#REF!</v>
      </c>
      <c r="K373" s="742" t="e">
        <f>#REF!/$B$6</f>
        <v>#REF!</v>
      </c>
      <c r="L373" s="742" t="e">
        <f>#REF!/$B$6</f>
        <v>#REF!</v>
      </c>
      <c r="M373" s="742" t="e">
        <f>#REF!/$B$6</f>
        <v>#REF!</v>
      </c>
      <c r="N373" s="742" t="e">
        <f>#REF!/$B$6</f>
        <v>#REF!</v>
      </c>
      <c r="O373" s="742" t="e">
        <f>#REF!/$B$6</f>
        <v>#REF!</v>
      </c>
      <c r="P373" s="742" t="e">
        <f>#REF!/$B$6</f>
        <v>#REF!</v>
      </c>
      <c r="Q373" s="742" t="e">
        <f>#REF!/$B$6</f>
        <v>#REF!</v>
      </c>
      <c r="R373" s="742" t="e">
        <f>#REF!/$B$6</f>
        <v>#REF!</v>
      </c>
      <c r="S373" s="742" t="e">
        <f>#REF!/$B$6</f>
        <v>#REF!</v>
      </c>
      <c r="T373" s="742" t="e">
        <f>#REF!/$B$6</f>
        <v>#REF!</v>
      </c>
      <c r="U373" s="742" t="e">
        <f>#REF!/$B$6</f>
        <v>#REF!</v>
      </c>
      <c r="V373" s="742" t="e">
        <f>#REF!/$B$6</f>
        <v>#REF!</v>
      </c>
      <c r="W373" s="742" t="e">
        <f>#REF!/$B$6</f>
        <v>#REF!</v>
      </c>
      <c r="X373" s="742" t="e">
        <f>#REF!/$B$6</f>
        <v>#REF!</v>
      </c>
      <c r="Y373" s="742" t="e">
        <f>#REF!/$B$6</f>
        <v>#REF!</v>
      </c>
      <c r="Z373" s="742" t="e">
        <f>#REF!/$B$6</f>
        <v>#REF!</v>
      </c>
      <c r="AA373" s="742" t="e">
        <f>#REF!/$B$6</f>
        <v>#REF!</v>
      </c>
    </row>
    <row r="374" spans="1:27">
      <c r="A374" s="760" t="s">
        <v>720</v>
      </c>
      <c r="B374" s="765" t="e">
        <f>#REF!/$B$6</f>
        <v>#REF!</v>
      </c>
      <c r="C374" s="765" t="e">
        <f>#REF!/$B$6</f>
        <v>#REF!</v>
      </c>
      <c r="D374" s="765" t="e">
        <f>#REF!/$B$6</f>
        <v>#REF!</v>
      </c>
      <c r="E374" s="765" t="e">
        <f>#REF!/$B$6</f>
        <v>#REF!</v>
      </c>
      <c r="F374" s="765" t="e">
        <f>#REF!/$B$6</f>
        <v>#REF!</v>
      </c>
      <c r="G374" s="765" t="e">
        <f>#REF!/$B$6</f>
        <v>#REF!</v>
      </c>
      <c r="H374" s="765" t="e">
        <f>#REF!/$B$6</f>
        <v>#REF!</v>
      </c>
      <c r="I374" s="765" t="e">
        <f>#REF!/$B$6</f>
        <v>#REF!</v>
      </c>
      <c r="J374" s="765" t="e">
        <f>#REF!/$B$6</f>
        <v>#REF!</v>
      </c>
      <c r="K374" s="765" t="e">
        <f>#REF!/$B$6</f>
        <v>#REF!</v>
      </c>
      <c r="L374" s="765" t="e">
        <f>#REF!/$B$6</f>
        <v>#REF!</v>
      </c>
      <c r="M374" s="765" t="e">
        <f>#REF!/$B$6</f>
        <v>#REF!</v>
      </c>
      <c r="N374" s="765" t="e">
        <f>#REF!/$B$6</f>
        <v>#REF!</v>
      </c>
      <c r="O374" s="765" t="e">
        <f>#REF!/$B$6</f>
        <v>#REF!</v>
      </c>
      <c r="P374" s="765" t="e">
        <f>#REF!/$B$6</f>
        <v>#REF!</v>
      </c>
      <c r="Q374" s="765" t="e">
        <f>#REF!/$B$6</f>
        <v>#REF!</v>
      </c>
      <c r="R374" s="765" t="e">
        <f>#REF!/$B$6</f>
        <v>#REF!</v>
      </c>
      <c r="S374" s="765" t="e">
        <f>#REF!/$B$6</f>
        <v>#REF!</v>
      </c>
      <c r="T374" s="765" t="e">
        <f>#REF!/$B$6</f>
        <v>#REF!</v>
      </c>
      <c r="U374" s="765" t="e">
        <f>#REF!/$B$6</f>
        <v>#REF!</v>
      </c>
      <c r="V374" s="765" t="e">
        <f>#REF!/$B$6</f>
        <v>#REF!</v>
      </c>
      <c r="W374" s="765" t="e">
        <f>#REF!/$B$6</f>
        <v>#REF!</v>
      </c>
      <c r="X374" s="765" t="e">
        <f>#REF!/$B$6</f>
        <v>#REF!</v>
      </c>
      <c r="Y374" s="765" t="e">
        <f>#REF!/$B$6</f>
        <v>#REF!</v>
      </c>
      <c r="Z374" s="765" t="e">
        <f>#REF!/$B$6</f>
        <v>#REF!</v>
      </c>
      <c r="AA374" s="765" t="e">
        <f>#REF!/$B$6</f>
        <v>#REF!</v>
      </c>
    </row>
    <row r="375" spans="1:27" ht="15">
      <c r="B375" s="736"/>
    </row>
    <row r="380" spans="1:27">
      <c r="A380" s="735" t="s">
        <v>589</v>
      </c>
      <c r="B380" s="735">
        <f>B$12</f>
        <v>2003</v>
      </c>
      <c r="C380" s="735">
        <f t="shared" ref="C380:AA380" si="217">C$12</f>
        <v>2004</v>
      </c>
      <c r="D380" s="735">
        <f t="shared" si="217"/>
        <v>2005</v>
      </c>
      <c r="E380" s="735">
        <f t="shared" si="217"/>
        <v>2006</v>
      </c>
      <c r="F380" s="735">
        <f t="shared" si="217"/>
        <v>2007</v>
      </c>
      <c r="G380" s="735">
        <f t="shared" si="217"/>
        <v>2008</v>
      </c>
      <c r="H380" s="735">
        <f t="shared" si="217"/>
        <v>2009</v>
      </c>
      <c r="I380" s="735">
        <f t="shared" si="217"/>
        <v>2010</v>
      </c>
      <c r="J380" s="735">
        <f t="shared" si="217"/>
        <v>2011</v>
      </c>
      <c r="K380" s="735">
        <f t="shared" si="217"/>
        <v>2012</v>
      </c>
      <c r="L380" s="735">
        <f t="shared" si="217"/>
        <v>2013</v>
      </c>
      <c r="M380" s="735">
        <f t="shared" si="217"/>
        <v>2014</v>
      </c>
      <c r="N380" s="735">
        <f t="shared" si="217"/>
        <v>2015</v>
      </c>
      <c r="O380" s="735">
        <f t="shared" si="217"/>
        <v>2016</v>
      </c>
      <c r="P380" s="735">
        <f t="shared" si="217"/>
        <v>2017</v>
      </c>
      <c r="Q380" s="735">
        <f t="shared" si="217"/>
        <v>2018</v>
      </c>
      <c r="R380" s="735">
        <f t="shared" si="217"/>
        <v>2019</v>
      </c>
      <c r="S380" s="735">
        <f t="shared" si="217"/>
        <v>2020</v>
      </c>
      <c r="T380" s="735">
        <f t="shared" si="217"/>
        <v>2021</v>
      </c>
      <c r="U380" s="735">
        <f t="shared" si="217"/>
        <v>2022</v>
      </c>
      <c r="V380" s="735">
        <f t="shared" si="217"/>
        <v>2023</v>
      </c>
      <c r="W380" s="735">
        <f t="shared" si="217"/>
        <v>2024</v>
      </c>
      <c r="X380" s="735">
        <f t="shared" si="217"/>
        <v>2025</v>
      </c>
      <c r="Y380" s="735">
        <f t="shared" si="217"/>
        <v>2026</v>
      </c>
      <c r="Z380" s="735">
        <f t="shared" si="217"/>
        <v>2027</v>
      </c>
      <c r="AA380" s="735">
        <f t="shared" si="217"/>
        <v>2028</v>
      </c>
    </row>
    <row r="381" spans="1:27" ht="15">
      <c r="B381" s="736"/>
      <c r="C381" s="736"/>
      <c r="D381" s="736"/>
      <c r="E381" s="736"/>
      <c r="F381" s="736"/>
      <c r="G381" s="736"/>
      <c r="H381" s="736"/>
      <c r="I381" s="736"/>
      <c r="J381" s="736"/>
      <c r="K381" s="736"/>
      <c r="L381" s="736"/>
      <c r="M381" s="736"/>
      <c r="N381" s="736"/>
      <c r="O381" s="736"/>
      <c r="P381" s="736"/>
      <c r="Q381" s="736"/>
      <c r="R381" s="736"/>
      <c r="S381" s="736"/>
      <c r="T381" s="736"/>
      <c r="U381" s="736"/>
      <c r="V381" s="736"/>
      <c r="W381" s="736"/>
      <c r="X381" s="736"/>
      <c r="Y381" s="736"/>
      <c r="Z381" s="736"/>
      <c r="AA381" s="736"/>
    </row>
    <row r="382" spans="1:27" ht="15">
      <c r="A382" s="730" t="s">
        <v>721</v>
      </c>
      <c r="B382" s="742" t="e">
        <f>#REF!/$B$6</f>
        <v>#REF!</v>
      </c>
      <c r="C382" s="742" t="e">
        <f>#REF!/$B$6</f>
        <v>#REF!</v>
      </c>
      <c r="D382" s="742" t="e">
        <f>#REF!/$B$6</f>
        <v>#REF!</v>
      </c>
      <c r="E382" s="742" t="e">
        <f>#REF!/$B$6</f>
        <v>#REF!</v>
      </c>
      <c r="F382" s="742" t="e">
        <f>#REF!/$B$6</f>
        <v>#REF!</v>
      </c>
      <c r="G382" s="742" t="e">
        <f>#REF!/$B$6</f>
        <v>#REF!</v>
      </c>
      <c r="H382" s="742" t="e">
        <f>#REF!/$B$6</f>
        <v>#REF!</v>
      </c>
      <c r="I382" s="742" t="e">
        <f>#REF!/$B$6</f>
        <v>#REF!</v>
      </c>
      <c r="J382" s="742" t="e">
        <f>#REF!/$B$6</f>
        <v>#REF!</v>
      </c>
      <c r="K382" s="742" t="e">
        <f>#REF!/$B$6</f>
        <v>#REF!</v>
      </c>
      <c r="L382" s="742" t="e">
        <f>#REF!/$B$6</f>
        <v>#REF!</v>
      </c>
      <c r="M382" s="742" t="e">
        <f>#REF!/$B$6</f>
        <v>#REF!</v>
      </c>
      <c r="N382" s="742" t="e">
        <f>#REF!/$B$6</f>
        <v>#REF!</v>
      </c>
      <c r="O382" s="742" t="e">
        <f>#REF!/$B$6</f>
        <v>#REF!</v>
      </c>
      <c r="P382" s="742" t="e">
        <f>#REF!/$B$6</f>
        <v>#REF!</v>
      </c>
      <c r="Q382" s="742" t="e">
        <f>#REF!/$B$6</f>
        <v>#REF!</v>
      </c>
      <c r="R382" s="742" t="e">
        <f>#REF!/$B$6</f>
        <v>#REF!</v>
      </c>
      <c r="S382" s="742" t="e">
        <f>#REF!/$B$6</f>
        <v>#REF!</v>
      </c>
      <c r="T382" s="742" t="e">
        <f>#REF!/$B$6</f>
        <v>#REF!</v>
      </c>
      <c r="U382" s="742" t="e">
        <f>#REF!/$B$6</f>
        <v>#REF!</v>
      </c>
      <c r="V382" s="742" t="e">
        <f>#REF!/$B$6</f>
        <v>#REF!</v>
      </c>
      <c r="W382" s="742" t="e">
        <f>#REF!/$B$6</f>
        <v>#REF!</v>
      </c>
      <c r="X382" s="742" t="e">
        <f>#REF!/$B$6</f>
        <v>#REF!</v>
      </c>
      <c r="Y382" s="742" t="e">
        <f>#REF!/$B$6</f>
        <v>#REF!</v>
      </c>
      <c r="Z382" s="742" t="e">
        <f>#REF!/$B$6</f>
        <v>#REF!</v>
      </c>
      <c r="AA382" s="742" t="e">
        <f>#REF!/$B$6</f>
        <v>#REF!</v>
      </c>
    </row>
    <row r="383" spans="1:27" ht="15">
      <c r="A383" s="730" t="s">
        <v>722</v>
      </c>
      <c r="B383" s="742" t="e">
        <f>#REF!/$B$6</f>
        <v>#REF!</v>
      </c>
      <c r="C383" s="742" t="e">
        <f>#REF!/$B$6</f>
        <v>#REF!</v>
      </c>
      <c r="D383" s="742" t="e">
        <f>#REF!/$B$6</f>
        <v>#REF!</v>
      </c>
      <c r="E383" s="742" t="e">
        <f>#REF!/$B$6</f>
        <v>#REF!</v>
      </c>
      <c r="F383" s="742" t="e">
        <f>#REF!/$B$6</f>
        <v>#REF!</v>
      </c>
      <c r="G383" s="742" t="e">
        <f>#REF!/$B$6</f>
        <v>#REF!</v>
      </c>
      <c r="H383" s="742" t="e">
        <f>#REF!/$B$6</f>
        <v>#REF!</v>
      </c>
      <c r="I383" s="742" t="e">
        <f>#REF!/$B$6</f>
        <v>#REF!</v>
      </c>
      <c r="J383" s="742" t="e">
        <f>#REF!/$B$6</f>
        <v>#REF!</v>
      </c>
      <c r="K383" s="742" t="e">
        <f>#REF!/$B$6</f>
        <v>#REF!</v>
      </c>
      <c r="L383" s="742" t="e">
        <f>#REF!/$B$6</f>
        <v>#REF!</v>
      </c>
      <c r="M383" s="742" t="e">
        <f>#REF!/$B$6</f>
        <v>#REF!</v>
      </c>
      <c r="N383" s="742" t="e">
        <f>#REF!/$B$6</f>
        <v>#REF!</v>
      </c>
      <c r="O383" s="742" t="e">
        <f>#REF!/$B$6</f>
        <v>#REF!</v>
      </c>
      <c r="P383" s="742" t="e">
        <f>#REF!/$B$6</f>
        <v>#REF!</v>
      </c>
      <c r="Q383" s="742" t="e">
        <f>#REF!/$B$6</f>
        <v>#REF!</v>
      </c>
      <c r="R383" s="742" t="e">
        <f>#REF!/$B$6</f>
        <v>#REF!</v>
      </c>
      <c r="S383" s="742" t="e">
        <f>#REF!/$B$6</f>
        <v>#REF!</v>
      </c>
      <c r="T383" s="742" t="e">
        <f>#REF!/$B$6</f>
        <v>#REF!</v>
      </c>
      <c r="U383" s="742" t="e">
        <f>#REF!/$B$6</f>
        <v>#REF!</v>
      </c>
      <c r="V383" s="742" t="e">
        <f>#REF!/$B$6</f>
        <v>#REF!</v>
      </c>
      <c r="W383" s="742" t="e">
        <f>#REF!/$B$6</f>
        <v>#REF!</v>
      </c>
      <c r="X383" s="742" t="e">
        <f>#REF!/$B$6</f>
        <v>#REF!</v>
      </c>
      <c r="Y383" s="742" t="e">
        <f>#REF!/$B$6</f>
        <v>#REF!</v>
      </c>
      <c r="Z383" s="742" t="e">
        <f>#REF!/$B$6</f>
        <v>#REF!</v>
      </c>
      <c r="AA383" s="742" t="e">
        <f>#REF!/$B$6</f>
        <v>#REF!</v>
      </c>
    </row>
    <row r="384" spans="1:27" ht="15">
      <c r="A384" s="730" t="s">
        <v>723</v>
      </c>
      <c r="B384" s="742" t="e">
        <f>#REF!/$B$6</f>
        <v>#REF!</v>
      </c>
      <c r="C384" s="742" t="e">
        <f>#REF!/$B$6</f>
        <v>#REF!</v>
      </c>
      <c r="D384" s="742" t="e">
        <f>#REF!/$B$6</f>
        <v>#REF!</v>
      </c>
      <c r="E384" s="742" t="e">
        <f>#REF!/$B$6</f>
        <v>#REF!</v>
      </c>
      <c r="F384" s="742" t="e">
        <f>#REF!/$B$6</f>
        <v>#REF!</v>
      </c>
      <c r="G384" s="742" t="e">
        <f>#REF!/$B$6</f>
        <v>#REF!</v>
      </c>
      <c r="H384" s="742" t="e">
        <f>#REF!/$B$6</f>
        <v>#REF!</v>
      </c>
      <c r="I384" s="742" t="e">
        <f>#REF!/$B$6</f>
        <v>#REF!</v>
      </c>
      <c r="J384" s="742" t="e">
        <f>#REF!/$B$6</f>
        <v>#REF!</v>
      </c>
      <c r="K384" s="742" t="e">
        <f>#REF!/$B$6</f>
        <v>#REF!</v>
      </c>
      <c r="L384" s="742" t="e">
        <f>#REF!/$B$6</f>
        <v>#REF!</v>
      </c>
      <c r="M384" s="742" t="e">
        <f>#REF!/$B$6</f>
        <v>#REF!</v>
      </c>
      <c r="N384" s="742" t="e">
        <f>#REF!/$B$6</f>
        <v>#REF!</v>
      </c>
      <c r="O384" s="742" t="e">
        <f>#REF!/$B$6</f>
        <v>#REF!</v>
      </c>
      <c r="P384" s="742" t="e">
        <f>#REF!/$B$6</f>
        <v>#REF!</v>
      </c>
      <c r="Q384" s="742" t="e">
        <f>#REF!/$B$6</f>
        <v>#REF!</v>
      </c>
      <c r="R384" s="742" t="e">
        <f>#REF!/$B$6</f>
        <v>#REF!</v>
      </c>
      <c r="S384" s="742" t="e">
        <f>#REF!/$B$6</f>
        <v>#REF!</v>
      </c>
      <c r="T384" s="742" t="e">
        <f>#REF!/$B$6</f>
        <v>#REF!</v>
      </c>
      <c r="U384" s="742" t="e">
        <f>#REF!/$B$6</f>
        <v>#REF!</v>
      </c>
      <c r="V384" s="742" t="e">
        <f>#REF!/$B$6</f>
        <v>#REF!</v>
      </c>
      <c r="W384" s="742" t="e">
        <f>#REF!/$B$6</f>
        <v>#REF!</v>
      </c>
      <c r="X384" s="742" t="e">
        <f>#REF!/$B$6</f>
        <v>#REF!</v>
      </c>
      <c r="Y384" s="742" t="e">
        <f>#REF!/$B$6</f>
        <v>#REF!</v>
      </c>
      <c r="Z384" s="742" t="e">
        <f>#REF!/$B$6</f>
        <v>#REF!</v>
      </c>
      <c r="AA384" s="742" t="e">
        <f>#REF!/$B$6</f>
        <v>#REF!</v>
      </c>
    </row>
    <row r="385" spans="1:27">
      <c r="A385" s="760" t="s">
        <v>724</v>
      </c>
      <c r="B385" s="765" t="e">
        <f>SUM(B382:B384)</f>
        <v>#REF!</v>
      </c>
      <c r="C385" s="765" t="e">
        <f t="shared" ref="C385:Z385" si="218">SUM(C382:C384)</f>
        <v>#REF!</v>
      </c>
      <c r="D385" s="765" t="e">
        <f t="shared" si="218"/>
        <v>#REF!</v>
      </c>
      <c r="E385" s="765" t="e">
        <f t="shared" si="218"/>
        <v>#REF!</v>
      </c>
      <c r="F385" s="765" t="e">
        <f t="shared" si="218"/>
        <v>#REF!</v>
      </c>
      <c r="G385" s="765" t="e">
        <f t="shared" si="218"/>
        <v>#REF!</v>
      </c>
      <c r="H385" s="765" t="e">
        <f t="shared" si="218"/>
        <v>#REF!</v>
      </c>
      <c r="I385" s="765" t="e">
        <f t="shared" si="218"/>
        <v>#REF!</v>
      </c>
      <c r="J385" s="765" t="e">
        <f t="shared" si="218"/>
        <v>#REF!</v>
      </c>
      <c r="K385" s="765" t="e">
        <f t="shared" si="218"/>
        <v>#REF!</v>
      </c>
      <c r="L385" s="765" t="e">
        <f t="shared" si="218"/>
        <v>#REF!</v>
      </c>
      <c r="M385" s="765" t="e">
        <f t="shared" si="218"/>
        <v>#REF!</v>
      </c>
      <c r="N385" s="765" t="e">
        <f t="shared" si="218"/>
        <v>#REF!</v>
      </c>
      <c r="O385" s="765" t="e">
        <f t="shared" si="218"/>
        <v>#REF!</v>
      </c>
      <c r="P385" s="765" t="e">
        <f t="shared" si="218"/>
        <v>#REF!</v>
      </c>
      <c r="Q385" s="765" t="e">
        <f t="shared" si="218"/>
        <v>#REF!</v>
      </c>
      <c r="R385" s="765" t="e">
        <f t="shared" si="218"/>
        <v>#REF!</v>
      </c>
      <c r="S385" s="765" t="e">
        <f t="shared" si="218"/>
        <v>#REF!</v>
      </c>
      <c r="T385" s="765" t="e">
        <f t="shared" si="218"/>
        <v>#REF!</v>
      </c>
      <c r="U385" s="765" t="e">
        <f t="shared" si="218"/>
        <v>#REF!</v>
      </c>
      <c r="V385" s="765" t="e">
        <f t="shared" si="218"/>
        <v>#REF!</v>
      </c>
      <c r="W385" s="765" t="e">
        <f t="shared" si="218"/>
        <v>#REF!</v>
      </c>
      <c r="X385" s="765" t="e">
        <f t="shared" si="218"/>
        <v>#REF!</v>
      </c>
      <c r="Y385" s="765" t="e">
        <f t="shared" si="218"/>
        <v>#REF!</v>
      </c>
      <c r="Z385" s="765" t="e">
        <f t="shared" si="218"/>
        <v>#REF!</v>
      </c>
      <c r="AA385" s="765" t="e">
        <f t="shared" ref="AA385" si="219">SUM(AA382:AA384)</f>
        <v>#REF!</v>
      </c>
    </row>
    <row r="387" spans="1:27">
      <c r="A387" s="732" t="s">
        <v>725</v>
      </c>
    </row>
    <row r="388" spans="1:27" ht="15">
      <c r="A388" s="730" t="s">
        <v>726</v>
      </c>
      <c r="B388" s="742" t="e">
        <f>#REF!/$B$6</f>
        <v>#REF!</v>
      </c>
      <c r="C388" s="742" t="e">
        <f>#REF!/$B$6</f>
        <v>#REF!</v>
      </c>
      <c r="D388" s="742" t="e">
        <f>#REF!/$B$6</f>
        <v>#REF!</v>
      </c>
      <c r="E388" s="742" t="e">
        <f>#REF!/$B$6</f>
        <v>#REF!</v>
      </c>
      <c r="F388" s="742" t="e">
        <f>#REF!/$B$6</f>
        <v>#REF!</v>
      </c>
      <c r="G388" s="742" t="e">
        <f>#REF!/$B$6</f>
        <v>#REF!</v>
      </c>
      <c r="H388" s="742" t="e">
        <f>#REF!/$B$6</f>
        <v>#REF!</v>
      </c>
      <c r="I388" s="742" t="e">
        <f>#REF!/$B$6</f>
        <v>#REF!</v>
      </c>
      <c r="J388" s="742" t="e">
        <f>#REF!/$B$6</f>
        <v>#REF!</v>
      </c>
      <c r="K388" s="742" t="e">
        <f>#REF!/$B$6</f>
        <v>#REF!</v>
      </c>
      <c r="L388" s="742" t="e">
        <f>#REF!/$B$6</f>
        <v>#REF!</v>
      </c>
      <c r="M388" s="742" t="e">
        <f>#REF!/$B$6</f>
        <v>#REF!</v>
      </c>
      <c r="N388" s="742" t="e">
        <f>#REF!/$B$6</f>
        <v>#REF!</v>
      </c>
      <c r="O388" s="742" t="e">
        <f>#REF!/$B$6</f>
        <v>#REF!</v>
      </c>
      <c r="P388" s="742" t="e">
        <f>#REF!/$B$6</f>
        <v>#REF!</v>
      </c>
      <c r="Q388" s="742" t="e">
        <f>#REF!/$B$6</f>
        <v>#REF!</v>
      </c>
      <c r="R388" s="742" t="e">
        <f>#REF!/$B$6</f>
        <v>#REF!</v>
      </c>
      <c r="S388" s="742" t="e">
        <f>#REF!/$B$6</f>
        <v>#REF!</v>
      </c>
      <c r="T388" s="742" t="e">
        <f>#REF!/$B$6</f>
        <v>#REF!</v>
      </c>
      <c r="U388" s="742" t="e">
        <f>#REF!/$B$6</f>
        <v>#REF!</v>
      </c>
      <c r="V388" s="742" t="e">
        <f>#REF!/$B$6</f>
        <v>#REF!</v>
      </c>
      <c r="W388" s="742" t="e">
        <f>#REF!/$B$6</f>
        <v>#REF!</v>
      </c>
      <c r="X388" s="742" t="e">
        <f>#REF!/$B$6</f>
        <v>#REF!</v>
      </c>
      <c r="Y388" s="742" t="e">
        <f>#REF!/$B$6</f>
        <v>#REF!</v>
      </c>
      <c r="Z388" s="742" t="e">
        <f>#REF!/$B$6</f>
        <v>#REF!</v>
      </c>
      <c r="AA388" s="742" t="e">
        <f>#REF!/$B$6</f>
        <v>#REF!</v>
      </c>
    </row>
    <row r="389" spans="1:27" ht="15">
      <c r="A389" s="730" t="s">
        <v>727</v>
      </c>
      <c r="B389" s="742" t="e">
        <f>#REF!/$B$6</f>
        <v>#REF!</v>
      </c>
      <c r="C389" s="742" t="e">
        <f>#REF!/$B$6</f>
        <v>#REF!</v>
      </c>
      <c r="D389" s="742" t="e">
        <f>#REF!/$B$6</f>
        <v>#REF!</v>
      </c>
      <c r="E389" s="742" t="e">
        <f>#REF!/$B$6</f>
        <v>#REF!</v>
      </c>
      <c r="F389" s="742" t="e">
        <f>#REF!/$B$6</f>
        <v>#REF!</v>
      </c>
      <c r="G389" s="742" t="e">
        <f>#REF!/$B$6</f>
        <v>#REF!</v>
      </c>
      <c r="H389" s="742" t="e">
        <f>#REF!/$B$6</f>
        <v>#REF!</v>
      </c>
      <c r="I389" s="742" t="e">
        <f>#REF!/$B$6</f>
        <v>#REF!</v>
      </c>
      <c r="J389" s="742" t="e">
        <f>#REF!/$B$6</f>
        <v>#REF!</v>
      </c>
      <c r="K389" s="742" t="e">
        <f>#REF!/$B$6</f>
        <v>#REF!</v>
      </c>
      <c r="L389" s="742" t="e">
        <f>#REF!/$B$6</f>
        <v>#REF!</v>
      </c>
      <c r="M389" s="742" t="e">
        <f>#REF!/$B$6</f>
        <v>#REF!</v>
      </c>
      <c r="N389" s="742" t="e">
        <f>#REF!/$B$6</f>
        <v>#REF!</v>
      </c>
      <c r="O389" s="742" t="e">
        <f>#REF!/$B$6</f>
        <v>#REF!</v>
      </c>
      <c r="P389" s="742" t="e">
        <f>#REF!/$B$6</f>
        <v>#REF!</v>
      </c>
      <c r="Q389" s="742" t="e">
        <f>#REF!/$B$6</f>
        <v>#REF!</v>
      </c>
      <c r="R389" s="742" t="e">
        <f>#REF!/$B$6</f>
        <v>#REF!</v>
      </c>
      <c r="S389" s="742" t="e">
        <f>#REF!/$B$6</f>
        <v>#REF!</v>
      </c>
      <c r="T389" s="742" t="e">
        <f>#REF!/$B$6</f>
        <v>#REF!</v>
      </c>
      <c r="U389" s="742" t="e">
        <f>#REF!/$B$6</f>
        <v>#REF!</v>
      </c>
      <c r="V389" s="742" t="e">
        <f>#REF!/$B$6</f>
        <v>#REF!</v>
      </c>
      <c r="W389" s="742" t="e">
        <f>#REF!/$B$6</f>
        <v>#REF!</v>
      </c>
      <c r="X389" s="742" t="e">
        <f>#REF!/$B$6</f>
        <v>#REF!</v>
      </c>
      <c r="Y389" s="742" t="e">
        <f>#REF!/$B$6</f>
        <v>#REF!</v>
      </c>
      <c r="Z389" s="742" t="e">
        <f>#REF!/$B$6</f>
        <v>#REF!</v>
      </c>
      <c r="AA389" s="742" t="e">
        <f>#REF!/$B$6</f>
        <v>#REF!</v>
      </c>
    </row>
    <row r="390" spans="1:27" ht="15">
      <c r="A390" s="730" t="s">
        <v>728</v>
      </c>
      <c r="B390" s="742" t="e">
        <f>#REF!/$B$6</f>
        <v>#REF!</v>
      </c>
      <c r="C390" s="742" t="e">
        <f>#REF!/$B$6</f>
        <v>#REF!</v>
      </c>
      <c r="D390" s="742" t="e">
        <f>#REF!/$B$6</f>
        <v>#REF!</v>
      </c>
      <c r="E390" s="742" t="e">
        <f>#REF!/$B$6</f>
        <v>#REF!</v>
      </c>
      <c r="F390" s="742" t="e">
        <f>#REF!/$B$6</f>
        <v>#REF!</v>
      </c>
      <c r="G390" s="742" t="e">
        <f>#REF!/$B$6</f>
        <v>#REF!</v>
      </c>
      <c r="H390" s="742" t="e">
        <f>#REF!/$B$6</f>
        <v>#REF!</v>
      </c>
      <c r="I390" s="742" t="e">
        <f>#REF!/$B$6</f>
        <v>#REF!</v>
      </c>
      <c r="J390" s="742" t="e">
        <f>#REF!/$B$6</f>
        <v>#REF!</v>
      </c>
      <c r="K390" s="742" t="e">
        <f>#REF!/$B$6</f>
        <v>#REF!</v>
      </c>
      <c r="L390" s="742" t="e">
        <f>#REF!/$B$6</f>
        <v>#REF!</v>
      </c>
      <c r="M390" s="742" t="e">
        <f>#REF!/$B$6</f>
        <v>#REF!</v>
      </c>
      <c r="N390" s="742" t="e">
        <f>#REF!/$B$6</f>
        <v>#REF!</v>
      </c>
      <c r="O390" s="742" t="e">
        <f>#REF!/$B$6</f>
        <v>#REF!</v>
      </c>
      <c r="P390" s="742" t="e">
        <f>#REF!/$B$6</f>
        <v>#REF!</v>
      </c>
      <c r="Q390" s="742" t="e">
        <f>#REF!/$B$6</f>
        <v>#REF!</v>
      </c>
      <c r="R390" s="742" t="e">
        <f>#REF!/$B$6</f>
        <v>#REF!</v>
      </c>
      <c r="S390" s="742" t="e">
        <f>#REF!/$B$6</f>
        <v>#REF!</v>
      </c>
      <c r="T390" s="742" t="e">
        <f>#REF!/$B$6</f>
        <v>#REF!</v>
      </c>
      <c r="U390" s="742" t="e">
        <f>#REF!/$B$6</f>
        <v>#REF!</v>
      </c>
      <c r="V390" s="742" t="e">
        <f>#REF!/$B$6</f>
        <v>#REF!</v>
      </c>
      <c r="W390" s="742" t="e">
        <f>#REF!/$B$6</f>
        <v>#REF!</v>
      </c>
      <c r="X390" s="742" t="e">
        <f>#REF!/$B$6</f>
        <v>#REF!</v>
      </c>
      <c r="Y390" s="742" t="e">
        <f>#REF!/$B$6</f>
        <v>#REF!</v>
      </c>
      <c r="Z390" s="742" t="e">
        <f>#REF!/$B$6</f>
        <v>#REF!</v>
      </c>
      <c r="AA390" s="742" t="e">
        <f>#REF!/$B$6</f>
        <v>#REF!</v>
      </c>
    </row>
    <row r="391" spans="1:27">
      <c r="A391" s="760" t="s">
        <v>729</v>
      </c>
      <c r="B391" s="765" t="e">
        <f>SUM(B388:B390)</f>
        <v>#REF!</v>
      </c>
      <c r="C391" s="765" t="e">
        <f t="shared" ref="C391:Z391" si="220">SUM(C388:C390)</f>
        <v>#REF!</v>
      </c>
      <c r="D391" s="765" t="e">
        <f t="shared" si="220"/>
        <v>#REF!</v>
      </c>
      <c r="E391" s="765" t="e">
        <f t="shared" si="220"/>
        <v>#REF!</v>
      </c>
      <c r="F391" s="765" t="e">
        <f t="shared" si="220"/>
        <v>#REF!</v>
      </c>
      <c r="G391" s="765" t="e">
        <f t="shared" si="220"/>
        <v>#REF!</v>
      </c>
      <c r="H391" s="765" t="e">
        <f t="shared" si="220"/>
        <v>#REF!</v>
      </c>
      <c r="I391" s="765" t="e">
        <f t="shared" si="220"/>
        <v>#REF!</v>
      </c>
      <c r="J391" s="765" t="e">
        <f t="shared" si="220"/>
        <v>#REF!</v>
      </c>
      <c r="K391" s="765" t="e">
        <f t="shared" si="220"/>
        <v>#REF!</v>
      </c>
      <c r="L391" s="765" t="e">
        <f t="shared" si="220"/>
        <v>#REF!</v>
      </c>
      <c r="M391" s="765" t="e">
        <f t="shared" si="220"/>
        <v>#REF!</v>
      </c>
      <c r="N391" s="765" t="e">
        <f t="shared" si="220"/>
        <v>#REF!</v>
      </c>
      <c r="O391" s="765" t="e">
        <f t="shared" si="220"/>
        <v>#REF!</v>
      </c>
      <c r="P391" s="765" t="e">
        <f t="shared" si="220"/>
        <v>#REF!</v>
      </c>
      <c r="Q391" s="765" t="e">
        <f t="shared" si="220"/>
        <v>#REF!</v>
      </c>
      <c r="R391" s="765" t="e">
        <f t="shared" si="220"/>
        <v>#REF!</v>
      </c>
      <c r="S391" s="765" t="e">
        <f t="shared" si="220"/>
        <v>#REF!</v>
      </c>
      <c r="T391" s="765" t="e">
        <f t="shared" si="220"/>
        <v>#REF!</v>
      </c>
      <c r="U391" s="765" t="e">
        <f t="shared" si="220"/>
        <v>#REF!</v>
      </c>
      <c r="V391" s="765" t="e">
        <f t="shared" si="220"/>
        <v>#REF!</v>
      </c>
      <c r="W391" s="765" t="e">
        <f t="shared" si="220"/>
        <v>#REF!</v>
      </c>
      <c r="X391" s="765" t="e">
        <f t="shared" si="220"/>
        <v>#REF!</v>
      </c>
      <c r="Y391" s="765" t="e">
        <f t="shared" si="220"/>
        <v>#REF!</v>
      </c>
      <c r="Z391" s="765" t="e">
        <f t="shared" si="220"/>
        <v>#REF!</v>
      </c>
      <c r="AA391" s="765" t="e">
        <f t="shared" ref="AA391" si="221">SUM(AA388:AA390)</f>
        <v>#REF!</v>
      </c>
    </row>
    <row r="393" spans="1:27" ht="15">
      <c r="A393" s="730" t="s">
        <v>730</v>
      </c>
      <c r="B393" s="742" t="e">
        <f>#REF!/$B$6</f>
        <v>#REF!</v>
      </c>
      <c r="C393" s="742" t="e">
        <f>#REF!/$B$6</f>
        <v>#REF!</v>
      </c>
      <c r="D393" s="742" t="e">
        <f>#REF!/$B$6</f>
        <v>#REF!</v>
      </c>
      <c r="E393" s="742" t="e">
        <f>#REF!/$B$6</f>
        <v>#REF!</v>
      </c>
      <c r="F393" s="742" t="e">
        <f>#REF!/$B$6</f>
        <v>#REF!</v>
      </c>
      <c r="G393" s="742" t="e">
        <f>#REF!/$B$6</f>
        <v>#REF!</v>
      </c>
      <c r="H393" s="742" t="e">
        <f>#REF!/$B$6</f>
        <v>#REF!</v>
      </c>
      <c r="I393" s="742" t="e">
        <f>#REF!/$B$6</f>
        <v>#REF!</v>
      </c>
      <c r="J393" s="742" t="e">
        <f>#REF!/$B$6</f>
        <v>#REF!</v>
      </c>
      <c r="K393" s="742" t="e">
        <f>#REF!/$B$6</f>
        <v>#REF!</v>
      </c>
      <c r="L393" s="742" t="e">
        <f>#REF!/$B$6</f>
        <v>#REF!</v>
      </c>
      <c r="M393" s="742" t="e">
        <f>#REF!/$B$6</f>
        <v>#REF!</v>
      </c>
      <c r="N393" s="742" t="e">
        <f>#REF!/$B$6</f>
        <v>#REF!</v>
      </c>
      <c r="O393" s="742" t="e">
        <f>#REF!/$B$6</f>
        <v>#REF!</v>
      </c>
      <c r="P393" s="742" t="e">
        <f>#REF!/$B$6</f>
        <v>#REF!</v>
      </c>
      <c r="Q393" s="742" t="e">
        <f>#REF!/$B$6</f>
        <v>#REF!</v>
      </c>
      <c r="R393" s="742" t="e">
        <f>#REF!/$B$6</f>
        <v>#REF!</v>
      </c>
      <c r="S393" s="742" t="e">
        <f>#REF!/$B$6</f>
        <v>#REF!</v>
      </c>
      <c r="T393" s="742" t="e">
        <f>#REF!/$B$6</f>
        <v>#REF!</v>
      </c>
      <c r="U393" s="742" t="e">
        <f>#REF!/$B$6</f>
        <v>#REF!</v>
      </c>
      <c r="V393" s="742" t="e">
        <f>#REF!/$B$6</f>
        <v>#REF!</v>
      </c>
      <c r="W393" s="742" t="e">
        <f>#REF!/$B$6</f>
        <v>#REF!</v>
      </c>
      <c r="X393" s="742" t="e">
        <f>#REF!/$B$6</f>
        <v>#REF!</v>
      </c>
      <c r="Y393" s="742" t="e">
        <f>#REF!/$B$6</f>
        <v>#REF!</v>
      </c>
      <c r="Z393" s="742" t="e">
        <f>#REF!/$B$6</f>
        <v>#REF!</v>
      </c>
      <c r="AA393" s="742" t="e">
        <f>#REF!/$B$6</f>
        <v>#REF!</v>
      </c>
    </row>
    <row r="394" spans="1:27" ht="15">
      <c r="A394" s="730" t="s">
        <v>731</v>
      </c>
      <c r="B394" s="742" t="e">
        <f>#REF!/$B$6</f>
        <v>#REF!</v>
      </c>
      <c r="C394" s="742" t="e">
        <f>#REF!/$B$6</f>
        <v>#REF!</v>
      </c>
      <c r="D394" s="742" t="e">
        <f>#REF!/$B$6</f>
        <v>#REF!</v>
      </c>
      <c r="E394" s="742" t="e">
        <f>#REF!/$B$6</f>
        <v>#REF!</v>
      </c>
      <c r="F394" s="742" t="e">
        <f>#REF!/$B$6</f>
        <v>#REF!</v>
      </c>
      <c r="G394" s="742" t="e">
        <f>#REF!/$B$6</f>
        <v>#REF!</v>
      </c>
      <c r="H394" s="742" t="e">
        <f>#REF!/$B$6</f>
        <v>#REF!</v>
      </c>
      <c r="I394" s="742" t="e">
        <f>#REF!/$B$6</f>
        <v>#REF!</v>
      </c>
      <c r="J394" s="742" t="e">
        <f>#REF!/$B$6</f>
        <v>#REF!</v>
      </c>
      <c r="K394" s="742" t="e">
        <f>#REF!/$B$6</f>
        <v>#REF!</v>
      </c>
      <c r="L394" s="742" t="e">
        <f>#REF!/$B$6</f>
        <v>#REF!</v>
      </c>
      <c r="M394" s="742" t="e">
        <f>#REF!/$B$6</f>
        <v>#REF!</v>
      </c>
      <c r="N394" s="742" t="e">
        <f>#REF!/$B$6</f>
        <v>#REF!</v>
      </c>
      <c r="O394" s="742" t="e">
        <f>#REF!/$B$6</f>
        <v>#REF!</v>
      </c>
      <c r="P394" s="742" t="e">
        <f>#REF!/$B$6</f>
        <v>#REF!</v>
      </c>
      <c r="Q394" s="742" t="e">
        <f>#REF!/$B$6</f>
        <v>#REF!</v>
      </c>
      <c r="R394" s="742" t="e">
        <f>#REF!/$B$6</f>
        <v>#REF!</v>
      </c>
      <c r="S394" s="742" t="e">
        <f>#REF!/$B$6</f>
        <v>#REF!</v>
      </c>
      <c r="T394" s="742" t="e">
        <f>#REF!/$B$6</f>
        <v>#REF!</v>
      </c>
      <c r="U394" s="742" t="e">
        <f>#REF!/$B$6</f>
        <v>#REF!</v>
      </c>
      <c r="V394" s="742" t="e">
        <f>#REF!/$B$6</f>
        <v>#REF!</v>
      </c>
      <c r="W394" s="742" t="e">
        <f>#REF!/$B$6</f>
        <v>#REF!</v>
      </c>
      <c r="X394" s="742" t="e">
        <f>#REF!/$B$6</f>
        <v>#REF!</v>
      </c>
      <c r="Y394" s="742" t="e">
        <f>#REF!/$B$6</f>
        <v>#REF!</v>
      </c>
      <c r="Z394" s="742" t="e">
        <f>#REF!/$B$6</f>
        <v>#REF!</v>
      </c>
      <c r="AA394" s="742" t="e">
        <f>#REF!/$B$6</f>
        <v>#REF!</v>
      </c>
    </row>
    <row r="395" spans="1:27">
      <c r="A395" s="760" t="s">
        <v>732</v>
      </c>
      <c r="B395" s="765" t="e">
        <f>SUM(B393:B394)</f>
        <v>#REF!</v>
      </c>
      <c r="C395" s="765" t="e">
        <f t="shared" ref="C395:Z395" si="222">SUM(C393:C394)</f>
        <v>#REF!</v>
      </c>
      <c r="D395" s="765" t="e">
        <f t="shared" si="222"/>
        <v>#REF!</v>
      </c>
      <c r="E395" s="765" t="e">
        <f t="shared" si="222"/>
        <v>#REF!</v>
      </c>
      <c r="F395" s="765" t="e">
        <f t="shared" si="222"/>
        <v>#REF!</v>
      </c>
      <c r="G395" s="765" t="e">
        <f t="shared" si="222"/>
        <v>#REF!</v>
      </c>
      <c r="H395" s="765" t="e">
        <f t="shared" si="222"/>
        <v>#REF!</v>
      </c>
      <c r="I395" s="765" t="e">
        <f t="shared" si="222"/>
        <v>#REF!</v>
      </c>
      <c r="J395" s="765" t="e">
        <f t="shared" si="222"/>
        <v>#REF!</v>
      </c>
      <c r="K395" s="765" t="e">
        <f t="shared" si="222"/>
        <v>#REF!</v>
      </c>
      <c r="L395" s="765" t="e">
        <f t="shared" si="222"/>
        <v>#REF!</v>
      </c>
      <c r="M395" s="765" t="e">
        <f t="shared" si="222"/>
        <v>#REF!</v>
      </c>
      <c r="N395" s="765" t="e">
        <f t="shared" si="222"/>
        <v>#REF!</v>
      </c>
      <c r="O395" s="765" t="e">
        <f t="shared" si="222"/>
        <v>#REF!</v>
      </c>
      <c r="P395" s="765" t="e">
        <f t="shared" si="222"/>
        <v>#REF!</v>
      </c>
      <c r="Q395" s="765" t="e">
        <f t="shared" si="222"/>
        <v>#REF!</v>
      </c>
      <c r="R395" s="765" t="e">
        <f t="shared" si="222"/>
        <v>#REF!</v>
      </c>
      <c r="S395" s="765" t="e">
        <f t="shared" si="222"/>
        <v>#REF!</v>
      </c>
      <c r="T395" s="765" t="e">
        <f t="shared" si="222"/>
        <v>#REF!</v>
      </c>
      <c r="U395" s="765" t="e">
        <f t="shared" si="222"/>
        <v>#REF!</v>
      </c>
      <c r="V395" s="765" t="e">
        <f t="shared" si="222"/>
        <v>#REF!</v>
      </c>
      <c r="W395" s="765" t="e">
        <f t="shared" si="222"/>
        <v>#REF!</v>
      </c>
      <c r="X395" s="765" t="e">
        <f t="shared" si="222"/>
        <v>#REF!</v>
      </c>
      <c r="Y395" s="765" t="e">
        <f t="shared" si="222"/>
        <v>#REF!</v>
      </c>
      <c r="Z395" s="765" t="e">
        <f t="shared" si="222"/>
        <v>#REF!</v>
      </c>
      <c r="AA395" s="765" t="e">
        <f t="shared" ref="AA395" si="223">SUM(AA393:AA394)</f>
        <v>#REF!</v>
      </c>
    </row>
    <row r="405" spans="1:27">
      <c r="A405" s="735" t="s">
        <v>594</v>
      </c>
      <c r="B405" s="735">
        <f>B$12</f>
        <v>2003</v>
      </c>
      <c r="C405" s="735">
        <f t="shared" ref="C405:AA405" si="224">C$12</f>
        <v>2004</v>
      </c>
      <c r="D405" s="735">
        <f t="shared" si="224"/>
        <v>2005</v>
      </c>
      <c r="E405" s="735">
        <f t="shared" si="224"/>
        <v>2006</v>
      </c>
      <c r="F405" s="735">
        <f t="shared" si="224"/>
        <v>2007</v>
      </c>
      <c r="G405" s="735">
        <f t="shared" si="224"/>
        <v>2008</v>
      </c>
      <c r="H405" s="735">
        <f t="shared" si="224"/>
        <v>2009</v>
      </c>
      <c r="I405" s="735">
        <f t="shared" si="224"/>
        <v>2010</v>
      </c>
      <c r="J405" s="735">
        <f t="shared" si="224"/>
        <v>2011</v>
      </c>
      <c r="K405" s="735">
        <f t="shared" si="224"/>
        <v>2012</v>
      </c>
      <c r="L405" s="735">
        <f t="shared" si="224"/>
        <v>2013</v>
      </c>
      <c r="M405" s="735">
        <f t="shared" si="224"/>
        <v>2014</v>
      </c>
      <c r="N405" s="735">
        <f t="shared" si="224"/>
        <v>2015</v>
      </c>
      <c r="O405" s="735">
        <f t="shared" si="224"/>
        <v>2016</v>
      </c>
      <c r="P405" s="735">
        <f t="shared" si="224"/>
        <v>2017</v>
      </c>
      <c r="Q405" s="735">
        <f t="shared" si="224"/>
        <v>2018</v>
      </c>
      <c r="R405" s="735">
        <f t="shared" si="224"/>
        <v>2019</v>
      </c>
      <c r="S405" s="735">
        <f t="shared" si="224"/>
        <v>2020</v>
      </c>
      <c r="T405" s="735">
        <f t="shared" si="224"/>
        <v>2021</v>
      </c>
      <c r="U405" s="735">
        <f t="shared" si="224"/>
        <v>2022</v>
      </c>
      <c r="V405" s="735">
        <f t="shared" si="224"/>
        <v>2023</v>
      </c>
      <c r="W405" s="735">
        <f t="shared" si="224"/>
        <v>2024</v>
      </c>
      <c r="X405" s="735">
        <f t="shared" si="224"/>
        <v>2025</v>
      </c>
      <c r="Y405" s="735">
        <f t="shared" si="224"/>
        <v>2026</v>
      </c>
      <c r="Z405" s="735">
        <f t="shared" si="224"/>
        <v>2027</v>
      </c>
      <c r="AA405" s="735">
        <f t="shared" si="224"/>
        <v>2028</v>
      </c>
    </row>
    <row r="407" spans="1:27" ht="15">
      <c r="A407" s="730" t="s">
        <v>733</v>
      </c>
      <c r="B407" s="742" t="e">
        <f>#REF!/$B$6</f>
        <v>#REF!</v>
      </c>
      <c r="C407" s="742" t="e">
        <f>#REF!/$B$6</f>
        <v>#REF!</v>
      </c>
      <c r="D407" s="742" t="e">
        <f>#REF!/$B$6</f>
        <v>#REF!</v>
      </c>
      <c r="E407" s="742" t="e">
        <f>#REF!/$B$6</f>
        <v>#REF!</v>
      </c>
      <c r="F407" s="742" t="e">
        <f>#REF!/$B$6</f>
        <v>#REF!</v>
      </c>
      <c r="G407" s="742" t="e">
        <f>#REF!/$B$6</f>
        <v>#REF!</v>
      </c>
      <c r="H407" s="742" t="e">
        <f>#REF!/$B$6</f>
        <v>#REF!</v>
      </c>
      <c r="I407" s="742" t="e">
        <f>#REF!/$B$6</f>
        <v>#REF!</v>
      </c>
      <c r="J407" s="742" t="e">
        <f>#REF!/$B$6</f>
        <v>#REF!</v>
      </c>
      <c r="K407" s="742" t="e">
        <f>#REF!/$B$6</f>
        <v>#REF!</v>
      </c>
      <c r="L407" s="742" t="e">
        <f>#REF!/$B$6</f>
        <v>#REF!</v>
      </c>
      <c r="M407" s="742" t="e">
        <f>#REF!/$B$6</f>
        <v>#REF!</v>
      </c>
      <c r="N407" s="742" t="e">
        <f>#REF!/$B$6</f>
        <v>#REF!</v>
      </c>
      <c r="O407" s="742" t="e">
        <f>#REF!/$B$6</f>
        <v>#REF!</v>
      </c>
      <c r="P407" s="742" t="e">
        <f>#REF!/$B$6</f>
        <v>#REF!</v>
      </c>
      <c r="Q407" s="742" t="e">
        <f>#REF!/$B$6</f>
        <v>#REF!</v>
      </c>
      <c r="R407" s="742" t="e">
        <f>#REF!/$B$6</f>
        <v>#REF!</v>
      </c>
      <c r="S407" s="742" t="e">
        <f>#REF!/$B$6</f>
        <v>#REF!</v>
      </c>
      <c r="T407" s="742" t="e">
        <f>#REF!/$B$6</f>
        <v>#REF!</v>
      </c>
      <c r="U407" s="742" t="e">
        <f>#REF!/$B$6</f>
        <v>#REF!</v>
      </c>
      <c r="V407" s="742" t="e">
        <f>#REF!/$B$6</f>
        <v>#REF!</v>
      </c>
      <c r="W407" s="742" t="e">
        <f>#REF!/$B$6</f>
        <v>#REF!</v>
      </c>
      <c r="X407" s="742" t="e">
        <f>#REF!/$B$6</f>
        <v>#REF!</v>
      </c>
      <c r="Y407" s="742" t="e">
        <f>#REF!/$B$6</f>
        <v>#REF!</v>
      </c>
      <c r="Z407" s="742" t="e">
        <f>#REF!/$B$6</f>
        <v>#REF!</v>
      </c>
      <c r="AA407" s="742" t="e">
        <f>#REF!/$B$6</f>
        <v>#REF!</v>
      </c>
    </row>
    <row r="408" spans="1:27" ht="15">
      <c r="A408" s="730" t="s">
        <v>734</v>
      </c>
      <c r="B408" s="742" t="e">
        <f>#REF!/$B$6</f>
        <v>#REF!</v>
      </c>
      <c r="C408" s="742" t="e">
        <f>#REF!/$B$6</f>
        <v>#REF!</v>
      </c>
      <c r="D408" s="742" t="e">
        <f>#REF!/$B$6</f>
        <v>#REF!</v>
      </c>
      <c r="E408" s="742" t="e">
        <f>#REF!/$B$6</f>
        <v>#REF!</v>
      </c>
      <c r="F408" s="742" t="e">
        <f>#REF!/$B$6</f>
        <v>#REF!</v>
      </c>
      <c r="G408" s="742" t="e">
        <f>#REF!/$B$6</f>
        <v>#REF!</v>
      </c>
      <c r="H408" s="742" t="e">
        <f>#REF!/$B$6</f>
        <v>#REF!</v>
      </c>
      <c r="I408" s="742" t="e">
        <f>#REF!/$B$6</f>
        <v>#REF!</v>
      </c>
      <c r="J408" s="742" t="e">
        <f>#REF!/$B$6</f>
        <v>#REF!</v>
      </c>
      <c r="K408" s="742" t="e">
        <f>#REF!/$B$6</f>
        <v>#REF!</v>
      </c>
      <c r="L408" s="742" t="e">
        <f>#REF!/$B$6</f>
        <v>#REF!</v>
      </c>
      <c r="M408" s="742" t="e">
        <f>#REF!/$B$6</f>
        <v>#REF!</v>
      </c>
      <c r="N408" s="742" t="e">
        <f>#REF!/$B$6</f>
        <v>#REF!</v>
      </c>
      <c r="O408" s="742" t="e">
        <f>#REF!/$B$6</f>
        <v>#REF!</v>
      </c>
      <c r="P408" s="742" t="e">
        <f>#REF!/$B$6</f>
        <v>#REF!</v>
      </c>
      <c r="Q408" s="742" t="e">
        <f>#REF!/$B$6</f>
        <v>#REF!</v>
      </c>
      <c r="R408" s="742" t="e">
        <f>#REF!/$B$6</f>
        <v>#REF!</v>
      </c>
      <c r="S408" s="742" t="e">
        <f>#REF!/$B$6</f>
        <v>#REF!</v>
      </c>
      <c r="T408" s="742" t="e">
        <f>#REF!/$B$6</f>
        <v>#REF!</v>
      </c>
      <c r="U408" s="742" t="e">
        <f>#REF!/$B$6</f>
        <v>#REF!</v>
      </c>
      <c r="V408" s="742" t="e">
        <f>#REF!/$B$6</f>
        <v>#REF!</v>
      </c>
      <c r="W408" s="742" t="e">
        <f>#REF!/$B$6</f>
        <v>#REF!</v>
      </c>
      <c r="X408" s="742" t="e">
        <f>#REF!/$B$6</f>
        <v>#REF!</v>
      </c>
      <c r="Y408" s="742" t="e">
        <f>#REF!/$B$6</f>
        <v>#REF!</v>
      </c>
      <c r="Z408" s="742" t="e">
        <f>#REF!/$B$6</f>
        <v>#REF!</v>
      </c>
      <c r="AA408" s="742" t="e">
        <f>#REF!/$B$6</f>
        <v>#REF!</v>
      </c>
    </row>
    <row r="409" spans="1:27" ht="15">
      <c r="A409" s="730" t="s">
        <v>735</v>
      </c>
      <c r="B409" s="742" t="e">
        <f>#REF!/$B$6</f>
        <v>#REF!</v>
      </c>
      <c r="C409" s="742" t="e">
        <f>#REF!/$B$6</f>
        <v>#REF!</v>
      </c>
      <c r="D409" s="742" t="e">
        <f>#REF!/$B$6</f>
        <v>#REF!</v>
      </c>
      <c r="E409" s="742" t="e">
        <f>#REF!/$B$6</f>
        <v>#REF!</v>
      </c>
      <c r="F409" s="742" t="e">
        <f>#REF!/$B$6</f>
        <v>#REF!</v>
      </c>
      <c r="G409" s="742" t="e">
        <f>#REF!/$B$6</f>
        <v>#REF!</v>
      </c>
      <c r="H409" s="742" t="e">
        <f>#REF!/$B$6</f>
        <v>#REF!</v>
      </c>
      <c r="I409" s="742" t="e">
        <f>#REF!/$B$6</f>
        <v>#REF!</v>
      </c>
      <c r="J409" s="742" t="e">
        <f>#REF!/$B$6</f>
        <v>#REF!</v>
      </c>
      <c r="K409" s="742" t="e">
        <f>#REF!/$B$6</f>
        <v>#REF!</v>
      </c>
      <c r="L409" s="742" t="e">
        <f>#REF!/$B$6</f>
        <v>#REF!</v>
      </c>
      <c r="M409" s="742" t="e">
        <f>#REF!/$B$6</f>
        <v>#REF!</v>
      </c>
      <c r="N409" s="742" t="e">
        <f>#REF!/$B$6</f>
        <v>#REF!</v>
      </c>
      <c r="O409" s="742" t="e">
        <f>#REF!/$B$6</f>
        <v>#REF!</v>
      </c>
      <c r="P409" s="742" t="e">
        <f>#REF!/$B$6</f>
        <v>#REF!</v>
      </c>
      <c r="Q409" s="742" t="e">
        <f>#REF!/$B$6</f>
        <v>#REF!</v>
      </c>
      <c r="R409" s="742" t="e">
        <f>#REF!/$B$6</f>
        <v>#REF!</v>
      </c>
      <c r="S409" s="742" t="e">
        <f>#REF!/$B$6</f>
        <v>#REF!</v>
      </c>
      <c r="T409" s="742" t="e">
        <f>#REF!/$B$6</f>
        <v>#REF!</v>
      </c>
      <c r="U409" s="742" t="e">
        <f>#REF!/$B$6</f>
        <v>#REF!</v>
      </c>
      <c r="V409" s="742" t="e">
        <f>#REF!/$B$6</f>
        <v>#REF!</v>
      </c>
      <c r="W409" s="742" t="e">
        <f>#REF!/$B$6</f>
        <v>#REF!</v>
      </c>
      <c r="X409" s="742" t="e">
        <f>#REF!/$B$6</f>
        <v>#REF!</v>
      </c>
      <c r="Y409" s="742" t="e">
        <f>#REF!/$B$6</f>
        <v>#REF!</v>
      </c>
      <c r="Z409" s="742" t="e">
        <f>#REF!/$B$6</f>
        <v>#REF!</v>
      </c>
      <c r="AA409" s="742" t="e">
        <f>#REF!/$B$6</f>
        <v>#REF!</v>
      </c>
    </row>
    <row r="410" spans="1:27">
      <c r="A410" s="760" t="s">
        <v>736</v>
      </c>
      <c r="B410" s="765" t="e">
        <f>SUM(B407:B409)</f>
        <v>#REF!</v>
      </c>
      <c r="C410" s="765" t="e">
        <f t="shared" ref="C410:Z410" si="225">SUM(C407:C409)</f>
        <v>#REF!</v>
      </c>
      <c r="D410" s="765" t="e">
        <f t="shared" si="225"/>
        <v>#REF!</v>
      </c>
      <c r="E410" s="765" t="e">
        <f t="shared" si="225"/>
        <v>#REF!</v>
      </c>
      <c r="F410" s="765" t="e">
        <f t="shared" si="225"/>
        <v>#REF!</v>
      </c>
      <c r="G410" s="765" t="e">
        <f t="shared" si="225"/>
        <v>#REF!</v>
      </c>
      <c r="H410" s="765" t="e">
        <f t="shared" si="225"/>
        <v>#REF!</v>
      </c>
      <c r="I410" s="765" t="e">
        <f t="shared" si="225"/>
        <v>#REF!</v>
      </c>
      <c r="J410" s="765" t="e">
        <f t="shared" si="225"/>
        <v>#REF!</v>
      </c>
      <c r="K410" s="765" t="e">
        <f t="shared" si="225"/>
        <v>#REF!</v>
      </c>
      <c r="L410" s="765" t="e">
        <f t="shared" si="225"/>
        <v>#REF!</v>
      </c>
      <c r="M410" s="765" t="e">
        <f t="shared" si="225"/>
        <v>#REF!</v>
      </c>
      <c r="N410" s="765" t="e">
        <f t="shared" si="225"/>
        <v>#REF!</v>
      </c>
      <c r="O410" s="765" t="e">
        <f t="shared" si="225"/>
        <v>#REF!</v>
      </c>
      <c r="P410" s="765" t="e">
        <f t="shared" si="225"/>
        <v>#REF!</v>
      </c>
      <c r="Q410" s="765" t="e">
        <f t="shared" si="225"/>
        <v>#REF!</v>
      </c>
      <c r="R410" s="765" t="e">
        <f t="shared" si="225"/>
        <v>#REF!</v>
      </c>
      <c r="S410" s="765" t="e">
        <f t="shared" si="225"/>
        <v>#REF!</v>
      </c>
      <c r="T410" s="765" t="e">
        <f t="shared" si="225"/>
        <v>#REF!</v>
      </c>
      <c r="U410" s="765" t="e">
        <f t="shared" si="225"/>
        <v>#REF!</v>
      </c>
      <c r="V410" s="765" t="e">
        <f t="shared" si="225"/>
        <v>#REF!</v>
      </c>
      <c r="W410" s="765" t="e">
        <f t="shared" si="225"/>
        <v>#REF!</v>
      </c>
      <c r="X410" s="765" t="e">
        <f t="shared" si="225"/>
        <v>#REF!</v>
      </c>
      <c r="Y410" s="765" t="e">
        <f t="shared" si="225"/>
        <v>#REF!</v>
      </c>
      <c r="Z410" s="765" t="e">
        <f t="shared" si="225"/>
        <v>#REF!</v>
      </c>
      <c r="AA410" s="765" t="e">
        <f t="shared" ref="AA410" si="226">SUM(AA407:AA409)</f>
        <v>#REF!</v>
      </c>
    </row>
    <row r="412" spans="1:27">
      <c r="A412" s="732" t="s">
        <v>737</v>
      </c>
    </row>
    <row r="413" spans="1:27" ht="15">
      <c r="A413" s="730" t="s">
        <v>738</v>
      </c>
      <c r="B413" s="742" t="e">
        <f>#REF!/$B$6</f>
        <v>#REF!</v>
      </c>
      <c r="C413" s="742" t="e">
        <f>#REF!/$B$6</f>
        <v>#REF!</v>
      </c>
      <c r="D413" s="742" t="e">
        <f>#REF!/$B$6</f>
        <v>#REF!</v>
      </c>
      <c r="E413" s="742" t="e">
        <f>#REF!/$B$6</f>
        <v>#REF!</v>
      </c>
      <c r="F413" s="742" t="e">
        <f>#REF!/$B$6</f>
        <v>#REF!</v>
      </c>
      <c r="G413" s="742" t="e">
        <f>#REF!/$B$6</f>
        <v>#REF!</v>
      </c>
      <c r="H413" s="742" t="e">
        <f>#REF!/$B$6</f>
        <v>#REF!</v>
      </c>
      <c r="I413" s="742" t="e">
        <f>#REF!/$B$6</f>
        <v>#REF!</v>
      </c>
      <c r="J413" s="742" t="e">
        <f>#REF!/$B$6</f>
        <v>#REF!</v>
      </c>
      <c r="K413" s="742" t="e">
        <f>#REF!/$B$6</f>
        <v>#REF!</v>
      </c>
      <c r="L413" s="742" t="e">
        <f>#REF!/$B$6</f>
        <v>#REF!</v>
      </c>
      <c r="M413" s="742" t="e">
        <f>#REF!/$B$6</f>
        <v>#REF!</v>
      </c>
      <c r="N413" s="742" t="e">
        <f>#REF!/$B$6</f>
        <v>#REF!</v>
      </c>
      <c r="O413" s="742" t="e">
        <f>#REF!/$B$6</f>
        <v>#REF!</v>
      </c>
      <c r="P413" s="742" t="e">
        <f>#REF!/$B$6</f>
        <v>#REF!</v>
      </c>
      <c r="Q413" s="742" t="e">
        <f>#REF!/$B$6</f>
        <v>#REF!</v>
      </c>
      <c r="R413" s="742" t="e">
        <f>#REF!/$B$6</f>
        <v>#REF!</v>
      </c>
      <c r="S413" s="742" t="e">
        <f>#REF!/$B$6</f>
        <v>#REF!</v>
      </c>
      <c r="T413" s="742" t="e">
        <f>#REF!/$B$6</f>
        <v>#REF!</v>
      </c>
      <c r="U413" s="742" t="e">
        <f>#REF!/$B$6</f>
        <v>#REF!</v>
      </c>
      <c r="V413" s="742" t="e">
        <f>#REF!/$B$6</f>
        <v>#REF!</v>
      </c>
      <c r="W413" s="742" t="e">
        <f>#REF!/$B$6</f>
        <v>#REF!</v>
      </c>
      <c r="X413" s="742" t="e">
        <f>#REF!/$B$6</f>
        <v>#REF!</v>
      </c>
      <c r="Y413" s="742" t="e">
        <f>#REF!/$B$6</f>
        <v>#REF!</v>
      </c>
      <c r="Z413" s="742" t="e">
        <f>#REF!/$B$6</f>
        <v>#REF!</v>
      </c>
      <c r="AA413" s="742" t="e">
        <f>#REF!/$B$6</f>
        <v>#REF!</v>
      </c>
    </row>
    <row r="414" spans="1:27" ht="15">
      <c r="A414" s="730" t="s">
        <v>739</v>
      </c>
      <c r="B414" s="742" t="e">
        <f>#REF!/$B$6</f>
        <v>#REF!</v>
      </c>
      <c r="C414" s="742" t="e">
        <f>#REF!/$B$6</f>
        <v>#REF!</v>
      </c>
      <c r="D414" s="742" t="e">
        <f>#REF!/$B$6</f>
        <v>#REF!</v>
      </c>
      <c r="E414" s="742" t="e">
        <f>#REF!/$B$6</f>
        <v>#REF!</v>
      </c>
      <c r="F414" s="742" t="e">
        <f>#REF!/$B$6</f>
        <v>#REF!</v>
      </c>
      <c r="G414" s="742" t="e">
        <f>#REF!/$B$6</f>
        <v>#REF!</v>
      </c>
      <c r="H414" s="742" t="e">
        <f>#REF!/$B$6</f>
        <v>#REF!</v>
      </c>
      <c r="I414" s="742" t="e">
        <f>#REF!/$B$6</f>
        <v>#REF!</v>
      </c>
      <c r="J414" s="742" t="e">
        <f>#REF!/$B$6</f>
        <v>#REF!</v>
      </c>
      <c r="K414" s="742" t="e">
        <f>#REF!/$B$6</f>
        <v>#REF!</v>
      </c>
      <c r="L414" s="742" t="e">
        <f>#REF!/$B$6</f>
        <v>#REF!</v>
      </c>
      <c r="M414" s="742" t="e">
        <f>#REF!/$B$6</f>
        <v>#REF!</v>
      </c>
      <c r="N414" s="742" t="e">
        <f>#REF!/$B$6</f>
        <v>#REF!</v>
      </c>
      <c r="O414" s="742" t="e">
        <f>#REF!/$B$6</f>
        <v>#REF!</v>
      </c>
      <c r="P414" s="742" t="e">
        <f>#REF!/$B$6</f>
        <v>#REF!</v>
      </c>
      <c r="Q414" s="742" t="e">
        <f>#REF!/$B$6</f>
        <v>#REF!</v>
      </c>
      <c r="R414" s="742" t="e">
        <f>#REF!/$B$6</f>
        <v>#REF!</v>
      </c>
      <c r="S414" s="742" t="e">
        <f>#REF!/$B$6</f>
        <v>#REF!</v>
      </c>
      <c r="T414" s="742" t="e">
        <f>#REF!/$B$6</f>
        <v>#REF!</v>
      </c>
      <c r="U414" s="742" t="e">
        <f>#REF!/$B$6</f>
        <v>#REF!</v>
      </c>
      <c r="V414" s="742" t="e">
        <f>#REF!/$B$6</f>
        <v>#REF!</v>
      </c>
      <c r="W414" s="742" t="e">
        <f>#REF!/$B$6</f>
        <v>#REF!</v>
      </c>
      <c r="X414" s="742" t="e">
        <f>#REF!/$B$6</f>
        <v>#REF!</v>
      </c>
      <c r="Y414" s="742" t="e">
        <f>#REF!/$B$6</f>
        <v>#REF!</v>
      </c>
      <c r="Z414" s="742" t="e">
        <f>#REF!/$B$6</f>
        <v>#REF!</v>
      </c>
      <c r="AA414" s="742" t="e">
        <f>#REF!/$B$6</f>
        <v>#REF!</v>
      </c>
    </row>
    <row r="415" spans="1:27" ht="15">
      <c r="A415" s="730" t="s">
        <v>740</v>
      </c>
      <c r="B415" s="742" t="e">
        <f>#REF!/$B$6</f>
        <v>#REF!</v>
      </c>
      <c r="C415" s="742" t="e">
        <f>#REF!/$B$6</f>
        <v>#REF!</v>
      </c>
      <c r="D415" s="742" t="e">
        <f>#REF!/$B$6</f>
        <v>#REF!</v>
      </c>
      <c r="E415" s="742" t="e">
        <f>#REF!/$B$6</f>
        <v>#REF!</v>
      </c>
      <c r="F415" s="742" t="e">
        <f>#REF!/$B$6</f>
        <v>#REF!</v>
      </c>
      <c r="G415" s="742" t="e">
        <f>#REF!/$B$6</f>
        <v>#REF!</v>
      </c>
      <c r="H415" s="742" t="e">
        <f>#REF!/$B$6</f>
        <v>#REF!</v>
      </c>
      <c r="I415" s="742" t="e">
        <f>#REF!/$B$6</f>
        <v>#REF!</v>
      </c>
      <c r="J415" s="742" t="e">
        <f>#REF!/$B$6</f>
        <v>#REF!</v>
      </c>
      <c r="K415" s="742" t="e">
        <f>#REF!/$B$6</f>
        <v>#REF!</v>
      </c>
      <c r="L415" s="742" t="e">
        <f>#REF!/$B$6</f>
        <v>#REF!</v>
      </c>
      <c r="M415" s="742" t="e">
        <f>#REF!/$B$6</f>
        <v>#REF!</v>
      </c>
      <c r="N415" s="742" t="e">
        <f>#REF!/$B$6</f>
        <v>#REF!</v>
      </c>
      <c r="O415" s="742" t="e">
        <f>#REF!/$B$6</f>
        <v>#REF!</v>
      </c>
      <c r="P415" s="742" t="e">
        <f>#REF!/$B$6</f>
        <v>#REF!</v>
      </c>
      <c r="Q415" s="742" t="e">
        <f>#REF!/$B$6</f>
        <v>#REF!</v>
      </c>
      <c r="R415" s="742" t="e">
        <f>#REF!/$B$6</f>
        <v>#REF!</v>
      </c>
      <c r="S415" s="742" t="e">
        <f>#REF!/$B$6</f>
        <v>#REF!</v>
      </c>
      <c r="T415" s="742" t="e">
        <f>#REF!/$B$6</f>
        <v>#REF!</v>
      </c>
      <c r="U415" s="742" t="e">
        <f>#REF!/$B$6</f>
        <v>#REF!</v>
      </c>
      <c r="V415" s="742" t="e">
        <f>#REF!/$B$6</f>
        <v>#REF!</v>
      </c>
      <c r="W415" s="742" t="e">
        <f>#REF!/$B$6</f>
        <v>#REF!</v>
      </c>
      <c r="X415" s="742" t="e">
        <f>#REF!/$B$6</f>
        <v>#REF!</v>
      </c>
      <c r="Y415" s="742" t="e">
        <f>#REF!/$B$6</f>
        <v>#REF!</v>
      </c>
      <c r="Z415" s="742" t="e">
        <f>#REF!/$B$6</f>
        <v>#REF!</v>
      </c>
      <c r="AA415" s="742" t="e">
        <f>#REF!/$B$6</f>
        <v>#REF!</v>
      </c>
    </row>
    <row r="416" spans="1:27">
      <c r="A416" s="760" t="s">
        <v>741</v>
      </c>
      <c r="B416" s="765" t="e">
        <f>SUM(B413:B415)</f>
        <v>#REF!</v>
      </c>
      <c r="C416" s="765" t="e">
        <f t="shared" ref="C416:Z416" si="227">SUM(C413:C415)</f>
        <v>#REF!</v>
      </c>
      <c r="D416" s="765" t="e">
        <f t="shared" si="227"/>
        <v>#REF!</v>
      </c>
      <c r="E416" s="765" t="e">
        <f t="shared" si="227"/>
        <v>#REF!</v>
      </c>
      <c r="F416" s="765" t="e">
        <f t="shared" si="227"/>
        <v>#REF!</v>
      </c>
      <c r="G416" s="765" t="e">
        <f t="shared" si="227"/>
        <v>#REF!</v>
      </c>
      <c r="H416" s="765" t="e">
        <f t="shared" si="227"/>
        <v>#REF!</v>
      </c>
      <c r="I416" s="765" t="e">
        <f t="shared" si="227"/>
        <v>#REF!</v>
      </c>
      <c r="J416" s="765" t="e">
        <f t="shared" si="227"/>
        <v>#REF!</v>
      </c>
      <c r="K416" s="765" t="e">
        <f t="shared" si="227"/>
        <v>#REF!</v>
      </c>
      <c r="L416" s="765" t="e">
        <f t="shared" si="227"/>
        <v>#REF!</v>
      </c>
      <c r="M416" s="765" t="e">
        <f t="shared" si="227"/>
        <v>#REF!</v>
      </c>
      <c r="N416" s="765" t="e">
        <f t="shared" si="227"/>
        <v>#REF!</v>
      </c>
      <c r="O416" s="765" t="e">
        <f t="shared" si="227"/>
        <v>#REF!</v>
      </c>
      <c r="P416" s="765" t="e">
        <f t="shared" si="227"/>
        <v>#REF!</v>
      </c>
      <c r="Q416" s="765" t="e">
        <f t="shared" si="227"/>
        <v>#REF!</v>
      </c>
      <c r="R416" s="765" t="e">
        <f t="shared" si="227"/>
        <v>#REF!</v>
      </c>
      <c r="S416" s="765" t="e">
        <f t="shared" si="227"/>
        <v>#REF!</v>
      </c>
      <c r="T416" s="765" t="e">
        <f t="shared" si="227"/>
        <v>#REF!</v>
      </c>
      <c r="U416" s="765" t="e">
        <f t="shared" si="227"/>
        <v>#REF!</v>
      </c>
      <c r="V416" s="765" t="e">
        <f t="shared" si="227"/>
        <v>#REF!</v>
      </c>
      <c r="W416" s="765" t="e">
        <f t="shared" si="227"/>
        <v>#REF!</v>
      </c>
      <c r="X416" s="765" t="e">
        <f t="shared" si="227"/>
        <v>#REF!</v>
      </c>
      <c r="Y416" s="765" t="e">
        <f t="shared" si="227"/>
        <v>#REF!</v>
      </c>
      <c r="Z416" s="765" t="e">
        <f t="shared" si="227"/>
        <v>#REF!</v>
      </c>
      <c r="AA416" s="765" t="e">
        <f t="shared" ref="AA416" si="228">SUM(AA413:AA415)</f>
        <v>#REF!</v>
      </c>
    </row>
    <row r="418" spans="1:27" ht="15">
      <c r="A418" s="730" t="s">
        <v>730</v>
      </c>
      <c r="B418" s="742" t="e">
        <f>#REF!/$B$6</f>
        <v>#REF!</v>
      </c>
      <c r="C418" s="742" t="e">
        <f>#REF!/$B$6</f>
        <v>#REF!</v>
      </c>
      <c r="D418" s="742" t="e">
        <f>#REF!/$B$6</f>
        <v>#REF!</v>
      </c>
      <c r="E418" s="742" t="e">
        <f>#REF!/$B$6</f>
        <v>#REF!</v>
      </c>
      <c r="F418" s="742" t="e">
        <f>#REF!/$B$6</f>
        <v>#REF!</v>
      </c>
      <c r="G418" s="742" t="e">
        <f>#REF!/$B$6</f>
        <v>#REF!</v>
      </c>
      <c r="H418" s="742" t="e">
        <f>#REF!/$B$6</f>
        <v>#REF!</v>
      </c>
      <c r="I418" s="742" t="e">
        <f>#REF!/$B$6</f>
        <v>#REF!</v>
      </c>
      <c r="J418" s="742" t="e">
        <f>#REF!/$B$6</f>
        <v>#REF!</v>
      </c>
      <c r="K418" s="742" t="e">
        <f>#REF!/$B$6</f>
        <v>#REF!</v>
      </c>
      <c r="L418" s="742" t="e">
        <f>#REF!/$B$6</f>
        <v>#REF!</v>
      </c>
      <c r="M418" s="742" t="e">
        <f>#REF!/$B$6</f>
        <v>#REF!</v>
      </c>
      <c r="N418" s="742" t="e">
        <f>#REF!/$B$6</f>
        <v>#REF!</v>
      </c>
      <c r="O418" s="742" t="e">
        <f>#REF!/$B$6</f>
        <v>#REF!</v>
      </c>
      <c r="P418" s="742" t="e">
        <f>#REF!/$B$6</f>
        <v>#REF!</v>
      </c>
      <c r="Q418" s="742" t="e">
        <f>#REF!/$B$6</f>
        <v>#REF!</v>
      </c>
      <c r="R418" s="742" t="e">
        <f>#REF!/$B$6</f>
        <v>#REF!</v>
      </c>
      <c r="S418" s="742" t="e">
        <f>#REF!/$B$6</f>
        <v>#REF!</v>
      </c>
      <c r="T418" s="742" t="e">
        <f>#REF!/$B$6</f>
        <v>#REF!</v>
      </c>
      <c r="U418" s="742" t="e">
        <f>#REF!/$B$6</f>
        <v>#REF!</v>
      </c>
      <c r="V418" s="742" t="e">
        <f>#REF!/$B$6</f>
        <v>#REF!</v>
      </c>
      <c r="W418" s="742" t="e">
        <f>#REF!/$B$6</f>
        <v>#REF!</v>
      </c>
      <c r="X418" s="742" t="e">
        <f>#REF!/$B$6</f>
        <v>#REF!</v>
      </c>
      <c r="Y418" s="742" t="e">
        <f>#REF!/$B$6</f>
        <v>#REF!</v>
      </c>
      <c r="Z418" s="742" t="e">
        <f>#REF!/$B$6</f>
        <v>#REF!</v>
      </c>
      <c r="AA418" s="742" t="e">
        <f>#REF!/$B$6</f>
        <v>#REF!</v>
      </c>
    </row>
    <row r="419" spans="1:27" ht="15">
      <c r="A419" s="730" t="s">
        <v>731</v>
      </c>
      <c r="B419" s="742" t="e">
        <f>#REF!/$B$6</f>
        <v>#REF!</v>
      </c>
      <c r="C419" s="742" t="e">
        <f>#REF!/$B$6</f>
        <v>#REF!</v>
      </c>
      <c r="D419" s="742" t="e">
        <f>#REF!/$B$6</f>
        <v>#REF!</v>
      </c>
      <c r="E419" s="742" t="e">
        <f>#REF!/$B$6</f>
        <v>#REF!</v>
      </c>
      <c r="F419" s="742" t="e">
        <f>#REF!/$B$6</f>
        <v>#REF!</v>
      </c>
      <c r="G419" s="742" t="e">
        <f>#REF!/$B$6</f>
        <v>#REF!</v>
      </c>
      <c r="H419" s="742" t="e">
        <f>#REF!/$B$6</f>
        <v>#REF!</v>
      </c>
      <c r="I419" s="742" t="e">
        <f>#REF!/$B$6</f>
        <v>#REF!</v>
      </c>
      <c r="J419" s="742" t="e">
        <f>#REF!/$B$6</f>
        <v>#REF!</v>
      </c>
      <c r="K419" s="742" t="e">
        <f>#REF!/$B$6</f>
        <v>#REF!</v>
      </c>
      <c r="L419" s="742" t="e">
        <f>#REF!/$B$6</f>
        <v>#REF!</v>
      </c>
      <c r="M419" s="742" t="e">
        <f>#REF!/$B$6</f>
        <v>#REF!</v>
      </c>
      <c r="N419" s="742" t="e">
        <f>#REF!/$B$6</f>
        <v>#REF!</v>
      </c>
      <c r="O419" s="742" t="e">
        <f>#REF!/$B$6</f>
        <v>#REF!</v>
      </c>
      <c r="P419" s="742" t="e">
        <f>#REF!/$B$6</f>
        <v>#REF!</v>
      </c>
      <c r="Q419" s="742" t="e">
        <f>#REF!/$B$6</f>
        <v>#REF!</v>
      </c>
      <c r="R419" s="742" t="e">
        <f>#REF!/$B$6</f>
        <v>#REF!</v>
      </c>
      <c r="S419" s="742" t="e">
        <f>#REF!/$B$6</f>
        <v>#REF!</v>
      </c>
      <c r="T419" s="742" t="e">
        <f>#REF!/$B$6</f>
        <v>#REF!</v>
      </c>
      <c r="U419" s="742" t="e">
        <f>#REF!/$B$6</f>
        <v>#REF!</v>
      </c>
      <c r="V419" s="742" t="e">
        <f>#REF!/$B$6</f>
        <v>#REF!</v>
      </c>
      <c r="W419" s="742" t="e">
        <f>#REF!/$B$6</f>
        <v>#REF!</v>
      </c>
      <c r="X419" s="742" t="e">
        <f>#REF!/$B$6</f>
        <v>#REF!</v>
      </c>
      <c r="Y419" s="742" t="e">
        <f>#REF!/$B$6</f>
        <v>#REF!</v>
      </c>
      <c r="Z419" s="742" t="e">
        <f>#REF!/$B$6</f>
        <v>#REF!</v>
      </c>
      <c r="AA419" s="742" t="e">
        <f>#REF!/$B$6</f>
        <v>#REF!</v>
      </c>
    </row>
    <row r="420" spans="1:27">
      <c r="A420" s="760" t="s">
        <v>742</v>
      </c>
      <c r="B420" s="765" t="e">
        <f>SUM(B418:B419)</f>
        <v>#REF!</v>
      </c>
      <c r="C420" s="765" t="e">
        <f t="shared" ref="C420:Z420" si="229">SUM(C418:C419)</f>
        <v>#REF!</v>
      </c>
      <c r="D420" s="765" t="e">
        <f t="shared" si="229"/>
        <v>#REF!</v>
      </c>
      <c r="E420" s="765" t="e">
        <f t="shared" si="229"/>
        <v>#REF!</v>
      </c>
      <c r="F420" s="765" t="e">
        <f t="shared" si="229"/>
        <v>#REF!</v>
      </c>
      <c r="G420" s="765" t="e">
        <f t="shared" si="229"/>
        <v>#REF!</v>
      </c>
      <c r="H420" s="765" t="e">
        <f t="shared" si="229"/>
        <v>#REF!</v>
      </c>
      <c r="I420" s="765" t="e">
        <f t="shared" si="229"/>
        <v>#REF!</v>
      </c>
      <c r="J420" s="765" t="e">
        <f t="shared" si="229"/>
        <v>#REF!</v>
      </c>
      <c r="K420" s="765" t="e">
        <f t="shared" si="229"/>
        <v>#REF!</v>
      </c>
      <c r="L420" s="765" t="e">
        <f t="shared" si="229"/>
        <v>#REF!</v>
      </c>
      <c r="M420" s="765" t="e">
        <f t="shared" si="229"/>
        <v>#REF!</v>
      </c>
      <c r="N420" s="765" t="e">
        <f t="shared" si="229"/>
        <v>#REF!</v>
      </c>
      <c r="O420" s="765" t="e">
        <f t="shared" si="229"/>
        <v>#REF!</v>
      </c>
      <c r="P420" s="765" t="e">
        <f t="shared" si="229"/>
        <v>#REF!</v>
      </c>
      <c r="Q420" s="765" t="e">
        <f t="shared" si="229"/>
        <v>#REF!</v>
      </c>
      <c r="R420" s="765" t="e">
        <f t="shared" si="229"/>
        <v>#REF!</v>
      </c>
      <c r="S420" s="765" t="e">
        <f t="shared" si="229"/>
        <v>#REF!</v>
      </c>
      <c r="T420" s="765" t="e">
        <f t="shared" si="229"/>
        <v>#REF!</v>
      </c>
      <c r="U420" s="765" t="e">
        <f t="shared" si="229"/>
        <v>#REF!</v>
      </c>
      <c r="V420" s="765" t="e">
        <f t="shared" si="229"/>
        <v>#REF!</v>
      </c>
      <c r="W420" s="765" t="e">
        <f t="shared" si="229"/>
        <v>#REF!</v>
      </c>
      <c r="X420" s="765" t="e">
        <f t="shared" si="229"/>
        <v>#REF!</v>
      </c>
      <c r="Y420" s="765" t="e">
        <f t="shared" si="229"/>
        <v>#REF!</v>
      </c>
      <c r="Z420" s="765" t="e">
        <f t="shared" si="229"/>
        <v>#REF!</v>
      </c>
      <c r="AA420" s="765" t="e">
        <f t="shared" ref="AA420" si="230">SUM(AA418:AA419)</f>
        <v>#REF!</v>
      </c>
    </row>
    <row r="425" spans="1:27">
      <c r="A425" s="735" t="s">
        <v>743</v>
      </c>
      <c r="B425" s="735">
        <f>B$12</f>
        <v>2003</v>
      </c>
      <c r="C425" s="735">
        <f t="shared" ref="C425:AA425" si="231">C$12</f>
        <v>2004</v>
      </c>
      <c r="D425" s="735">
        <f t="shared" si="231"/>
        <v>2005</v>
      </c>
      <c r="E425" s="735">
        <f t="shared" si="231"/>
        <v>2006</v>
      </c>
      <c r="F425" s="735">
        <f t="shared" si="231"/>
        <v>2007</v>
      </c>
      <c r="G425" s="735">
        <f t="shared" si="231"/>
        <v>2008</v>
      </c>
      <c r="H425" s="735">
        <f t="shared" si="231"/>
        <v>2009</v>
      </c>
      <c r="I425" s="735">
        <f t="shared" si="231"/>
        <v>2010</v>
      </c>
      <c r="J425" s="735">
        <f t="shared" si="231"/>
        <v>2011</v>
      </c>
      <c r="K425" s="735">
        <f t="shared" si="231"/>
        <v>2012</v>
      </c>
      <c r="L425" s="735">
        <f t="shared" si="231"/>
        <v>2013</v>
      </c>
      <c r="M425" s="735">
        <f t="shared" si="231"/>
        <v>2014</v>
      </c>
      <c r="N425" s="735">
        <f t="shared" si="231"/>
        <v>2015</v>
      </c>
      <c r="O425" s="735">
        <f t="shared" si="231"/>
        <v>2016</v>
      </c>
      <c r="P425" s="735">
        <f t="shared" si="231"/>
        <v>2017</v>
      </c>
      <c r="Q425" s="735">
        <f t="shared" si="231"/>
        <v>2018</v>
      </c>
      <c r="R425" s="735">
        <f t="shared" si="231"/>
        <v>2019</v>
      </c>
      <c r="S425" s="735">
        <f t="shared" si="231"/>
        <v>2020</v>
      </c>
      <c r="T425" s="735">
        <f t="shared" si="231"/>
        <v>2021</v>
      </c>
      <c r="U425" s="735">
        <f t="shared" si="231"/>
        <v>2022</v>
      </c>
      <c r="V425" s="735">
        <f t="shared" si="231"/>
        <v>2023</v>
      </c>
      <c r="W425" s="735">
        <f t="shared" si="231"/>
        <v>2024</v>
      </c>
      <c r="X425" s="735">
        <f t="shared" si="231"/>
        <v>2025</v>
      </c>
      <c r="Y425" s="735">
        <f t="shared" si="231"/>
        <v>2026</v>
      </c>
      <c r="Z425" s="735">
        <f t="shared" si="231"/>
        <v>2027</v>
      </c>
      <c r="AA425" s="735">
        <f t="shared" si="231"/>
        <v>2028</v>
      </c>
    </row>
    <row r="427" spans="1:27">
      <c r="A427" s="730" t="s">
        <v>744</v>
      </c>
      <c r="B427" s="739" t="e">
        <f>B382+B407</f>
        <v>#REF!</v>
      </c>
      <c r="C427" s="739" t="e">
        <f t="shared" ref="C427:Z429" si="232">C382+C407</f>
        <v>#REF!</v>
      </c>
      <c r="D427" s="739" t="e">
        <f t="shared" si="232"/>
        <v>#REF!</v>
      </c>
      <c r="E427" s="739" t="e">
        <f t="shared" si="232"/>
        <v>#REF!</v>
      </c>
      <c r="F427" s="739" t="e">
        <f t="shared" si="232"/>
        <v>#REF!</v>
      </c>
      <c r="G427" s="739" t="e">
        <f t="shared" si="232"/>
        <v>#REF!</v>
      </c>
      <c r="H427" s="739" t="e">
        <f t="shared" si="232"/>
        <v>#REF!</v>
      </c>
      <c r="I427" s="739" t="e">
        <f t="shared" si="232"/>
        <v>#REF!</v>
      </c>
      <c r="J427" s="739" t="e">
        <f t="shared" si="232"/>
        <v>#REF!</v>
      </c>
      <c r="K427" s="739" t="e">
        <f t="shared" si="232"/>
        <v>#REF!</v>
      </c>
      <c r="L427" s="739" t="e">
        <f t="shared" si="232"/>
        <v>#REF!</v>
      </c>
      <c r="M427" s="739" t="e">
        <f t="shared" si="232"/>
        <v>#REF!</v>
      </c>
      <c r="N427" s="739" t="e">
        <f t="shared" si="232"/>
        <v>#REF!</v>
      </c>
      <c r="O427" s="739" t="e">
        <f t="shared" si="232"/>
        <v>#REF!</v>
      </c>
      <c r="P427" s="739" t="e">
        <f t="shared" si="232"/>
        <v>#REF!</v>
      </c>
      <c r="Q427" s="739" t="e">
        <f t="shared" si="232"/>
        <v>#REF!</v>
      </c>
      <c r="R427" s="739" t="e">
        <f t="shared" si="232"/>
        <v>#REF!</v>
      </c>
      <c r="S427" s="739" t="e">
        <f t="shared" si="232"/>
        <v>#REF!</v>
      </c>
      <c r="T427" s="739" t="e">
        <f t="shared" si="232"/>
        <v>#REF!</v>
      </c>
      <c r="U427" s="739" t="e">
        <f t="shared" si="232"/>
        <v>#REF!</v>
      </c>
      <c r="V427" s="739" t="e">
        <f t="shared" si="232"/>
        <v>#REF!</v>
      </c>
      <c r="W427" s="739" t="e">
        <f t="shared" si="232"/>
        <v>#REF!</v>
      </c>
      <c r="X427" s="739" t="e">
        <f t="shared" si="232"/>
        <v>#REF!</v>
      </c>
      <c r="Y427" s="739" t="e">
        <f t="shared" si="232"/>
        <v>#REF!</v>
      </c>
      <c r="Z427" s="739" t="e">
        <f t="shared" si="232"/>
        <v>#REF!</v>
      </c>
      <c r="AA427" s="739" t="e">
        <f t="shared" ref="AA427" si="233">AA382+AA407</f>
        <v>#REF!</v>
      </c>
    </row>
    <row r="428" spans="1:27">
      <c r="A428" s="730" t="s">
        <v>745</v>
      </c>
      <c r="B428" s="739" t="e">
        <f t="shared" ref="B428:Q429" si="234">B383+B408</f>
        <v>#REF!</v>
      </c>
      <c r="C428" s="739" t="e">
        <f t="shared" si="234"/>
        <v>#REF!</v>
      </c>
      <c r="D428" s="739" t="e">
        <f t="shared" si="234"/>
        <v>#REF!</v>
      </c>
      <c r="E428" s="739" t="e">
        <f t="shared" si="234"/>
        <v>#REF!</v>
      </c>
      <c r="F428" s="739" t="e">
        <f t="shared" si="234"/>
        <v>#REF!</v>
      </c>
      <c r="G428" s="739" t="e">
        <f t="shared" si="234"/>
        <v>#REF!</v>
      </c>
      <c r="H428" s="739" t="e">
        <f t="shared" si="234"/>
        <v>#REF!</v>
      </c>
      <c r="I428" s="739" t="e">
        <f t="shared" si="234"/>
        <v>#REF!</v>
      </c>
      <c r="J428" s="739" t="e">
        <f t="shared" si="234"/>
        <v>#REF!</v>
      </c>
      <c r="K428" s="739" t="e">
        <f t="shared" si="234"/>
        <v>#REF!</v>
      </c>
      <c r="L428" s="739" t="e">
        <f t="shared" si="234"/>
        <v>#REF!</v>
      </c>
      <c r="M428" s="739" t="e">
        <f t="shared" si="234"/>
        <v>#REF!</v>
      </c>
      <c r="N428" s="739" t="e">
        <f t="shared" si="234"/>
        <v>#REF!</v>
      </c>
      <c r="O428" s="739" t="e">
        <f t="shared" si="234"/>
        <v>#REF!</v>
      </c>
      <c r="P428" s="739" t="e">
        <f t="shared" si="234"/>
        <v>#REF!</v>
      </c>
      <c r="Q428" s="739" t="e">
        <f t="shared" si="234"/>
        <v>#REF!</v>
      </c>
      <c r="R428" s="739" t="e">
        <f t="shared" si="232"/>
        <v>#REF!</v>
      </c>
      <c r="S428" s="739" t="e">
        <f t="shared" si="232"/>
        <v>#REF!</v>
      </c>
      <c r="T428" s="739" t="e">
        <f t="shared" si="232"/>
        <v>#REF!</v>
      </c>
      <c r="U428" s="739" t="e">
        <f t="shared" si="232"/>
        <v>#REF!</v>
      </c>
      <c r="V428" s="739" t="e">
        <f t="shared" si="232"/>
        <v>#REF!</v>
      </c>
      <c r="W428" s="739" t="e">
        <f t="shared" si="232"/>
        <v>#REF!</v>
      </c>
      <c r="X428" s="739" t="e">
        <f t="shared" si="232"/>
        <v>#REF!</v>
      </c>
      <c r="Y428" s="739" t="e">
        <f t="shared" si="232"/>
        <v>#REF!</v>
      </c>
      <c r="Z428" s="739" t="e">
        <f t="shared" si="232"/>
        <v>#REF!</v>
      </c>
      <c r="AA428" s="739" t="e">
        <f t="shared" ref="AA428" si="235">AA383+AA408</f>
        <v>#REF!</v>
      </c>
    </row>
    <row r="429" spans="1:27">
      <c r="A429" s="730" t="s">
        <v>746</v>
      </c>
      <c r="B429" s="739" t="e">
        <f t="shared" si="234"/>
        <v>#REF!</v>
      </c>
      <c r="C429" s="739" t="e">
        <f t="shared" si="232"/>
        <v>#REF!</v>
      </c>
      <c r="D429" s="739" t="e">
        <f t="shared" si="232"/>
        <v>#REF!</v>
      </c>
      <c r="E429" s="739" t="e">
        <f t="shared" si="232"/>
        <v>#REF!</v>
      </c>
      <c r="F429" s="739" t="e">
        <f t="shared" si="232"/>
        <v>#REF!</v>
      </c>
      <c r="G429" s="739" t="e">
        <f t="shared" si="232"/>
        <v>#REF!</v>
      </c>
      <c r="H429" s="739" t="e">
        <f t="shared" si="232"/>
        <v>#REF!</v>
      </c>
      <c r="I429" s="739" t="e">
        <f t="shared" si="232"/>
        <v>#REF!</v>
      </c>
      <c r="J429" s="739" t="e">
        <f t="shared" si="232"/>
        <v>#REF!</v>
      </c>
      <c r="K429" s="739" t="e">
        <f t="shared" si="232"/>
        <v>#REF!</v>
      </c>
      <c r="L429" s="739" t="e">
        <f t="shared" si="232"/>
        <v>#REF!</v>
      </c>
      <c r="M429" s="739" t="e">
        <f t="shared" si="232"/>
        <v>#REF!</v>
      </c>
      <c r="N429" s="739" t="e">
        <f t="shared" si="232"/>
        <v>#REF!</v>
      </c>
      <c r="O429" s="739" t="e">
        <f t="shared" si="232"/>
        <v>#REF!</v>
      </c>
      <c r="P429" s="739" t="e">
        <f t="shared" si="232"/>
        <v>#REF!</v>
      </c>
      <c r="Q429" s="739" t="e">
        <f t="shared" si="232"/>
        <v>#REF!</v>
      </c>
      <c r="R429" s="739" t="e">
        <f t="shared" si="232"/>
        <v>#REF!</v>
      </c>
      <c r="S429" s="739" t="e">
        <f t="shared" si="232"/>
        <v>#REF!</v>
      </c>
      <c r="T429" s="739" t="e">
        <f t="shared" si="232"/>
        <v>#REF!</v>
      </c>
      <c r="U429" s="739" t="e">
        <f t="shared" si="232"/>
        <v>#REF!</v>
      </c>
      <c r="V429" s="739" t="e">
        <f t="shared" si="232"/>
        <v>#REF!</v>
      </c>
      <c r="W429" s="739" t="e">
        <f t="shared" si="232"/>
        <v>#REF!</v>
      </c>
      <c r="X429" s="739" t="e">
        <f t="shared" si="232"/>
        <v>#REF!</v>
      </c>
      <c r="Y429" s="739" t="e">
        <f t="shared" si="232"/>
        <v>#REF!</v>
      </c>
      <c r="Z429" s="739" t="e">
        <f t="shared" si="232"/>
        <v>#REF!</v>
      </c>
      <c r="AA429" s="739" t="e">
        <f t="shared" ref="AA429" si="236">AA384+AA409</f>
        <v>#REF!</v>
      </c>
    </row>
    <row r="430" spans="1:27">
      <c r="A430" s="760" t="s">
        <v>743</v>
      </c>
      <c r="B430" s="765" t="e">
        <f>SUM(B427:B429)</f>
        <v>#REF!</v>
      </c>
      <c r="C430" s="765" t="e">
        <f t="shared" ref="C430:Z430" si="237">SUM(C427:C429)</f>
        <v>#REF!</v>
      </c>
      <c r="D430" s="765" t="e">
        <f t="shared" si="237"/>
        <v>#REF!</v>
      </c>
      <c r="E430" s="765" t="e">
        <f t="shared" si="237"/>
        <v>#REF!</v>
      </c>
      <c r="F430" s="765" t="e">
        <f t="shared" si="237"/>
        <v>#REF!</v>
      </c>
      <c r="G430" s="765" t="e">
        <f t="shared" si="237"/>
        <v>#REF!</v>
      </c>
      <c r="H430" s="765" t="e">
        <f t="shared" si="237"/>
        <v>#REF!</v>
      </c>
      <c r="I430" s="765" t="e">
        <f t="shared" si="237"/>
        <v>#REF!</v>
      </c>
      <c r="J430" s="765" t="e">
        <f t="shared" si="237"/>
        <v>#REF!</v>
      </c>
      <c r="K430" s="765" t="e">
        <f t="shared" si="237"/>
        <v>#REF!</v>
      </c>
      <c r="L430" s="765" t="e">
        <f t="shared" si="237"/>
        <v>#REF!</v>
      </c>
      <c r="M430" s="765" t="e">
        <f t="shared" si="237"/>
        <v>#REF!</v>
      </c>
      <c r="N430" s="765" t="e">
        <f t="shared" si="237"/>
        <v>#REF!</v>
      </c>
      <c r="O430" s="765" t="e">
        <f t="shared" si="237"/>
        <v>#REF!</v>
      </c>
      <c r="P430" s="765" t="e">
        <f t="shared" si="237"/>
        <v>#REF!</v>
      </c>
      <c r="Q430" s="765" t="e">
        <f t="shared" si="237"/>
        <v>#REF!</v>
      </c>
      <c r="R430" s="765" t="e">
        <f t="shared" si="237"/>
        <v>#REF!</v>
      </c>
      <c r="S430" s="765" t="e">
        <f t="shared" si="237"/>
        <v>#REF!</v>
      </c>
      <c r="T430" s="765" t="e">
        <f t="shared" si="237"/>
        <v>#REF!</v>
      </c>
      <c r="U430" s="765" t="e">
        <f t="shared" si="237"/>
        <v>#REF!</v>
      </c>
      <c r="V430" s="765" t="e">
        <f t="shared" si="237"/>
        <v>#REF!</v>
      </c>
      <c r="W430" s="765" t="e">
        <f t="shared" si="237"/>
        <v>#REF!</v>
      </c>
      <c r="X430" s="765" t="e">
        <f t="shared" si="237"/>
        <v>#REF!</v>
      </c>
      <c r="Y430" s="765" t="e">
        <f t="shared" si="237"/>
        <v>#REF!</v>
      </c>
      <c r="Z430" s="765" t="e">
        <f t="shared" si="237"/>
        <v>#REF!</v>
      </c>
      <c r="AA430" s="765" t="e">
        <f t="shared" ref="AA430" si="238">SUM(AA427:AA429)</f>
        <v>#REF!</v>
      </c>
    </row>
    <row r="432" spans="1:27">
      <c r="A432" s="732" t="s">
        <v>747</v>
      </c>
    </row>
    <row r="433" spans="1:27">
      <c r="A433" s="730" t="s">
        <v>748</v>
      </c>
      <c r="B433" s="739" t="e">
        <f>B388+B413</f>
        <v>#REF!</v>
      </c>
      <c r="C433" s="739" t="e">
        <f t="shared" ref="C433:Z433" si="239">C388+C413</f>
        <v>#REF!</v>
      </c>
      <c r="D433" s="739" t="e">
        <f t="shared" si="239"/>
        <v>#REF!</v>
      </c>
      <c r="E433" s="739" t="e">
        <f t="shared" si="239"/>
        <v>#REF!</v>
      </c>
      <c r="F433" s="739" t="e">
        <f t="shared" si="239"/>
        <v>#REF!</v>
      </c>
      <c r="G433" s="739" t="e">
        <f t="shared" si="239"/>
        <v>#REF!</v>
      </c>
      <c r="H433" s="739" t="e">
        <f t="shared" si="239"/>
        <v>#REF!</v>
      </c>
      <c r="I433" s="739" t="e">
        <f t="shared" si="239"/>
        <v>#REF!</v>
      </c>
      <c r="J433" s="739" t="e">
        <f t="shared" si="239"/>
        <v>#REF!</v>
      </c>
      <c r="K433" s="739" t="e">
        <f t="shared" si="239"/>
        <v>#REF!</v>
      </c>
      <c r="L433" s="739" t="e">
        <f t="shared" si="239"/>
        <v>#REF!</v>
      </c>
      <c r="M433" s="739" t="e">
        <f t="shared" si="239"/>
        <v>#REF!</v>
      </c>
      <c r="N433" s="739" t="e">
        <f t="shared" si="239"/>
        <v>#REF!</v>
      </c>
      <c r="O433" s="739" t="e">
        <f t="shared" si="239"/>
        <v>#REF!</v>
      </c>
      <c r="P433" s="739" t="e">
        <f t="shared" si="239"/>
        <v>#REF!</v>
      </c>
      <c r="Q433" s="739" t="e">
        <f t="shared" si="239"/>
        <v>#REF!</v>
      </c>
      <c r="R433" s="739" t="e">
        <f t="shared" si="239"/>
        <v>#REF!</v>
      </c>
      <c r="S433" s="739" t="e">
        <f t="shared" si="239"/>
        <v>#REF!</v>
      </c>
      <c r="T433" s="739" t="e">
        <f t="shared" si="239"/>
        <v>#REF!</v>
      </c>
      <c r="U433" s="739" t="e">
        <f t="shared" si="239"/>
        <v>#REF!</v>
      </c>
      <c r="V433" s="739" t="e">
        <f t="shared" si="239"/>
        <v>#REF!</v>
      </c>
      <c r="W433" s="739" t="e">
        <f t="shared" si="239"/>
        <v>#REF!</v>
      </c>
      <c r="X433" s="739" t="e">
        <f t="shared" si="239"/>
        <v>#REF!</v>
      </c>
      <c r="Y433" s="739" t="e">
        <f t="shared" si="239"/>
        <v>#REF!</v>
      </c>
      <c r="Z433" s="739" t="e">
        <f t="shared" si="239"/>
        <v>#REF!</v>
      </c>
      <c r="AA433" s="739" t="e">
        <f t="shared" ref="AA433" si="240">AA388+AA413</f>
        <v>#REF!</v>
      </c>
    </row>
    <row r="434" spans="1:27">
      <c r="A434" s="730" t="s">
        <v>749</v>
      </c>
      <c r="B434" s="739" t="e">
        <f t="shared" ref="B434:Z435" si="241">B389+B414</f>
        <v>#REF!</v>
      </c>
      <c r="C434" s="739" t="e">
        <f t="shared" si="241"/>
        <v>#REF!</v>
      </c>
      <c r="D434" s="739" t="e">
        <f t="shared" si="241"/>
        <v>#REF!</v>
      </c>
      <c r="E434" s="739" t="e">
        <f t="shared" si="241"/>
        <v>#REF!</v>
      </c>
      <c r="F434" s="739" t="e">
        <f t="shared" si="241"/>
        <v>#REF!</v>
      </c>
      <c r="G434" s="739" t="e">
        <f t="shared" si="241"/>
        <v>#REF!</v>
      </c>
      <c r="H434" s="739" t="e">
        <f t="shared" si="241"/>
        <v>#REF!</v>
      </c>
      <c r="I434" s="739" t="e">
        <f t="shared" si="241"/>
        <v>#REF!</v>
      </c>
      <c r="J434" s="739" t="e">
        <f t="shared" si="241"/>
        <v>#REF!</v>
      </c>
      <c r="K434" s="739" t="e">
        <f t="shared" si="241"/>
        <v>#REF!</v>
      </c>
      <c r="L434" s="739" t="e">
        <f t="shared" si="241"/>
        <v>#REF!</v>
      </c>
      <c r="M434" s="739" t="e">
        <f t="shared" si="241"/>
        <v>#REF!</v>
      </c>
      <c r="N434" s="739" t="e">
        <f t="shared" si="241"/>
        <v>#REF!</v>
      </c>
      <c r="O434" s="739" t="e">
        <f t="shared" si="241"/>
        <v>#REF!</v>
      </c>
      <c r="P434" s="739" t="e">
        <f t="shared" si="241"/>
        <v>#REF!</v>
      </c>
      <c r="Q434" s="739" t="e">
        <f t="shared" si="241"/>
        <v>#REF!</v>
      </c>
      <c r="R434" s="739" t="e">
        <f t="shared" si="241"/>
        <v>#REF!</v>
      </c>
      <c r="S434" s="739" t="e">
        <f t="shared" si="241"/>
        <v>#REF!</v>
      </c>
      <c r="T434" s="739" t="e">
        <f t="shared" si="241"/>
        <v>#REF!</v>
      </c>
      <c r="U434" s="739" t="e">
        <f t="shared" si="241"/>
        <v>#REF!</v>
      </c>
      <c r="V434" s="739" t="e">
        <f t="shared" si="241"/>
        <v>#REF!</v>
      </c>
      <c r="W434" s="739" t="e">
        <f t="shared" si="241"/>
        <v>#REF!</v>
      </c>
      <c r="X434" s="739" t="e">
        <f t="shared" si="241"/>
        <v>#REF!</v>
      </c>
      <c r="Y434" s="739" t="e">
        <f t="shared" si="241"/>
        <v>#REF!</v>
      </c>
      <c r="Z434" s="739" t="e">
        <f t="shared" si="241"/>
        <v>#REF!</v>
      </c>
      <c r="AA434" s="739" t="e">
        <f t="shared" ref="AA434" si="242">AA389+AA414</f>
        <v>#REF!</v>
      </c>
    </row>
    <row r="435" spans="1:27">
      <c r="A435" s="730" t="s">
        <v>750</v>
      </c>
      <c r="B435" s="739" t="e">
        <f t="shared" si="241"/>
        <v>#REF!</v>
      </c>
      <c r="C435" s="739" t="e">
        <f t="shared" si="241"/>
        <v>#REF!</v>
      </c>
      <c r="D435" s="739" t="e">
        <f t="shared" si="241"/>
        <v>#REF!</v>
      </c>
      <c r="E435" s="739" t="e">
        <f t="shared" si="241"/>
        <v>#REF!</v>
      </c>
      <c r="F435" s="739" t="e">
        <f t="shared" si="241"/>
        <v>#REF!</v>
      </c>
      <c r="G435" s="739" t="e">
        <f t="shared" si="241"/>
        <v>#REF!</v>
      </c>
      <c r="H435" s="739" t="e">
        <f t="shared" si="241"/>
        <v>#REF!</v>
      </c>
      <c r="I435" s="739" t="e">
        <f t="shared" si="241"/>
        <v>#REF!</v>
      </c>
      <c r="J435" s="739" t="e">
        <f t="shared" si="241"/>
        <v>#REF!</v>
      </c>
      <c r="K435" s="739" t="e">
        <f t="shared" si="241"/>
        <v>#REF!</v>
      </c>
      <c r="L435" s="739" t="e">
        <f t="shared" si="241"/>
        <v>#REF!</v>
      </c>
      <c r="M435" s="739" t="e">
        <f t="shared" si="241"/>
        <v>#REF!</v>
      </c>
      <c r="N435" s="739" t="e">
        <f t="shared" si="241"/>
        <v>#REF!</v>
      </c>
      <c r="O435" s="739" t="e">
        <f t="shared" si="241"/>
        <v>#REF!</v>
      </c>
      <c r="P435" s="739" t="e">
        <f t="shared" si="241"/>
        <v>#REF!</v>
      </c>
      <c r="Q435" s="739" t="e">
        <f t="shared" si="241"/>
        <v>#REF!</v>
      </c>
      <c r="R435" s="739" t="e">
        <f t="shared" si="241"/>
        <v>#REF!</v>
      </c>
      <c r="S435" s="739" t="e">
        <f t="shared" si="241"/>
        <v>#REF!</v>
      </c>
      <c r="T435" s="739" t="e">
        <f t="shared" si="241"/>
        <v>#REF!</v>
      </c>
      <c r="U435" s="739" t="e">
        <f t="shared" si="241"/>
        <v>#REF!</v>
      </c>
      <c r="V435" s="739" t="e">
        <f t="shared" si="241"/>
        <v>#REF!</v>
      </c>
      <c r="W435" s="739" t="e">
        <f t="shared" si="241"/>
        <v>#REF!</v>
      </c>
      <c r="X435" s="739" t="e">
        <f t="shared" si="241"/>
        <v>#REF!</v>
      </c>
      <c r="Y435" s="739" t="e">
        <f t="shared" si="241"/>
        <v>#REF!</v>
      </c>
      <c r="Z435" s="739" t="e">
        <f t="shared" si="241"/>
        <v>#REF!</v>
      </c>
      <c r="AA435" s="739" t="e">
        <f t="shared" ref="AA435" si="243">AA390+AA415</f>
        <v>#REF!</v>
      </c>
    </row>
    <row r="436" spans="1:27">
      <c r="A436" s="760" t="s">
        <v>744</v>
      </c>
      <c r="B436" s="765" t="e">
        <f>SUM(B433:B435)</f>
        <v>#REF!</v>
      </c>
      <c r="C436" s="765" t="e">
        <f t="shared" ref="C436:Z436" si="244">SUM(C433:C435)</f>
        <v>#REF!</v>
      </c>
      <c r="D436" s="765" t="e">
        <f t="shared" si="244"/>
        <v>#REF!</v>
      </c>
      <c r="E436" s="765" t="e">
        <f t="shared" si="244"/>
        <v>#REF!</v>
      </c>
      <c r="F436" s="765" t="e">
        <f t="shared" si="244"/>
        <v>#REF!</v>
      </c>
      <c r="G436" s="765" t="e">
        <f t="shared" si="244"/>
        <v>#REF!</v>
      </c>
      <c r="H436" s="765" t="e">
        <f t="shared" si="244"/>
        <v>#REF!</v>
      </c>
      <c r="I436" s="765" t="e">
        <f t="shared" si="244"/>
        <v>#REF!</v>
      </c>
      <c r="J436" s="765" t="e">
        <f t="shared" si="244"/>
        <v>#REF!</v>
      </c>
      <c r="K436" s="765" t="e">
        <f t="shared" si="244"/>
        <v>#REF!</v>
      </c>
      <c r="L436" s="765" t="e">
        <f t="shared" si="244"/>
        <v>#REF!</v>
      </c>
      <c r="M436" s="765" t="e">
        <f t="shared" si="244"/>
        <v>#REF!</v>
      </c>
      <c r="N436" s="765" t="e">
        <f t="shared" si="244"/>
        <v>#REF!</v>
      </c>
      <c r="O436" s="765" t="e">
        <f t="shared" si="244"/>
        <v>#REF!</v>
      </c>
      <c r="P436" s="765" t="e">
        <f t="shared" si="244"/>
        <v>#REF!</v>
      </c>
      <c r="Q436" s="765" t="e">
        <f t="shared" si="244"/>
        <v>#REF!</v>
      </c>
      <c r="R436" s="765" t="e">
        <f t="shared" si="244"/>
        <v>#REF!</v>
      </c>
      <c r="S436" s="765" t="e">
        <f t="shared" si="244"/>
        <v>#REF!</v>
      </c>
      <c r="T436" s="765" t="e">
        <f t="shared" si="244"/>
        <v>#REF!</v>
      </c>
      <c r="U436" s="765" t="e">
        <f t="shared" si="244"/>
        <v>#REF!</v>
      </c>
      <c r="V436" s="765" t="e">
        <f t="shared" si="244"/>
        <v>#REF!</v>
      </c>
      <c r="W436" s="765" t="e">
        <f t="shared" si="244"/>
        <v>#REF!</v>
      </c>
      <c r="X436" s="765" t="e">
        <f t="shared" si="244"/>
        <v>#REF!</v>
      </c>
      <c r="Y436" s="765" t="e">
        <f t="shared" si="244"/>
        <v>#REF!</v>
      </c>
      <c r="Z436" s="765" t="e">
        <f t="shared" si="244"/>
        <v>#REF!</v>
      </c>
      <c r="AA436" s="765" t="e">
        <f t="shared" ref="AA436" si="245">SUM(AA433:AA435)</f>
        <v>#REF!</v>
      </c>
    </row>
    <row r="438" spans="1:27">
      <c r="A438" s="730" t="s">
        <v>730</v>
      </c>
      <c r="B438" s="739" t="e">
        <f t="shared" ref="B438:Z439" si="246">B393+B418</f>
        <v>#REF!</v>
      </c>
      <c r="C438" s="739" t="e">
        <f t="shared" si="246"/>
        <v>#REF!</v>
      </c>
      <c r="D438" s="739" t="e">
        <f t="shared" si="246"/>
        <v>#REF!</v>
      </c>
      <c r="E438" s="739" t="e">
        <f t="shared" si="246"/>
        <v>#REF!</v>
      </c>
      <c r="F438" s="739" t="e">
        <f t="shared" si="246"/>
        <v>#REF!</v>
      </c>
      <c r="G438" s="739" t="e">
        <f t="shared" si="246"/>
        <v>#REF!</v>
      </c>
      <c r="H438" s="739" t="e">
        <f t="shared" si="246"/>
        <v>#REF!</v>
      </c>
      <c r="I438" s="739" t="e">
        <f t="shared" si="246"/>
        <v>#REF!</v>
      </c>
      <c r="J438" s="739" t="e">
        <f t="shared" si="246"/>
        <v>#REF!</v>
      </c>
      <c r="K438" s="739" t="e">
        <f t="shared" si="246"/>
        <v>#REF!</v>
      </c>
      <c r="L438" s="739" t="e">
        <f t="shared" si="246"/>
        <v>#REF!</v>
      </c>
      <c r="M438" s="739" t="e">
        <f t="shared" si="246"/>
        <v>#REF!</v>
      </c>
      <c r="N438" s="739" t="e">
        <f t="shared" si="246"/>
        <v>#REF!</v>
      </c>
      <c r="O438" s="739" t="e">
        <f t="shared" si="246"/>
        <v>#REF!</v>
      </c>
      <c r="P438" s="739" t="e">
        <f t="shared" si="246"/>
        <v>#REF!</v>
      </c>
      <c r="Q438" s="739" t="e">
        <f t="shared" si="246"/>
        <v>#REF!</v>
      </c>
      <c r="R438" s="739" t="e">
        <f t="shared" si="246"/>
        <v>#REF!</v>
      </c>
      <c r="S438" s="739" t="e">
        <f t="shared" si="246"/>
        <v>#REF!</v>
      </c>
      <c r="T438" s="739" t="e">
        <f t="shared" si="246"/>
        <v>#REF!</v>
      </c>
      <c r="U438" s="739" t="e">
        <f t="shared" si="246"/>
        <v>#REF!</v>
      </c>
      <c r="V438" s="739" t="e">
        <f t="shared" si="246"/>
        <v>#REF!</v>
      </c>
      <c r="W438" s="739" t="e">
        <f t="shared" si="246"/>
        <v>#REF!</v>
      </c>
      <c r="X438" s="739" t="e">
        <f t="shared" si="246"/>
        <v>#REF!</v>
      </c>
      <c r="Y438" s="739" t="e">
        <f t="shared" si="246"/>
        <v>#REF!</v>
      </c>
      <c r="Z438" s="739" t="e">
        <f t="shared" si="246"/>
        <v>#REF!</v>
      </c>
      <c r="AA438" s="739" t="e">
        <f t="shared" ref="AA438" si="247">AA393+AA418</f>
        <v>#REF!</v>
      </c>
    </row>
    <row r="439" spans="1:27">
      <c r="A439" s="730" t="s">
        <v>731</v>
      </c>
      <c r="B439" s="739" t="e">
        <f t="shared" si="246"/>
        <v>#REF!</v>
      </c>
      <c r="C439" s="739" t="e">
        <f t="shared" si="246"/>
        <v>#REF!</v>
      </c>
      <c r="D439" s="739" t="e">
        <f t="shared" si="246"/>
        <v>#REF!</v>
      </c>
      <c r="E439" s="739" t="e">
        <f t="shared" si="246"/>
        <v>#REF!</v>
      </c>
      <c r="F439" s="739" t="e">
        <f t="shared" si="246"/>
        <v>#REF!</v>
      </c>
      <c r="G439" s="739" t="e">
        <f t="shared" si="246"/>
        <v>#REF!</v>
      </c>
      <c r="H439" s="739" t="e">
        <f t="shared" si="246"/>
        <v>#REF!</v>
      </c>
      <c r="I439" s="739" t="e">
        <f t="shared" si="246"/>
        <v>#REF!</v>
      </c>
      <c r="J439" s="739" t="e">
        <f t="shared" si="246"/>
        <v>#REF!</v>
      </c>
      <c r="K439" s="739" t="e">
        <f t="shared" si="246"/>
        <v>#REF!</v>
      </c>
      <c r="L439" s="739" t="e">
        <f t="shared" si="246"/>
        <v>#REF!</v>
      </c>
      <c r="M439" s="739" t="e">
        <f t="shared" si="246"/>
        <v>#REF!</v>
      </c>
      <c r="N439" s="739" t="e">
        <f t="shared" si="246"/>
        <v>#REF!</v>
      </c>
      <c r="O439" s="739" t="e">
        <f t="shared" si="246"/>
        <v>#REF!</v>
      </c>
      <c r="P439" s="739" t="e">
        <f t="shared" si="246"/>
        <v>#REF!</v>
      </c>
      <c r="Q439" s="739" t="e">
        <f t="shared" si="246"/>
        <v>#REF!</v>
      </c>
      <c r="R439" s="739" t="e">
        <f t="shared" si="246"/>
        <v>#REF!</v>
      </c>
      <c r="S439" s="739" t="e">
        <f t="shared" si="246"/>
        <v>#REF!</v>
      </c>
      <c r="T439" s="739" t="e">
        <f t="shared" si="246"/>
        <v>#REF!</v>
      </c>
      <c r="U439" s="739" t="e">
        <f t="shared" si="246"/>
        <v>#REF!</v>
      </c>
      <c r="V439" s="739" t="e">
        <f t="shared" si="246"/>
        <v>#REF!</v>
      </c>
      <c r="W439" s="739" t="e">
        <f t="shared" si="246"/>
        <v>#REF!</v>
      </c>
      <c r="X439" s="739" t="e">
        <f t="shared" si="246"/>
        <v>#REF!</v>
      </c>
      <c r="Y439" s="739" t="e">
        <f t="shared" si="246"/>
        <v>#REF!</v>
      </c>
      <c r="Z439" s="739" t="e">
        <f t="shared" si="246"/>
        <v>#REF!</v>
      </c>
      <c r="AA439" s="739" t="e">
        <f t="shared" ref="AA439" si="248">AA394+AA419</f>
        <v>#REF!</v>
      </c>
    </row>
    <row r="440" spans="1:27">
      <c r="A440" s="760" t="s">
        <v>751</v>
      </c>
      <c r="B440" s="765" t="e">
        <f>SUM(B438:B439)</f>
        <v>#REF!</v>
      </c>
      <c r="C440" s="765" t="e">
        <f t="shared" ref="C440:Z440" si="249">SUM(C438:C439)</f>
        <v>#REF!</v>
      </c>
      <c r="D440" s="765" t="e">
        <f t="shared" si="249"/>
        <v>#REF!</v>
      </c>
      <c r="E440" s="765" t="e">
        <f t="shared" si="249"/>
        <v>#REF!</v>
      </c>
      <c r="F440" s="765" t="e">
        <f t="shared" si="249"/>
        <v>#REF!</v>
      </c>
      <c r="G440" s="765" t="e">
        <f t="shared" si="249"/>
        <v>#REF!</v>
      </c>
      <c r="H440" s="765" t="e">
        <f t="shared" si="249"/>
        <v>#REF!</v>
      </c>
      <c r="I440" s="765" t="e">
        <f t="shared" si="249"/>
        <v>#REF!</v>
      </c>
      <c r="J440" s="765" t="e">
        <f t="shared" si="249"/>
        <v>#REF!</v>
      </c>
      <c r="K440" s="765" t="e">
        <f t="shared" si="249"/>
        <v>#REF!</v>
      </c>
      <c r="L440" s="765" t="e">
        <f t="shared" si="249"/>
        <v>#REF!</v>
      </c>
      <c r="M440" s="765" t="e">
        <f t="shared" si="249"/>
        <v>#REF!</v>
      </c>
      <c r="N440" s="765" t="e">
        <f t="shared" si="249"/>
        <v>#REF!</v>
      </c>
      <c r="O440" s="765" t="e">
        <f t="shared" si="249"/>
        <v>#REF!</v>
      </c>
      <c r="P440" s="765" t="e">
        <f t="shared" si="249"/>
        <v>#REF!</v>
      </c>
      <c r="Q440" s="765" t="e">
        <f t="shared" si="249"/>
        <v>#REF!</v>
      </c>
      <c r="R440" s="765" t="e">
        <f t="shared" si="249"/>
        <v>#REF!</v>
      </c>
      <c r="S440" s="765" t="e">
        <f t="shared" si="249"/>
        <v>#REF!</v>
      </c>
      <c r="T440" s="765" t="e">
        <f t="shared" si="249"/>
        <v>#REF!</v>
      </c>
      <c r="U440" s="765" t="e">
        <f t="shared" si="249"/>
        <v>#REF!</v>
      </c>
      <c r="V440" s="765" t="e">
        <f t="shared" si="249"/>
        <v>#REF!</v>
      </c>
      <c r="W440" s="765" t="e">
        <f t="shared" si="249"/>
        <v>#REF!</v>
      </c>
      <c r="X440" s="765" t="e">
        <f t="shared" si="249"/>
        <v>#REF!</v>
      </c>
      <c r="Y440" s="765" t="e">
        <f t="shared" si="249"/>
        <v>#REF!</v>
      </c>
      <c r="Z440" s="765" t="e">
        <f t="shared" si="249"/>
        <v>#REF!</v>
      </c>
      <c r="AA440" s="765" t="e">
        <f t="shared" ref="AA440" si="250">SUM(AA438:AA439)</f>
        <v>#REF!</v>
      </c>
    </row>
    <row r="450" spans="1:27">
      <c r="A450" s="733" t="s">
        <v>514</v>
      </c>
      <c r="B450" s="734"/>
      <c r="C450" s="734"/>
      <c r="D450" s="734"/>
      <c r="E450" s="734"/>
      <c r="F450" s="734"/>
      <c r="G450" s="734"/>
      <c r="H450" s="734"/>
      <c r="I450" s="734"/>
      <c r="J450" s="734"/>
      <c r="K450" s="734"/>
      <c r="L450" s="734"/>
      <c r="M450" s="734"/>
      <c r="N450" s="734"/>
      <c r="O450" s="734"/>
      <c r="P450" s="734"/>
      <c r="Q450" s="734"/>
      <c r="R450" s="734"/>
      <c r="S450" s="734"/>
      <c r="T450" s="734"/>
      <c r="U450" s="734"/>
      <c r="V450" s="734"/>
      <c r="W450" s="734"/>
      <c r="X450" s="734"/>
      <c r="Y450" s="734"/>
      <c r="Z450" s="734"/>
      <c r="AA450" s="734"/>
    </row>
    <row r="452" spans="1:27">
      <c r="A452" s="735" t="s">
        <v>752</v>
      </c>
      <c r="B452" s="735">
        <f>B$12</f>
        <v>2003</v>
      </c>
      <c r="C452" s="735">
        <f t="shared" ref="C452:AA452" si="251">C$12</f>
        <v>2004</v>
      </c>
      <c r="D452" s="735">
        <f t="shared" si="251"/>
        <v>2005</v>
      </c>
      <c r="E452" s="735">
        <f t="shared" si="251"/>
        <v>2006</v>
      </c>
      <c r="F452" s="735">
        <f t="shared" si="251"/>
        <v>2007</v>
      </c>
      <c r="G452" s="735">
        <f t="shared" si="251"/>
        <v>2008</v>
      </c>
      <c r="H452" s="735">
        <f t="shared" si="251"/>
        <v>2009</v>
      </c>
      <c r="I452" s="735">
        <f t="shared" si="251"/>
        <v>2010</v>
      </c>
      <c r="J452" s="735">
        <f t="shared" si="251"/>
        <v>2011</v>
      </c>
      <c r="K452" s="735">
        <f t="shared" si="251"/>
        <v>2012</v>
      </c>
      <c r="L452" s="735">
        <f t="shared" si="251"/>
        <v>2013</v>
      </c>
      <c r="M452" s="735">
        <f t="shared" si="251"/>
        <v>2014</v>
      </c>
      <c r="N452" s="735">
        <f t="shared" si="251"/>
        <v>2015</v>
      </c>
      <c r="O452" s="735">
        <f t="shared" si="251"/>
        <v>2016</v>
      </c>
      <c r="P452" s="735">
        <f t="shared" si="251"/>
        <v>2017</v>
      </c>
      <c r="Q452" s="735">
        <f t="shared" si="251"/>
        <v>2018</v>
      </c>
      <c r="R452" s="735">
        <f t="shared" si="251"/>
        <v>2019</v>
      </c>
      <c r="S452" s="735">
        <f t="shared" si="251"/>
        <v>2020</v>
      </c>
      <c r="T452" s="735">
        <f t="shared" si="251"/>
        <v>2021</v>
      </c>
      <c r="U452" s="735">
        <f t="shared" si="251"/>
        <v>2022</v>
      </c>
      <c r="V452" s="735">
        <f t="shared" si="251"/>
        <v>2023</v>
      </c>
      <c r="W452" s="735">
        <f t="shared" si="251"/>
        <v>2024</v>
      </c>
      <c r="X452" s="735">
        <f t="shared" si="251"/>
        <v>2025</v>
      </c>
      <c r="Y452" s="735">
        <f t="shared" si="251"/>
        <v>2026</v>
      </c>
      <c r="Z452" s="735">
        <f t="shared" si="251"/>
        <v>2027</v>
      </c>
      <c r="AA452" s="735">
        <f t="shared" si="251"/>
        <v>2028</v>
      </c>
    </row>
    <row r="454" spans="1:27" ht="15">
      <c r="A454" s="730" t="s">
        <v>753</v>
      </c>
      <c r="B454" s="742" t="e">
        <f>#REF!/$B$6</f>
        <v>#REF!</v>
      </c>
      <c r="C454" s="742" t="e">
        <f>#REF!/$B$6</f>
        <v>#REF!</v>
      </c>
      <c r="D454" s="742" t="e">
        <f>#REF!/$B$6</f>
        <v>#REF!</v>
      </c>
      <c r="E454" s="742" t="e">
        <f>#REF!/$B$6</f>
        <v>#REF!</v>
      </c>
      <c r="F454" s="742" t="e">
        <f>#REF!/$B$6</f>
        <v>#REF!</v>
      </c>
      <c r="G454" s="742" t="e">
        <f>#REF!/$B$6</f>
        <v>#REF!</v>
      </c>
      <c r="H454" s="742" t="e">
        <f>#REF!/$B$6</f>
        <v>#REF!</v>
      </c>
      <c r="I454" s="742" t="e">
        <f>#REF!/$B$6</f>
        <v>#REF!</v>
      </c>
      <c r="J454" s="742" t="e">
        <f>#REF!/$B$6</f>
        <v>#REF!</v>
      </c>
      <c r="K454" s="742" t="e">
        <f>#REF!/$B$6</f>
        <v>#REF!</v>
      </c>
      <c r="L454" s="742" t="e">
        <f>#REF!/$B$6</f>
        <v>#REF!</v>
      </c>
      <c r="M454" s="742" t="e">
        <f>#REF!/$B$6</f>
        <v>#REF!</v>
      </c>
      <c r="N454" s="742" t="e">
        <f>#REF!/$B$6</f>
        <v>#REF!</v>
      </c>
      <c r="O454" s="742" t="e">
        <f>#REF!/$B$6</f>
        <v>#REF!</v>
      </c>
      <c r="P454" s="742" t="e">
        <f>#REF!/$B$6</f>
        <v>#REF!</v>
      </c>
      <c r="Q454" s="742" t="e">
        <f>#REF!/$B$6</f>
        <v>#REF!</v>
      </c>
      <c r="R454" s="742" t="e">
        <f>#REF!/$B$6</f>
        <v>#REF!</v>
      </c>
      <c r="S454" s="742" t="e">
        <f>#REF!/$B$6</f>
        <v>#REF!</v>
      </c>
      <c r="T454" s="742" t="e">
        <f>#REF!/$B$6</f>
        <v>#REF!</v>
      </c>
      <c r="U454" s="742" t="e">
        <f>#REF!/$B$6</f>
        <v>#REF!</v>
      </c>
      <c r="V454" s="742" t="e">
        <f>#REF!/$B$6</f>
        <v>#REF!</v>
      </c>
      <c r="W454" s="742" t="e">
        <f>#REF!/$B$6</f>
        <v>#REF!</v>
      </c>
      <c r="X454" s="742" t="e">
        <f>#REF!/$B$6</f>
        <v>#REF!</v>
      </c>
      <c r="Y454" s="742" t="e">
        <f>#REF!/$B$6</f>
        <v>#REF!</v>
      </c>
      <c r="Z454" s="742" t="e">
        <f>#REF!/$B$6</f>
        <v>#REF!</v>
      </c>
      <c r="AA454" s="742" t="e">
        <f>#REF!/$B$6</f>
        <v>#REF!</v>
      </c>
    </row>
    <row r="455" spans="1:27" ht="15">
      <c r="A455" s="730" t="s">
        <v>754</v>
      </c>
      <c r="B455" s="742" t="e">
        <f>#REF!/$B$6</f>
        <v>#REF!</v>
      </c>
      <c r="C455" s="742" t="e">
        <f>#REF!/$B$6</f>
        <v>#REF!</v>
      </c>
      <c r="D455" s="742" t="e">
        <f>#REF!/$B$6</f>
        <v>#REF!</v>
      </c>
      <c r="E455" s="742" t="e">
        <f>#REF!/$B$6</f>
        <v>#REF!</v>
      </c>
      <c r="F455" s="742" t="e">
        <f>#REF!/$B$6</f>
        <v>#REF!</v>
      </c>
      <c r="G455" s="742" t="e">
        <f>#REF!/$B$6</f>
        <v>#REF!</v>
      </c>
      <c r="H455" s="742" t="e">
        <f>#REF!/$B$6</f>
        <v>#REF!</v>
      </c>
      <c r="I455" s="742" t="e">
        <f>#REF!/$B$6</f>
        <v>#REF!</v>
      </c>
      <c r="J455" s="742" t="e">
        <f>#REF!/$B$6</f>
        <v>#REF!</v>
      </c>
      <c r="K455" s="742" t="e">
        <f>#REF!/$B$6</f>
        <v>#REF!</v>
      </c>
      <c r="L455" s="742" t="e">
        <f>#REF!/$B$6</f>
        <v>#REF!</v>
      </c>
      <c r="M455" s="742" t="e">
        <f>#REF!/$B$6</f>
        <v>#REF!</v>
      </c>
      <c r="N455" s="742" t="e">
        <f>#REF!/$B$6</f>
        <v>#REF!</v>
      </c>
      <c r="O455" s="742" t="e">
        <f>#REF!/$B$6</f>
        <v>#REF!</v>
      </c>
      <c r="P455" s="742" t="e">
        <f>#REF!/$B$6</f>
        <v>#REF!</v>
      </c>
      <c r="Q455" s="742" t="e">
        <f>#REF!/$B$6</f>
        <v>#REF!</v>
      </c>
      <c r="R455" s="742" t="e">
        <f>#REF!/$B$6</f>
        <v>#REF!</v>
      </c>
      <c r="S455" s="742" t="e">
        <f>#REF!/$B$6</f>
        <v>#REF!</v>
      </c>
      <c r="T455" s="742" t="e">
        <f>#REF!/$B$6</f>
        <v>#REF!</v>
      </c>
      <c r="U455" s="742" t="e">
        <f>#REF!/$B$6</f>
        <v>#REF!</v>
      </c>
      <c r="V455" s="742" t="e">
        <f>#REF!/$B$6</f>
        <v>#REF!</v>
      </c>
      <c r="W455" s="742" t="e">
        <f>#REF!/$B$6</f>
        <v>#REF!</v>
      </c>
      <c r="X455" s="742" t="e">
        <f>#REF!/$B$6</f>
        <v>#REF!</v>
      </c>
      <c r="Y455" s="742" t="e">
        <f>#REF!/$B$6</f>
        <v>#REF!</v>
      </c>
      <c r="Z455" s="742" t="e">
        <f>#REF!/$B$6</f>
        <v>#REF!</v>
      </c>
      <c r="AA455" s="742" t="e">
        <f>#REF!/$B$6</f>
        <v>#REF!</v>
      </c>
    </row>
    <row r="456" spans="1:27" ht="15">
      <c r="A456" s="730" t="s">
        <v>755</v>
      </c>
      <c r="B456" s="742" t="e">
        <f>#REF!/$B$6</f>
        <v>#REF!</v>
      </c>
      <c r="C456" s="742" t="e">
        <f>#REF!/$B$6</f>
        <v>#REF!</v>
      </c>
      <c r="D456" s="742" t="e">
        <f>#REF!/$B$6</f>
        <v>#REF!</v>
      </c>
      <c r="E456" s="742" t="e">
        <f>#REF!/$B$6</f>
        <v>#REF!</v>
      </c>
      <c r="F456" s="742" t="e">
        <f>#REF!/$B$6</f>
        <v>#REF!</v>
      </c>
      <c r="G456" s="742" t="e">
        <f>#REF!/$B$6</f>
        <v>#REF!</v>
      </c>
      <c r="H456" s="742" t="e">
        <f>#REF!/$B$6</f>
        <v>#REF!</v>
      </c>
      <c r="I456" s="742" t="e">
        <f>#REF!/$B$6</f>
        <v>#REF!</v>
      </c>
      <c r="J456" s="742" t="e">
        <f>#REF!/$B$6</f>
        <v>#REF!</v>
      </c>
      <c r="K456" s="742" t="e">
        <f>#REF!/$B$6</f>
        <v>#REF!</v>
      </c>
      <c r="L456" s="742" t="e">
        <f>#REF!/$B$6</f>
        <v>#REF!</v>
      </c>
      <c r="M456" s="742" t="e">
        <f>#REF!/$B$6</f>
        <v>#REF!</v>
      </c>
      <c r="N456" s="742" t="e">
        <f>#REF!/$B$6</f>
        <v>#REF!</v>
      </c>
      <c r="O456" s="742" t="e">
        <f>#REF!/$B$6</f>
        <v>#REF!</v>
      </c>
      <c r="P456" s="742" t="e">
        <f>#REF!/$B$6</f>
        <v>#REF!</v>
      </c>
      <c r="Q456" s="742" t="e">
        <f>#REF!/$B$6</f>
        <v>#REF!</v>
      </c>
      <c r="R456" s="742" t="e">
        <f>#REF!/$B$6</f>
        <v>#REF!</v>
      </c>
      <c r="S456" s="742" t="e">
        <f>#REF!/$B$6</f>
        <v>#REF!</v>
      </c>
      <c r="T456" s="742" t="e">
        <f>#REF!/$B$6</f>
        <v>#REF!</v>
      </c>
      <c r="U456" s="742" t="e">
        <f>#REF!/$B$6</f>
        <v>#REF!</v>
      </c>
      <c r="V456" s="742" t="e">
        <f>#REF!/$B$6</f>
        <v>#REF!</v>
      </c>
      <c r="W456" s="742" t="e">
        <f>#REF!/$B$6</f>
        <v>#REF!</v>
      </c>
      <c r="X456" s="742" t="e">
        <f>#REF!/$B$6</f>
        <v>#REF!</v>
      </c>
      <c r="Y456" s="742" t="e">
        <f>#REF!/$B$6</f>
        <v>#REF!</v>
      </c>
      <c r="Z456" s="742" t="e">
        <f>#REF!/$B$6</f>
        <v>#REF!</v>
      </c>
      <c r="AA456" s="742" t="e">
        <f>#REF!/$B$6</f>
        <v>#REF!</v>
      </c>
    </row>
    <row r="457" spans="1:27">
      <c r="A457" s="760" t="s">
        <v>756</v>
      </c>
      <c r="B457" s="763" t="e">
        <f>#REF!/$B$6</f>
        <v>#REF!</v>
      </c>
      <c r="C457" s="763" t="e">
        <f>#REF!/$B$6</f>
        <v>#REF!</v>
      </c>
      <c r="D457" s="763" t="e">
        <f>#REF!/$B$6</f>
        <v>#REF!</v>
      </c>
      <c r="E457" s="763" t="e">
        <f>#REF!/$B$6</f>
        <v>#REF!</v>
      </c>
      <c r="F457" s="763" t="e">
        <f>#REF!/$B$6</f>
        <v>#REF!</v>
      </c>
      <c r="G457" s="763" t="e">
        <f>#REF!/$B$6</f>
        <v>#REF!</v>
      </c>
      <c r="H457" s="763" t="e">
        <f>#REF!/$B$6</f>
        <v>#REF!</v>
      </c>
      <c r="I457" s="763" t="e">
        <f>#REF!/$B$6</f>
        <v>#REF!</v>
      </c>
      <c r="J457" s="763" t="e">
        <f>#REF!/$B$6</f>
        <v>#REF!</v>
      </c>
      <c r="K457" s="763" t="e">
        <f>#REF!/$B$6</f>
        <v>#REF!</v>
      </c>
      <c r="L457" s="763" t="e">
        <f>#REF!/$B$6</f>
        <v>#REF!</v>
      </c>
      <c r="M457" s="763" t="e">
        <f>#REF!/$B$6</f>
        <v>#REF!</v>
      </c>
      <c r="N457" s="763" t="e">
        <f>#REF!/$B$6</f>
        <v>#REF!</v>
      </c>
      <c r="O457" s="763" t="e">
        <f>#REF!/$B$6</f>
        <v>#REF!</v>
      </c>
      <c r="P457" s="763" t="e">
        <f>#REF!/$B$6</f>
        <v>#REF!</v>
      </c>
      <c r="Q457" s="763" t="e">
        <f>#REF!/$B$6</f>
        <v>#REF!</v>
      </c>
      <c r="R457" s="763" t="e">
        <f>#REF!/$B$6</f>
        <v>#REF!</v>
      </c>
      <c r="S457" s="763" t="e">
        <f>#REF!/$B$6</f>
        <v>#REF!</v>
      </c>
      <c r="T457" s="763" t="e">
        <f>#REF!/$B$6</f>
        <v>#REF!</v>
      </c>
      <c r="U457" s="763" t="e">
        <f>#REF!/$B$6</f>
        <v>#REF!</v>
      </c>
      <c r="V457" s="763" t="e">
        <f>#REF!/$B$6</f>
        <v>#REF!</v>
      </c>
      <c r="W457" s="763" t="e">
        <f>#REF!/$B$6</f>
        <v>#REF!</v>
      </c>
      <c r="X457" s="763" t="e">
        <f>#REF!/$B$6</f>
        <v>#REF!</v>
      </c>
      <c r="Y457" s="763" t="e">
        <f>#REF!/$B$6</f>
        <v>#REF!</v>
      </c>
      <c r="Z457" s="763" t="e">
        <f>#REF!/$B$6</f>
        <v>#REF!</v>
      </c>
      <c r="AA457" s="763" t="e">
        <f>#REF!/$B$6</f>
        <v>#REF!</v>
      </c>
    </row>
    <row r="465" spans="1:27">
      <c r="A465" s="735" t="s">
        <v>591</v>
      </c>
      <c r="B465" s="735">
        <f>B$12</f>
        <v>2003</v>
      </c>
      <c r="C465" s="735">
        <f t="shared" ref="C465:AA465" si="252">C$12</f>
        <v>2004</v>
      </c>
      <c r="D465" s="735">
        <f t="shared" si="252"/>
        <v>2005</v>
      </c>
      <c r="E465" s="735">
        <f t="shared" si="252"/>
        <v>2006</v>
      </c>
      <c r="F465" s="735">
        <f t="shared" si="252"/>
        <v>2007</v>
      </c>
      <c r="G465" s="735">
        <f t="shared" si="252"/>
        <v>2008</v>
      </c>
      <c r="H465" s="735">
        <f t="shared" si="252"/>
        <v>2009</v>
      </c>
      <c r="I465" s="735">
        <f t="shared" si="252"/>
        <v>2010</v>
      </c>
      <c r="J465" s="735">
        <f t="shared" si="252"/>
        <v>2011</v>
      </c>
      <c r="K465" s="735">
        <f t="shared" si="252"/>
        <v>2012</v>
      </c>
      <c r="L465" s="735">
        <f t="shared" si="252"/>
        <v>2013</v>
      </c>
      <c r="M465" s="735">
        <f t="shared" si="252"/>
        <v>2014</v>
      </c>
      <c r="N465" s="735">
        <f t="shared" si="252"/>
        <v>2015</v>
      </c>
      <c r="O465" s="735">
        <f t="shared" si="252"/>
        <v>2016</v>
      </c>
      <c r="P465" s="735">
        <f t="shared" si="252"/>
        <v>2017</v>
      </c>
      <c r="Q465" s="735">
        <f t="shared" si="252"/>
        <v>2018</v>
      </c>
      <c r="R465" s="735">
        <f t="shared" si="252"/>
        <v>2019</v>
      </c>
      <c r="S465" s="735">
        <f t="shared" si="252"/>
        <v>2020</v>
      </c>
      <c r="T465" s="735">
        <f t="shared" si="252"/>
        <v>2021</v>
      </c>
      <c r="U465" s="735">
        <f t="shared" si="252"/>
        <v>2022</v>
      </c>
      <c r="V465" s="735">
        <f t="shared" si="252"/>
        <v>2023</v>
      </c>
      <c r="W465" s="735">
        <f t="shared" si="252"/>
        <v>2024</v>
      </c>
      <c r="X465" s="735">
        <f t="shared" si="252"/>
        <v>2025</v>
      </c>
      <c r="Y465" s="735">
        <f t="shared" si="252"/>
        <v>2026</v>
      </c>
      <c r="Z465" s="735">
        <f t="shared" si="252"/>
        <v>2027</v>
      </c>
      <c r="AA465" s="735">
        <f t="shared" si="252"/>
        <v>2028</v>
      </c>
    </row>
    <row r="467" spans="1:27" ht="15">
      <c r="A467" s="730" t="s">
        <v>757</v>
      </c>
      <c r="B467" s="742" t="e">
        <f>#REF!/$B$6</f>
        <v>#REF!</v>
      </c>
      <c r="C467" s="742" t="e">
        <f>#REF!/$B$6</f>
        <v>#REF!</v>
      </c>
      <c r="D467" s="742" t="e">
        <f>#REF!/$B$6</f>
        <v>#REF!</v>
      </c>
      <c r="E467" s="742" t="e">
        <f>#REF!/$B$6</f>
        <v>#REF!</v>
      </c>
      <c r="F467" s="742" t="e">
        <f>#REF!/$B$6</f>
        <v>#REF!</v>
      </c>
      <c r="G467" s="742" t="e">
        <f>#REF!/$B$6</f>
        <v>#REF!</v>
      </c>
      <c r="H467" s="742" t="e">
        <f>#REF!/$B$6</f>
        <v>#REF!</v>
      </c>
      <c r="I467" s="742" t="e">
        <f>#REF!/$B$6</f>
        <v>#REF!</v>
      </c>
      <c r="J467" s="742" t="e">
        <f>#REF!/$B$6</f>
        <v>#REF!</v>
      </c>
      <c r="K467" s="742" t="e">
        <f>#REF!/$B$6</f>
        <v>#REF!</v>
      </c>
      <c r="L467" s="742" t="e">
        <f>#REF!/$B$6</f>
        <v>#REF!</v>
      </c>
      <c r="M467" s="742" t="e">
        <f>#REF!/$B$6</f>
        <v>#REF!</v>
      </c>
      <c r="N467" s="742" t="e">
        <f>#REF!/$B$6</f>
        <v>#REF!</v>
      </c>
      <c r="O467" s="742" t="e">
        <f>#REF!/$B$6</f>
        <v>#REF!</v>
      </c>
      <c r="P467" s="742" t="e">
        <f>#REF!/$B$6</f>
        <v>#REF!</v>
      </c>
      <c r="Q467" s="742" t="e">
        <f>#REF!/$B$6</f>
        <v>#REF!</v>
      </c>
      <c r="R467" s="742" t="e">
        <f>#REF!/$B$6</f>
        <v>#REF!</v>
      </c>
      <c r="S467" s="742" t="e">
        <f>#REF!/$B$6</f>
        <v>#REF!</v>
      </c>
      <c r="T467" s="742" t="e">
        <f>#REF!/$B$6</f>
        <v>#REF!</v>
      </c>
      <c r="U467" s="742" t="e">
        <f>#REF!/$B$6</f>
        <v>#REF!</v>
      </c>
      <c r="V467" s="742" t="e">
        <f>#REF!/$B$6</f>
        <v>#REF!</v>
      </c>
      <c r="W467" s="742" t="e">
        <f>#REF!/$B$6</f>
        <v>#REF!</v>
      </c>
      <c r="X467" s="742" t="e">
        <f>#REF!/$B$6</f>
        <v>#REF!</v>
      </c>
      <c r="Y467" s="742" t="e">
        <f>#REF!/$B$6</f>
        <v>#REF!</v>
      </c>
      <c r="Z467" s="742" t="e">
        <f>#REF!/$B$6</f>
        <v>#REF!</v>
      </c>
      <c r="AA467" s="742" t="e">
        <f>#REF!/$B$6</f>
        <v>#REF!</v>
      </c>
    </row>
    <row r="468" spans="1:27" ht="15">
      <c r="A468" s="730" t="s">
        <v>758</v>
      </c>
      <c r="B468" s="742" t="e">
        <f>#REF!/$B$6</f>
        <v>#REF!</v>
      </c>
      <c r="C468" s="742" t="e">
        <f>#REF!/$B$6</f>
        <v>#REF!</v>
      </c>
      <c r="D468" s="742" t="e">
        <f>#REF!/$B$6</f>
        <v>#REF!</v>
      </c>
      <c r="E468" s="742" t="e">
        <f>#REF!/$B$6</f>
        <v>#REF!</v>
      </c>
      <c r="F468" s="742" t="e">
        <f>#REF!/$B$6</f>
        <v>#REF!</v>
      </c>
      <c r="G468" s="742" t="e">
        <f>#REF!/$B$6</f>
        <v>#REF!</v>
      </c>
      <c r="H468" s="742" t="e">
        <f>#REF!/$B$6</f>
        <v>#REF!</v>
      </c>
      <c r="I468" s="742" t="e">
        <f>#REF!/$B$6</f>
        <v>#REF!</v>
      </c>
      <c r="J468" s="742" t="e">
        <f>#REF!/$B$6</f>
        <v>#REF!</v>
      </c>
      <c r="K468" s="742" t="e">
        <f>#REF!/$B$6</f>
        <v>#REF!</v>
      </c>
      <c r="L468" s="742" t="e">
        <f>#REF!/$B$6</f>
        <v>#REF!</v>
      </c>
      <c r="M468" s="742" t="e">
        <f>#REF!/$B$6</f>
        <v>#REF!</v>
      </c>
      <c r="N468" s="742" t="e">
        <f>#REF!/$B$6</f>
        <v>#REF!</v>
      </c>
      <c r="O468" s="742" t="e">
        <f>#REF!/$B$6</f>
        <v>#REF!</v>
      </c>
      <c r="P468" s="742" t="e">
        <f>#REF!/$B$6</f>
        <v>#REF!</v>
      </c>
      <c r="Q468" s="742" t="e">
        <f>#REF!/$B$6</f>
        <v>#REF!</v>
      </c>
      <c r="R468" s="742" t="e">
        <f>#REF!/$B$6</f>
        <v>#REF!</v>
      </c>
      <c r="S468" s="742" t="e">
        <f>#REF!/$B$6</f>
        <v>#REF!</v>
      </c>
      <c r="T468" s="742" t="e">
        <f>#REF!/$B$6</f>
        <v>#REF!</v>
      </c>
      <c r="U468" s="742" t="e">
        <f>#REF!/$B$6</f>
        <v>#REF!</v>
      </c>
      <c r="V468" s="742" t="e">
        <f>#REF!/$B$6</f>
        <v>#REF!</v>
      </c>
      <c r="W468" s="742" t="e">
        <f>#REF!/$B$6</f>
        <v>#REF!</v>
      </c>
      <c r="X468" s="742" t="e">
        <f>#REF!/$B$6</f>
        <v>#REF!</v>
      </c>
      <c r="Y468" s="742" t="e">
        <f>#REF!/$B$6</f>
        <v>#REF!</v>
      </c>
      <c r="Z468" s="742" t="e">
        <f>#REF!/$B$6</f>
        <v>#REF!</v>
      </c>
      <c r="AA468" s="742" t="e">
        <f>#REF!/$B$6</f>
        <v>#REF!</v>
      </c>
    </row>
    <row r="469" spans="1:27" ht="15">
      <c r="A469" s="730" t="s">
        <v>759</v>
      </c>
      <c r="B469" s="742" t="e">
        <f>#REF!/$B$6</f>
        <v>#REF!</v>
      </c>
      <c r="C469" s="742" t="e">
        <f>#REF!/$B$6</f>
        <v>#REF!</v>
      </c>
      <c r="D469" s="742" t="e">
        <f>#REF!/$B$6</f>
        <v>#REF!</v>
      </c>
      <c r="E469" s="742" t="e">
        <f>#REF!/$B$6</f>
        <v>#REF!</v>
      </c>
      <c r="F469" s="742" t="e">
        <f>#REF!/$B$6</f>
        <v>#REF!</v>
      </c>
      <c r="G469" s="742" t="e">
        <f>#REF!/$B$6</f>
        <v>#REF!</v>
      </c>
      <c r="H469" s="742" t="e">
        <f>#REF!/$B$6</f>
        <v>#REF!</v>
      </c>
      <c r="I469" s="742" t="e">
        <f>#REF!/$B$6</f>
        <v>#REF!</v>
      </c>
      <c r="J469" s="742" t="e">
        <f>#REF!/$B$6</f>
        <v>#REF!</v>
      </c>
      <c r="K469" s="742" t="e">
        <f>#REF!/$B$6</f>
        <v>#REF!</v>
      </c>
      <c r="L469" s="742" t="e">
        <f>#REF!/$B$6</f>
        <v>#REF!</v>
      </c>
      <c r="M469" s="742" t="e">
        <f>#REF!/$B$6</f>
        <v>#REF!</v>
      </c>
      <c r="N469" s="742" t="e">
        <f>#REF!/$B$6</f>
        <v>#REF!</v>
      </c>
      <c r="O469" s="742" t="e">
        <f>#REF!/$B$6</f>
        <v>#REF!</v>
      </c>
      <c r="P469" s="742" t="e">
        <f>#REF!/$B$6</f>
        <v>#REF!</v>
      </c>
      <c r="Q469" s="742" t="e">
        <f>#REF!/$B$6</f>
        <v>#REF!</v>
      </c>
      <c r="R469" s="742" t="e">
        <f>#REF!/$B$6</f>
        <v>#REF!</v>
      </c>
      <c r="S469" s="742" t="e">
        <f>#REF!/$B$6</f>
        <v>#REF!</v>
      </c>
      <c r="T469" s="742" t="e">
        <f>#REF!/$B$6</f>
        <v>#REF!</v>
      </c>
      <c r="U469" s="742" t="e">
        <f>#REF!/$B$6</f>
        <v>#REF!</v>
      </c>
      <c r="V469" s="742" t="e">
        <f>#REF!/$B$6</f>
        <v>#REF!</v>
      </c>
      <c r="W469" s="742" t="e">
        <f>#REF!/$B$6</f>
        <v>#REF!</v>
      </c>
      <c r="X469" s="742" t="e">
        <f>#REF!/$B$6</f>
        <v>#REF!</v>
      </c>
      <c r="Y469" s="742" t="e">
        <f>#REF!/$B$6</f>
        <v>#REF!</v>
      </c>
      <c r="Z469" s="742" t="e">
        <f>#REF!/$B$6</f>
        <v>#REF!</v>
      </c>
      <c r="AA469" s="742" t="e">
        <f>#REF!/$B$6</f>
        <v>#REF!</v>
      </c>
    </row>
    <row r="470" spans="1:27">
      <c r="A470" s="760" t="s">
        <v>760</v>
      </c>
      <c r="B470" s="763" t="e">
        <f>#REF!/$B$6</f>
        <v>#REF!</v>
      </c>
      <c r="C470" s="763" t="e">
        <f>#REF!/$B$6</f>
        <v>#REF!</v>
      </c>
      <c r="D470" s="763" t="e">
        <f>#REF!/$B$6</f>
        <v>#REF!</v>
      </c>
      <c r="E470" s="763" t="e">
        <f>#REF!/$B$6</f>
        <v>#REF!</v>
      </c>
      <c r="F470" s="763" t="e">
        <f>#REF!/$B$6</f>
        <v>#REF!</v>
      </c>
      <c r="G470" s="763" t="e">
        <f>#REF!/$B$6</f>
        <v>#REF!</v>
      </c>
      <c r="H470" s="763" t="e">
        <f>#REF!/$B$6</f>
        <v>#REF!</v>
      </c>
      <c r="I470" s="763" t="e">
        <f>#REF!/$B$6</f>
        <v>#REF!</v>
      </c>
      <c r="J470" s="763" t="e">
        <f>#REF!/$B$6</f>
        <v>#REF!</v>
      </c>
      <c r="K470" s="763" t="e">
        <f>#REF!/$B$6</f>
        <v>#REF!</v>
      </c>
      <c r="L470" s="763" t="e">
        <f>#REF!/$B$6</f>
        <v>#REF!</v>
      </c>
      <c r="M470" s="763" t="e">
        <f>#REF!/$B$6</f>
        <v>#REF!</v>
      </c>
      <c r="N470" s="763" t="e">
        <f>#REF!/$B$6</f>
        <v>#REF!</v>
      </c>
      <c r="O470" s="763" t="e">
        <f>#REF!/$B$6</f>
        <v>#REF!</v>
      </c>
      <c r="P470" s="763" t="e">
        <f>#REF!/$B$6</f>
        <v>#REF!</v>
      </c>
      <c r="Q470" s="763" t="e">
        <f>#REF!/$B$6</f>
        <v>#REF!</v>
      </c>
      <c r="R470" s="763" t="e">
        <f>#REF!/$B$6</f>
        <v>#REF!</v>
      </c>
      <c r="S470" s="763" t="e">
        <f>#REF!/$B$6</f>
        <v>#REF!</v>
      </c>
      <c r="T470" s="763" t="e">
        <f>#REF!/$B$6</f>
        <v>#REF!</v>
      </c>
      <c r="U470" s="763" t="e">
        <f>#REF!/$B$6</f>
        <v>#REF!</v>
      </c>
      <c r="V470" s="763" t="e">
        <f>#REF!/$B$6</f>
        <v>#REF!</v>
      </c>
      <c r="W470" s="763" t="e">
        <f>#REF!/$B$6</f>
        <v>#REF!</v>
      </c>
      <c r="X470" s="763" t="e">
        <f>#REF!/$B$6</f>
        <v>#REF!</v>
      </c>
      <c r="Y470" s="763" t="e">
        <f>#REF!/$B$6</f>
        <v>#REF!</v>
      </c>
      <c r="Z470" s="763" t="e">
        <f>#REF!/$B$6</f>
        <v>#REF!</v>
      </c>
      <c r="AA470" s="763" t="e">
        <f>#REF!/$B$6</f>
        <v>#REF!</v>
      </c>
    </row>
    <row r="472" spans="1:27">
      <c r="A472" s="732"/>
    </row>
    <row r="475" spans="1:27">
      <c r="A475" s="735" t="s">
        <v>761</v>
      </c>
      <c r="B475" s="735">
        <f>B$12</f>
        <v>2003</v>
      </c>
      <c r="C475" s="735">
        <f t="shared" ref="C475:AA475" si="253">C$12</f>
        <v>2004</v>
      </c>
      <c r="D475" s="735">
        <f t="shared" si="253"/>
        <v>2005</v>
      </c>
      <c r="E475" s="735">
        <f t="shared" si="253"/>
        <v>2006</v>
      </c>
      <c r="F475" s="735">
        <f t="shared" si="253"/>
        <v>2007</v>
      </c>
      <c r="G475" s="735">
        <f t="shared" si="253"/>
        <v>2008</v>
      </c>
      <c r="H475" s="735">
        <f t="shared" si="253"/>
        <v>2009</v>
      </c>
      <c r="I475" s="735">
        <f t="shared" si="253"/>
        <v>2010</v>
      </c>
      <c r="J475" s="735">
        <f t="shared" si="253"/>
        <v>2011</v>
      </c>
      <c r="K475" s="735">
        <f t="shared" si="253"/>
        <v>2012</v>
      </c>
      <c r="L475" s="735">
        <f t="shared" si="253"/>
        <v>2013</v>
      </c>
      <c r="M475" s="735">
        <f t="shared" si="253"/>
        <v>2014</v>
      </c>
      <c r="N475" s="735">
        <f t="shared" si="253"/>
        <v>2015</v>
      </c>
      <c r="O475" s="735">
        <f t="shared" si="253"/>
        <v>2016</v>
      </c>
      <c r="P475" s="735">
        <f t="shared" si="253"/>
        <v>2017</v>
      </c>
      <c r="Q475" s="735">
        <f t="shared" si="253"/>
        <v>2018</v>
      </c>
      <c r="R475" s="735">
        <f t="shared" si="253"/>
        <v>2019</v>
      </c>
      <c r="S475" s="735">
        <f t="shared" si="253"/>
        <v>2020</v>
      </c>
      <c r="T475" s="735">
        <f t="shared" si="253"/>
        <v>2021</v>
      </c>
      <c r="U475" s="735">
        <f t="shared" si="253"/>
        <v>2022</v>
      </c>
      <c r="V475" s="735">
        <f t="shared" si="253"/>
        <v>2023</v>
      </c>
      <c r="W475" s="735">
        <f t="shared" si="253"/>
        <v>2024</v>
      </c>
      <c r="X475" s="735">
        <f t="shared" si="253"/>
        <v>2025</v>
      </c>
      <c r="Y475" s="735">
        <f t="shared" si="253"/>
        <v>2026</v>
      </c>
      <c r="Z475" s="735">
        <f t="shared" si="253"/>
        <v>2027</v>
      </c>
      <c r="AA475" s="735">
        <f t="shared" si="253"/>
        <v>2028</v>
      </c>
    </row>
    <row r="477" spans="1:27" ht="15">
      <c r="A477" s="730" t="s">
        <v>762</v>
      </c>
      <c r="B477" s="736" t="e">
        <f>B454+B467</f>
        <v>#REF!</v>
      </c>
      <c r="C477" s="736" t="e">
        <f t="shared" ref="C477:Z480" si="254">C454+C467</f>
        <v>#REF!</v>
      </c>
      <c r="D477" s="736" t="e">
        <f t="shared" si="254"/>
        <v>#REF!</v>
      </c>
      <c r="E477" s="736" t="e">
        <f t="shared" si="254"/>
        <v>#REF!</v>
      </c>
      <c r="F477" s="736" t="e">
        <f t="shared" si="254"/>
        <v>#REF!</v>
      </c>
      <c r="G477" s="736" t="e">
        <f t="shared" si="254"/>
        <v>#REF!</v>
      </c>
      <c r="H477" s="736" t="e">
        <f t="shared" si="254"/>
        <v>#REF!</v>
      </c>
      <c r="I477" s="736" t="e">
        <f t="shared" si="254"/>
        <v>#REF!</v>
      </c>
      <c r="J477" s="736" t="e">
        <f t="shared" si="254"/>
        <v>#REF!</v>
      </c>
      <c r="K477" s="736" t="e">
        <f t="shared" si="254"/>
        <v>#REF!</v>
      </c>
      <c r="L477" s="736" t="e">
        <f t="shared" si="254"/>
        <v>#REF!</v>
      </c>
      <c r="M477" s="736" t="e">
        <f t="shared" si="254"/>
        <v>#REF!</v>
      </c>
      <c r="N477" s="736" t="e">
        <f t="shared" si="254"/>
        <v>#REF!</v>
      </c>
      <c r="O477" s="736" t="e">
        <f t="shared" si="254"/>
        <v>#REF!</v>
      </c>
      <c r="P477" s="736" t="e">
        <f t="shared" si="254"/>
        <v>#REF!</v>
      </c>
      <c r="Q477" s="736" t="e">
        <f t="shared" si="254"/>
        <v>#REF!</v>
      </c>
      <c r="R477" s="736" t="e">
        <f t="shared" si="254"/>
        <v>#REF!</v>
      </c>
      <c r="S477" s="736" t="e">
        <f t="shared" si="254"/>
        <v>#REF!</v>
      </c>
      <c r="T477" s="736" t="e">
        <f t="shared" si="254"/>
        <v>#REF!</v>
      </c>
      <c r="U477" s="736" t="e">
        <f t="shared" si="254"/>
        <v>#REF!</v>
      </c>
      <c r="V477" s="736" t="e">
        <f t="shared" si="254"/>
        <v>#REF!</v>
      </c>
      <c r="W477" s="736" t="e">
        <f t="shared" si="254"/>
        <v>#REF!</v>
      </c>
      <c r="X477" s="736" t="e">
        <f t="shared" si="254"/>
        <v>#REF!</v>
      </c>
      <c r="Y477" s="736" t="e">
        <f t="shared" si="254"/>
        <v>#REF!</v>
      </c>
      <c r="Z477" s="736" t="e">
        <f t="shared" si="254"/>
        <v>#REF!</v>
      </c>
      <c r="AA477" s="736" t="e">
        <f t="shared" ref="AA477" si="255">AA454+AA467</f>
        <v>#REF!</v>
      </c>
    </row>
    <row r="478" spans="1:27" ht="15">
      <c r="A478" s="730" t="s">
        <v>763</v>
      </c>
      <c r="B478" s="736" t="e">
        <f t="shared" ref="B478:Q480" si="256">B455+B468</f>
        <v>#REF!</v>
      </c>
      <c r="C478" s="736" t="e">
        <f t="shared" si="256"/>
        <v>#REF!</v>
      </c>
      <c r="D478" s="736" t="e">
        <f t="shared" si="256"/>
        <v>#REF!</v>
      </c>
      <c r="E478" s="736" t="e">
        <f t="shared" si="256"/>
        <v>#REF!</v>
      </c>
      <c r="F478" s="736" t="e">
        <f t="shared" si="256"/>
        <v>#REF!</v>
      </c>
      <c r="G478" s="736" t="e">
        <f t="shared" si="256"/>
        <v>#REF!</v>
      </c>
      <c r="H478" s="736" t="e">
        <f t="shared" si="256"/>
        <v>#REF!</v>
      </c>
      <c r="I478" s="736" t="e">
        <f t="shared" si="256"/>
        <v>#REF!</v>
      </c>
      <c r="J478" s="736" t="e">
        <f t="shared" si="256"/>
        <v>#REF!</v>
      </c>
      <c r="K478" s="736" t="e">
        <f t="shared" si="256"/>
        <v>#REF!</v>
      </c>
      <c r="L478" s="736" t="e">
        <f t="shared" si="256"/>
        <v>#REF!</v>
      </c>
      <c r="M478" s="736" t="e">
        <f t="shared" si="256"/>
        <v>#REF!</v>
      </c>
      <c r="N478" s="736" t="e">
        <f t="shared" si="256"/>
        <v>#REF!</v>
      </c>
      <c r="O478" s="736" t="e">
        <f t="shared" si="256"/>
        <v>#REF!</v>
      </c>
      <c r="P478" s="736" t="e">
        <f t="shared" si="256"/>
        <v>#REF!</v>
      </c>
      <c r="Q478" s="736" t="e">
        <f t="shared" si="256"/>
        <v>#REF!</v>
      </c>
      <c r="R478" s="736" t="e">
        <f t="shared" si="254"/>
        <v>#REF!</v>
      </c>
      <c r="S478" s="736" t="e">
        <f t="shared" si="254"/>
        <v>#REF!</v>
      </c>
      <c r="T478" s="736" t="e">
        <f t="shared" si="254"/>
        <v>#REF!</v>
      </c>
      <c r="U478" s="736" t="e">
        <f t="shared" si="254"/>
        <v>#REF!</v>
      </c>
      <c r="V478" s="736" t="e">
        <f t="shared" si="254"/>
        <v>#REF!</v>
      </c>
      <c r="W478" s="736" t="e">
        <f t="shared" si="254"/>
        <v>#REF!</v>
      </c>
      <c r="X478" s="736" t="e">
        <f t="shared" si="254"/>
        <v>#REF!</v>
      </c>
      <c r="Y478" s="736" t="e">
        <f t="shared" si="254"/>
        <v>#REF!</v>
      </c>
      <c r="Z478" s="736" t="e">
        <f t="shared" si="254"/>
        <v>#REF!</v>
      </c>
      <c r="AA478" s="736" t="e">
        <f t="shared" ref="AA478" si="257">AA455+AA468</f>
        <v>#REF!</v>
      </c>
    </row>
    <row r="479" spans="1:27" ht="15">
      <c r="A479" s="730" t="s">
        <v>764</v>
      </c>
      <c r="B479" s="736" t="e">
        <f t="shared" si="256"/>
        <v>#REF!</v>
      </c>
      <c r="C479" s="736" t="e">
        <f t="shared" si="254"/>
        <v>#REF!</v>
      </c>
      <c r="D479" s="736" t="e">
        <f t="shared" si="254"/>
        <v>#REF!</v>
      </c>
      <c r="E479" s="736" t="e">
        <f t="shared" si="254"/>
        <v>#REF!</v>
      </c>
      <c r="F479" s="736" t="e">
        <f t="shared" si="254"/>
        <v>#REF!</v>
      </c>
      <c r="G479" s="736" t="e">
        <f t="shared" si="254"/>
        <v>#REF!</v>
      </c>
      <c r="H479" s="736" t="e">
        <f t="shared" si="254"/>
        <v>#REF!</v>
      </c>
      <c r="I479" s="736" t="e">
        <f t="shared" si="254"/>
        <v>#REF!</v>
      </c>
      <c r="J479" s="736" t="e">
        <f t="shared" si="254"/>
        <v>#REF!</v>
      </c>
      <c r="K479" s="736" t="e">
        <f t="shared" si="254"/>
        <v>#REF!</v>
      </c>
      <c r="L479" s="736" t="e">
        <f t="shared" si="254"/>
        <v>#REF!</v>
      </c>
      <c r="M479" s="736" t="e">
        <f t="shared" si="254"/>
        <v>#REF!</v>
      </c>
      <c r="N479" s="736" t="e">
        <f t="shared" si="254"/>
        <v>#REF!</v>
      </c>
      <c r="O479" s="736" t="e">
        <f t="shared" si="254"/>
        <v>#REF!</v>
      </c>
      <c r="P479" s="736" t="e">
        <f t="shared" si="254"/>
        <v>#REF!</v>
      </c>
      <c r="Q479" s="736" t="e">
        <f t="shared" si="254"/>
        <v>#REF!</v>
      </c>
      <c r="R479" s="736" t="e">
        <f t="shared" si="254"/>
        <v>#REF!</v>
      </c>
      <c r="S479" s="736" t="e">
        <f t="shared" si="254"/>
        <v>#REF!</v>
      </c>
      <c r="T479" s="736" t="e">
        <f t="shared" si="254"/>
        <v>#REF!</v>
      </c>
      <c r="U479" s="736" t="e">
        <f t="shared" si="254"/>
        <v>#REF!</v>
      </c>
      <c r="V479" s="736" t="e">
        <f t="shared" si="254"/>
        <v>#REF!</v>
      </c>
      <c r="W479" s="736" t="e">
        <f t="shared" si="254"/>
        <v>#REF!</v>
      </c>
      <c r="X479" s="736" t="e">
        <f t="shared" si="254"/>
        <v>#REF!</v>
      </c>
      <c r="Y479" s="736" t="e">
        <f t="shared" si="254"/>
        <v>#REF!</v>
      </c>
      <c r="Z479" s="736" t="e">
        <f t="shared" si="254"/>
        <v>#REF!</v>
      </c>
      <c r="AA479" s="736" t="e">
        <f t="shared" ref="AA479" si="258">AA456+AA469</f>
        <v>#REF!</v>
      </c>
    </row>
    <row r="480" spans="1:27">
      <c r="A480" s="760" t="s">
        <v>765</v>
      </c>
      <c r="B480" s="761" t="e">
        <f t="shared" si="256"/>
        <v>#REF!</v>
      </c>
      <c r="C480" s="761" t="e">
        <f t="shared" si="254"/>
        <v>#REF!</v>
      </c>
      <c r="D480" s="761" t="e">
        <f t="shared" si="254"/>
        <v>#REF!</v>
      </c>
      <c r="E480" s="761" t="e">
        <f t="shared" si="254"/>
        <v>#REF!</v>
      </c>
      <c r="F480" s="761" t="e">
        <f t="shared" si="254"/>
        <v>#REF!</v>
      </c>
      <c r="G480" s="761" t="e">
        <f t="shared" si="254"/>
        <v>#REF!</v>
      </c>
      <c r="H480" s="761" t="e">
        <f t="shared" si="254"/>
        <v>#REF!</v>
      </c>
      <c r="I480" s="761" t="e">
        <f t="shared" si="254"/>
        <v>#REF!</v>
      </c>
      <c r="J480" s="761" t="e">
        <f t="shared" si="254"/>
        <v>#REF!</v>
      </c>
      <c r="K480" s="761" t="e">
        <f t="shared" si="254"/>
        <v>#REF!</v>
      </c>
      <c r="L480" s="761" t="e">
        <f t="shared" si="254"/>
        <v>#REF!</v>
      </c>
      <c r="M480" s="761" t="e">
        <f t="shared" si="254"/>
        <v>#REF!</v>
      </c>
      <c r="N480" s="761" t="e">
        <f t="shared" si="254"/>
        <v>#REF!</v>
      </c>
      <c r="O480" s="761" t="e">
        <f t="shared" si="254"/>
        <v>#REF!</v>
      </c>
      <c r="P480" s="761" t="e">
        <f t="shared" si="254"/>
        <v>#REF!</v>
      </c>
      <c r="Q480" s="761" t="e">
        <f t="shared" si="254"/>
        <v>#REF!</v>
      </c>
      <c r="R480" s="761" t="e">
        <f t="shared" si="254"/>
        <v>#REF!</v>
      </c>
      <c r="S480" s="761" t="e">
        <f t="shared" si="254"/>
        <v>#REF!</v>
      </c>
      <c r="T480" s="761" t="e">
        <f t="shared" si="254"/>
        <v>#REF!</v>
      </c>
      <c r="U480" s="761" t="e">
        <f t="shared" si="254"/>
        <v>#REF!</v>
      </c>
      <c r="V480" s="761" t="e">
        <f t="shared" si="254"/>
        <v>#REF!</v>
      </c>
      <c r="W480" s="761" t="e">
        <f t="shared" si="254"/>
        <v>#REF!</v>
      </c>
      <c r="X480" s="761" t="e">
        <f t="shared" si="254"/>
        <v>#REF!</v>
      </c>
      <c r="Y480" s="761" t="e">
        <f t="shared" si="254"/>
        <v>#REF!</v>
      </c>
      <c r="Z480" s="761" t="e">
        <f t="shared" si="254"/>
        <v>#REF!</v>
      </c>
      <c r="AA480" s="761" t="e">
        <f t="shared" ref="AA480" si="259">AA457+AA470</f>
        <v>#REF!</v>
      </c>
    </row>
    <row r="481" spans="1:27" ht="15">
      <c r="B481" s="736"/>
    </row>
    <row r="484" spans="1:27">
      <c r="A484" s="732"/>
    </row>
    <row r="485" spans="1:27">
      <c r="A485" s="735" t="s">
        <v>596</v>
      </c>
      <c r="B485" s="735">
        <f>B$12</f>
        <v>2003</v>
      </c>
      <c r="C485" s="735">
        <f t="shared" ref="C485:AA485" si="260">C$12</f>
        <v>2004</v>
      </c>
      <c r="D485" s="735">
        <f t="shared" si="260"/>
        <v>2005</v>
      </c>
      <c r="E485" s="735">
        <f t="shared" si="260"/>
        <v>2006</v>
      </c>
      <c r="F485" s="735">
        <f t="shared" si="260"/>
        <v>2007</v>
      </c>
      <c r="G485" s="735">
        <f t="shared" si="260"/>
        <v>2008</v>
      </c>
      <c r="H485" s="735">
        <f t="shared" si="260"/>
        <v>2009</v>
      </c>
      <c r="I485" s="735">
        <f t="shared" si="260"/>
        <v>2010</v>
      </c>
      <c r="J485" s="735">
        <f t="shared" si="260"/>
        <v>2011</v>
      </c>
      <c r="K485" s="735">
        <f t="shared" si="260"/>
        <v>2012</v>
      </c>
      <c r="L485" s="735">
        <f t="shared" si="260"/>
        <v>2013</v>
      </c>
      <c r="M485" s="735">
        <f t="shared" si="260"/>
        <v>2014</v>
      </c>
      <c r="N485" s="735">
        <f t="shared" si="260"/>
        <v>2015</v>
      </c>
      <c r="O485" s="735">
        <f t="shared" si="260"/>
        <v>2016</v>
      </c>
      <c r="P485" s="735">
        <f t="shared" si="260"/>
        <v>2017</v>
      </c>
      <c r="Q485" s="735">
        <f t="shared" si="260"/>
        <v>2018</v>
      </c>
      <c r="R485" s="735">
        <f t="shared" si="260"/>
        <v>2019</v>
      </c>
      <c r="S485" s="735">
        <f t="shared" si="260"/>
        <v>2020</v>
      </c>
      <c r="T485" s="735">
        <f t="shared" si="260"/>
        <v>2021</v>
      </c>
      <c r="U485" s="735">
        <f t="shared" si="260"/>
        <v>2022</v>
      </c>
      <c r="V485" s="735">
        <f t="shared" si="260"/>
        <v>2023</v>
      </c>
      <c r="W485" s="735">
        <f t="shared" si="260"/>
        <v>2024</v>
      </c>
      <c r="X485" s="735">
        <f t="shared" si="260"/>
        <v>2025</v>
      </c>
      <c r="Y485" s="735">
        <f t="shared" si="260"/>
        <v>2026</v>
      </c>
      <c r="Z485" s="735">
        <f t="shared" si="260"/>
        <v>2027</v>
      </c>
      <c r="AA485" s="735">
        <f t="shared" si="260"/>
        <v>2028</v>
      </c>
    </row>
    <row r="487" spans="1:27" ht="15">
      <c r="A487" s="730" t="s">
        <v>596</v>
      </c>
      <c r="B487" s="742" t="e">
        <f>#REF!/$B$6</f>
        <v>#REF!</v>
      </c>
      <c r="C487" s="742" t="e">
        <f>#REF!/$B$6</f>
        <v>#REF!</v>
      </c>
      <c r="D487" s="742" t="e">
        <f>#REF!/$B$6</f>
        <v>#REF!</v>
      </c>
      <c r="E487" s="742" t="e">
        <f>#REF!/$B$6</f>
        <v>#REF!</v>
      </c>
      <c r="F487" s="742" t="e">
        <f>#REF!/$B$6</f>
        <v>#REF!</v>
      </c>
      <c r="G487" s="742" t="e">
        <f>#REF!/$B$6</f>
        <v>#REF!</v>
      </c>
      <c r="H487" s="742" t="e">
        <f>#REF!/$B$6</f>
        <v>#REF!</v>
      </c>
      <c r="I487" s="742" t="e">
        <f>#REF!/$B$6</f>
        <v>#REF!</v>
      </c>
      <c r="J487" s="742" t="e">
        <f>#REF!/$B$6</f>
        <v>#REF!</v>
      </c>
      <c r="K487" s="742" t="e">
        <f>#REF!/$B$6</f>
        <v>#REF!</v>
      </c>
      <c r="L487" s="742" t="e">
        <f>#REF!/$B$6</f>
        <v>#REF!</v>
      </c>
      <c r="M487" s="742" t="e">
        <f>#REF!/$B$6</f>
        <v>#REF!</v>
      </c>
      <c r="N487" s="742" t="e">
        <f>#REF!/$B$6</f>
        <v>#REF!</v>
      </c>
      <c r="O487" s="742" t="e">
        <f>#REF!/$B$6</f>
        <v>#REF!</v>
      </c>
      <c r="P487" s="742" t="e">
        <f>#REF!/$B$6</f>
        <v>#REF!</v>
      </c>
      <c r="Q487" s="742" t="e">
        <f>#REF!/$B$6</f>
        <v>#REF!</v>
      </c>
      <c r="R487" s="742" t="e">
        <f>#REF!/$B$6</f>
        <v>#REF!</v>
      </c>
      <c r="S487" s="742" t="e">
        <f>#REF!/$B$6</f>
        <v>#REF!</v>
      </c>
      <c r="T487" s="742" t="e">
        <f>#REF!/$B$6</f>
        <v>#REF!</v>
      </c>
      <c r="U487" s="742" t="e">
        <f>#REF!/$B$6</f>
        <v>#REF!</v>
      </c>
      <c r="V487" s="742" t="e">
        <f>#REF!/$B$6</f>
        <v>#REF!</v>
      </c>
      <c r="W487" s="742" t="e">
        <f>#REF!/$B$6</f>
        <v>#REF!</v>
      </c>
      <c r="X487" s="742" t="e">
        <f>#REF!/$B$6</f>
        <v>#REF!</v>
      </c>
      <c r="Y487" s="742" t="e">
        <f>#REF!/$B$6</f>
        <v>#REF!</v>
      </c>
      <c r="Z487" s="742" t="e">
        <f>#REF!/$B$6</f>
        <v>#REF!</v>
      </c>
      <c r="AA487" s="742" t="e">
        <f>#REF!/$B$6</f>
        <v>#REF!</v>
      </c>
    </row>
    <row r="498" spans="1:27" ht="15">
      <c r="J498" s="740"/>
    </row>
    <row r="500" spans="1:27">
      <c r="A500" s="733" t="s">
        <v>766</v>
      </c>
      <c r="B500" s="734"/>
      <c r="C500" s="734"/>
      <c r="D500" s="734"/>
      <c r="E500" s="734"/>
      <c r="F500" s="734"/>
      <c r="G500" s="734"/>
      <c r="H500" s="734"/>
      <c r="I500" s="734"/>
      <c r="J500" s="734"/>
      <c r="K500" s="734"/>
      <c r="L500" s="734"/>
      <c r="M500" s="734"/>
      <c r="N500" s="734"/>
      <c r="O500" s="734"/>
      <c r="P500" s="734"/>
      <c r="Q500" s="734"/>
      <c r="R500" s="734"/>
      <c r="S500" s="734"/>
      <c r="T500" s="734"/>
      <c r="U500" s="734"/>
      <c r="V500" s="734"/>
      <c r="W500" s="734"/>
      <c r="X500" s="734"/>
      <c r="Y500" s="734"/>
      <c r="Z500" s="734"/>
      <c r="AA500" s="734"/>
    </row>
    <row r="502" spans="1:27">
      <c r="A502" s="735" t="s">
        <v>767</v>
      </c>
      <c r="B502" s="735">
        <f>B$12</f>
        <v>2003</v>
      </c>
      <c r="C502" s="735">
        <f t="shared" ref="C502:AA502" si="261">C$12</f>
        <v>2004</v>
      </c>
      <c r="D502" s="735">
        <f t="shared" si="261"/>
        <v>2005</v>
      </c>
      <c r="E502" s="735">
        <f t="shared" si="261"/>
        <v>2006</v>
      </c>
      <c r="F502" s="735">
        <f t="shared" si="261"/>
        <v>2007</v>
      </c>
      <c r="G502" s="735">
        <f t="shared" si="261"/>
        <v>2008</v>
      </c>
      <c r="H502" s="735">
        <f t="shared" si="261"/>
        <v>2009</v>
      </c>
      <c r="I502" s="735">
        <f t="shared" si="261"/>
        <v>2010</v>
      </c>
      <c r="J502" s="735">
        <f t="shared" si="261"/>
        <v>2011</v>
      </c>
      <c r="K502" s="735">
        <f t="shared" si="261"/>
        <v>2012</v>
      </c>
      <c r="L502" s="735">
        <f t="shared" si="261"/>
        <v>2013</v>
      </c>
      <c r="M502" s="735">
        <f t="shared" si="261"/>
        <v>2014</v>
      </c>
      <c r="N502" s="735">
        <f t="shared" si="261"/>
        <v>2015</v>
      </c>
      <c r="O502" s="735">
        <f t="shared" si="261"/>
        <v>2016</v>
      </c>
      <c r="P502" s="735">
        <f t="shared" si="261"/>
        <v>2017</v>
      </c>
      <c r="Q502" s="735">
        <f t="shared" si="261"/>
        <v>2018</v>
      </c>
      <c r="R502" s="735">
        <f t="shared" si="261"/>
        <v>2019</v>
      </c>
      <c r="S502" s="735">
        <f t="shared" si="261"/>
        <v>2020</v>
      </c>
      <c r="T502" s="735">
        <f t="shared" si="261"/>
        <v>2021</v>
      </c>
      <c r="U502" s="735">
        <f t="shared" si="261"/>
        <v>2022</v>
      </c>
      <c r="V502" s="735">
        <f t="shared" si="261"/>
        <v>2023</v>
      </c>
      <c r="W502" s="735">
        <f t="shared" si="261"/>
        <v>2024</v>
      </c>
      <c r="X502" s="735">
        <f t="shared" si="261"/>
        <v>2025</v>
      </c>
      <c r="Y502" s="735">
        <f t="shared" si="261"/>
        <v>2026</v>
      </c>
      <c r="Z502" s="735">
        <f t="shared" si="261"/>
        <v>2027</v>
      </c>
      <c r="AA502" s="735">
        <f t="shared" si="261"/>
        <v>2028</v>
      </c>
    </row>
    <row r="504" spans="1:27" ht="15">
      <c r="A504" s="730" t="s">
        <v>768</v>
      </c>
      <c r="B504" s="742" t="e">
        <f>#REF!/$B$6</f>
        <v>#REF!</v>
      </c>
      <c r="C504" s="742" t="e">
        <f>#REF!/$B$6</f>
        <v>#REF!</v>
      </c>
      <c r="D504" s="742" t="e">
        <f>#REF!/$B$6</f>
        <v>#REF!</v>
      </c>
      <c r="E504" s="742" t="e">
        <f>#REF!/$B$6</f>
        <v>#REF!</v>
      </c>
      <c r="F504" s="742" t="e">
        <f>#REF!/$B$6</f>
        <v>#REF!</v>
      </c>
      <c r="G504" s="742" t="e">
        <f>#REF!/$B$6</f>
        <v>#REF!</v>
      </c>
      <c r="H504" s="742" t="e">
        <f>#REF!/$B$6</f>
        <v>#REF!</v>
      </c>
      <c r="I504" s="742" t="e">
        <f>#REF!/$B$6</f>
        <v>#REF!</v>
      </c>
      <c r="J504" s="742" t="e">
        <f>#REF!/$B$6</f>
        <v>#REF!</v>
      </c>
      <c r="K504" s="742" t="e">
        <f>#REF!/$B$6</f>
        <v>#REF!</v>
      </c>
      <c r="L504" s="742" t="e">
        <f>#REF!/$B$6</f>
        <v>#REF!</v>
      </c>
      <c r="M504" s="742" t="e">
        <f>#REF!/$B$6</f>
        <v>#REF!</v>
      </c>
      <c r="N504" s="742" t="e">
        <f>#REF!/$B$6</f>
        <v>#REF!</v>
      </c>
      <c r="O504" s="742" t="e">
        <f>#REF!/$B$6</f>
        <v>#REF!</v>
      </c>
      <c r="P504" s="742" t="e">
        <f>#REF!/$B$6</f>
        <v>#REF!</v>
      </c>
      <c r="Q504" s="742" t="e">
        <f>#REF!/$B$6</f>
        <v>#REF!</v>
      </c>
      <c r="R504" s="742" t="e">
        <f>#REF!/$B$6</f>
        <v>#REF!</v>
      </c>
      <c r="S504" s="742" t="e">
        <f>#REF!/$B$6</f>
        <v>#REF!</v>
      </c>
      <c r="T504" s="742" t="e">
        <f>#REF!/$B$6</f>
        <v>#REF!</v>
      </c>
      <c r="U504" s="742" t="e">
        <f>#REF!/$B$6</f>
        <v>#REF!</v>
      </c>
      <c r="V504" s="742" t="e">
        <f>#REF!/$B$6</f>
        <v>#REF!</v>
      </c>
      <c r="W504" s="742" t="e">
        <f>#REF!/$B$6</f>
        <v>#REF!</v>
      </c>
      <c r="X504" s="742" t="e">
        <f>#REF!/$B$6</f>
        <v>#REF!</v>
      </c>
      <c r="Y504" s="742" t="e">
        <f>#REF!/$B$6</f>
        <v>#REF!</v>
      </c>
      <c r="Z504" s="742" t="e">
        <f>#REF!/$B$6</f>
        <v>#REF!</v>
      </c>
      <c r="AA504" s="742" t="e">
        <f>#REF!/$B$6</f>
        <v>#REF!</v>
      </c>
    </row>
    <row r="505" spans="1:27" ht="15">
      <c r="A505" s="730" t="s">
        <v>769</v>
      </c>
      <c r="B505" s="742" t="e">
        <f>#REF!/$B$6</f>
        <v>#REF!</v>
      </c>
      <c r="C505" s="742" t="e">
        <f>#REF!/$B$6</f>
        <v>#REF!</v>
      </c>
      <c r="D505" s="742" t="e">
        <f>#REF!/$B$6</f>
        <v>#REF!</v>
      </c>
      <c r="E505" s="742" t="e">
        <f>#REF!/$B$6</f>
        <v>#REF!</v>
      </c>
      <c r="F505" s="742" t="e">
        <f>#REF!/$B$6</f>
        <v>#REF!</v>
      </c>
      <c r="G505" s="742" t="e">
        <f>#REF!/$B$6</f>
        <v>#REF!</v>
      </c>
      <c r="H505" s="742" t="e">
        <f>#REF!/$B$6</f>
        <v>#REF!</v>
      </c>
      <c r="I505" s="742" t="e">
        <f>#REF!/$B$6</f>
        <v>#REF!</v>
      </c>
      <c r="J505" s="742" t="e">
        <f>#REF!/$B$6</f>
        <v>#REF!</v>
      </c>
      <c r="K505" s="742" t="e">
        <f>#REF!/$B$6</f>
        <v>#REF!</v>
      </c>
      <c r="L505" s="742" t="e">
        <f>#REF!/$B$6</f>
        <v>#REF!</v>
      </c>
      <c r="M505" s="742" t="e">
        <f>#REF!/$B$6</f>
        <v>#REF!</v>
      </c>
      <c r="N505" s="742" t="e">
        <f>#REF!/$B$6</f>
        <v>#REF!</v>
      </c>
      <c r="O505" s="742" t="e">
        <f>#REF!/$B$6</f>
        <v>#REF!</v>
      </c>
      <c r="P505" s="742" t="e">
        <f>#REF!/$B$6</f>
        <v>#REF!</v>
      </c>
      <c r="Q505" s="742" t="e">
        <f>#REF!/$B$6</f>
        <v>#REF!</v>
      </c>
      <c r="R505" s="742" t="e">
        <f>#REF!/$B$6</f>
        <v>#REF!</v>
      </c>
      <c r="S505" s="742" t="e">
        <f>#REF!/$B$6</f>
        <v>#REF!</v>
      </c>
      <c r="T505" s="742" t="e">
        <f>#REF!/$B$6</f>
        <v>#REF!</v>
      </c>
      <c r="U505" s="742" t="e">
        <f>#REF!/$B$6</f>
        <v>#REF!</v>
      </c>
      <c r="V505" s="742" t="e">
        <f>#REF!/$B$6</f>
        <v>#REF!</v>
      </c>
      <c r="W505" s="742" t="e">
        <f>#REF!/$B$6</f>
        <v>#REF!</v>
      </c>
      <c r="X505" s="742" t="e">
        <f>#REF!/$B$6</f>
        <v>#REF!</v>
      </c>
      <c r="Y505" s="742" t="e">
        <f>#REF!/$B$6</f>
        <v>#REF!</v>
      </c>
      <c r="Z505" s="742" t="e">
        <f>#REF!/$B$6</f>
        <v>#REF!</v>
      </c>
      <c r="AA505" s="742" t="e">
        <f>#REF!/$B$6</f>
        <v>#REF!</v>
      </c>
    </row>
    <row r="506" spans="1:27" ht="15">
      <c r="A506" s="730" t="s">
        <v>770</v>
      </c>
      <c r="B506" s="742" t="e">
        <f>#REF!/$B$6</f>
        <v>#REF!</v>
      </c>
      <c r="C506" s="742" t="e">
        <f>#REF!/$B$6</f>
        <v>#REF!</v>
      </c>
      <c r="D506" s="742" t="e">
        <f>#REF!/$B$6</f>
        <v>#REF!</v>
      </c>
      <c r="E506" s="742" t="e">
        <f>#REF!/$B$6</f>
        <v>#REF!</v>
      </c>
      <c r="F506" s="742" t="e">
        <f>#REF!/$B$6</f>
        <v>#REF!</v>
      </c>
      <c r="G506" s="742" t="e">
        <f>#REF!/$B$6</f>
        <v>#REF!</v>
      </c>
      <c r="H506" s="742" t="e">
        <f>#REF!/$B$6</f>
        <v>#REF!</v>
      </c>
      <c r="I506" s="742" t="e">
        <f>#REF!/$B$6</f>
        <v>#REF!</v>
      </c>
      <c r="J506" s="742" t="e">
        <f>#REF!/$B$6</f>
        <v>#REF!</v>
      </c>
      <c r="K506" s="742" t="e">
        <f>#REF!/$B$6</f>
        <v>#REF!</v>
      </c>
      <c r="L506" s="742" t="e">
        <f>#REF!/$B$6</f>
        <v>#REF!</v>
      </c>
      <c r="M506" s="742" t="e">
        <f>#REF!/$B$6</f>
        <v>#REF!</v>
      </c>
      <c r="N506" s="742" t="e">
        <f>#REF!/$B$6</f>
        <v>#REF!</v>
      </c>
      <c r="O506" s="742" t="e">
        <f>#REF!/$B$6</f>
        <v>#REF!</v>
      </c>
      <c r="P506" s="742" t="e">
        <f>#REF!/$B$6</f>
        <v>#REF!</v>
      </c>
      <c r="Q506" s="742" t="e">
        <f>#REF!/$B$6</f>
        <v>#REF!</v>
      </c>
      <c r="R506" s="742" t="e">
        <f>#REF!/$B$6</f>
        <v>#REF!</v>
      </c>
      <c r="S506" s="742" t="e">
        <f>#REF!/$B$6</f>
        <v>#REF!</v>
      </c>
      <c r="T506" s="742" t="e">
        <f>#REF!/$B$6</f>
        <v>#REF!</v>
      </c>
      <c r="U506" s="742" t="e">
        <f>#REF!/$B$6</f>
        <v>#REF!</v>
      </c>
      <c r="V506" s="742" t="e">
        <f>#REF!/$B$6</f>
        <v>#REF!</v>
      </c>
      <c r="W506" s="742" t="e">
        <f>#REF!/$B$6</f>
        <v>#REF!</v>
      </c>
      <c r="X506" s="742" t="e">
        <f>#REF!/$B$6</f>
        <v>#REF!</v>
      </c>
      <c r="Y506" s="742" t="e">
        <f>#REF!/$B$6</f>
        <v>#REF!</v>
      </c>
      <c r="Z506" s="742" t="e">
        <f>#REF!/$B$6</f>
        <v>#REF!</v>
      </c>
      <c r="AA506" s="742" t="e">
        <f>#REF!/$B$6</f>
        <v>#REF!</v>
      </c>
    </row>
    <row r="507" spans="1:27">
      <c r="A507" s="760" t="s">
        <v>771</v>
      </c>
      <c r="B507" s="763" t="e">
        <f>SUM(B504:B506)</f>
        <v>#REF!</v>
      </c>
      <c r="C507" s="763" t="e">
        <f t="shared" ref="C507:Z507" si="262">SUM(C504:C506)</f>
        <v>#REF!</v>
      </c>
      <c r="D507" s="763" t="e">
        <f t="shared" si="262"/>
        <v>#REF!</v>
      </c>
      <c r="E507" s="763" t="e">
        <f t="shared" si="262"/>
        <v>#REF!</v>
      </c>
      <c r="F507" s="763" t="e">
        <f t="shared" si="262"/>
        <v>#REF!</v>
      </c>
      <c r="G507" s="763" t="e">
        <f t="shared" si="262"/>
        <v>#REF!</v>
      </c>
      <c r="H507" s="763" t="e">
        <f t="shared" si="262"/>
        <v>#REF!</v>
      </c>
      <c r="I507" s="763" t="e">
        <f t="shared" si="262"/>
        <v>#REF!</v>
      </c>
      <c r="J507" s="763" t="e">
        <f t="shared" si="262"/>
        <v>#REF!</v>
      </c>
      <c r="K507" s="763" t="e">
        <f t="shared" si="262"/>
        <v>#REF!</v>
      </c>
      <c r="L507" s="763" t="e">
        <f t="shared" si="262"/>
        <v>#REF!</v>
      </c>
      <c r="M507" s="763" t="e">
        <f t="shared" si="262"/>
        <v>#REF!</v>
      </c>
      <c r="N507" s="763" t="e">
        <f t="shared" si="262"/>
        <v>#REF!</v>
      </c>
      <c r="O507" s="763" t="e">
        <f t="shared" si="262"/>
        <v>#REF!</v>
      </c>
      <c r="P507" s="763" t="e">
        <f t="shared" si="262"/>
        <v>#REF!</v>
      </c>
      <c r="Q507" s="763" t="e">
        <f t="shared" si="262"/>
        <v>#REF!</v>
      </c>
      <c r="R507" s="763" t="e">
        <f t="shared" si="262"/>
        <v>#REF!</v>
      </c>
      <c r="S507" s="763" t="e">
        <f t="shared" si="262"/>
        <v>#REF!</v>
      </c>
      <c r="T507" s="763" t="e">
        <f t="shared" si="262"/>
        <v>#REF!</v>
      </c>
      <c r="U507" s="763" t="e">
        <f t="shared" si="262"/>
        <v>#REF!</v>
      </c>
      <c r="V507" s="763" t="e">
        <f t="shared" si="262"/>
        <v>#REF!</v>
      </c>
      <c r="W507" s="763" t="e">
        <f t="shared" si="262"/>
        <v>#REF!</v>
      </c>
      <c r="X507" s="763" t="e">
        <f t="shared" si="262"/>
        <v>#REF!</v>
      </c>
      <c r="Y507" s="763" t="e">
        <f t="shared" si="262"/>
        <v>#REF!</v>
      </c>
      <c r="Z507" s="763" t="e">
        <f t="shared" si="262"/>
        <v>#REF!</v>
      </c>
      <c r="AA507" s="763" t="e">
        <f t="shared" ref="AA507" si="263">SUM(AA504:AA506)</f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A907F-152F-6C46-B7D1-D68E64B3D18C}">
  <dimension ref="A1:BN51"/>
  <sheetViews>
    <sheetView zoomScale="80" zoomScaleNormal="80" workbookViewId="0">
      <selection activeCell="AL58" sqref="AL58"/>
    </sheetView>
  </sheetViews>
  <sheetFormatPr baseColWidth="10" defaultColWidth="10.83203125" defaultRowHeight="15"/>
  <cols>
    <col min="1" max="1" width="20.5" style="872" customWidth="1"/>
    <col min="2" max="2" width="11.5" style="872" bestFit="1" customWidth="1"/>
    <col min="3" max="4" width="10.83203125" style="872"/>
    <col min="5" max="5" width="33" style="872" customWidth="1"/>
    <col min="6" max="16384" width="10.83203125" style="872"/>
  </cols>
  <sheetData>
    <row r="1" spans="1:66" s="848" customFormat="1" ht="14" customHeight="1">
      <c r="A1" s="846"/>
      <c r="B1" s="846"/>
      <c r="C1" s="846"/>
      <c r="D1" s="846"/>
      <c r="E1" s="846"/>
      <c r="F1" s="846"/>
      <c r="G1" s="846"/>
      <c r="H1" s="846"/>
      <c r="I1" s="846"/>
      <c r="J1" s="846"/>
      <c r="K1" s="846"/>
      <c r="L1" s="846"/>
      <c r="M1" s="846"/>
      <c r="N1" s="846"/>
      <c r="O1" s="846"/>
      <c r="P1" s="846"/>
      <c r="Q1" s="846"/>
      <c r="R1" s="846"/>
      <c r="S1" s="846"/>
      <c r="T1" s="846"/>
      <c r="U1" s="847"/>
      <c r="V1" s="846"/>
      <c r="W1" s="846"/>
      <c r="X1" s="846"/>
      <c r="Y1" s="846"/>
      <c r="Z1" s="846"/>
      <c r="AA1" s="846"/>
      <c r="AB1" s="846"/>
      <c r="AC1" s="846"/>
      <c r="AD1" s="846"/>
      <c r="AE1" s="846"/>
      <c r="AF1" s="846"/>
      <c r="AG1" s="846"/>
      <c r="AH1" s="846"/>
    </row>
    <row r="2" spans="1:66" s="848" customFormat="1" ht="14" customHeight="1">
      <c r="A2" s="849"/>
      <c r="B2" s="850"/>
      <c r="C2" s="851"/>
      <c r="D2" s="851"/>
      <c r="E2" s="851"/>
      <c r="F2" s="851"/>
      <c r="G2" s="851"/>
      <c r="H2" s="851"/>
      <c r="I2" s="851"/>
      <c r="J2" s="851"/>
      <c r="K2" s="851"/>
      <c r="L2" s="851"/>
      <c r="M2" s="851"/>
      <c r="N2" s="851"/>
      <c r="O2" s="851"/>
      <c r="P2" s="851"/>
      <c r="Q2" s="851"/>
      <c r="R2" s="852"/>
      <c r="S2" s="852"/>
      <c r="T2" s="846"/>
      <c r="U2" s="852"/>
      <c r="V2" s="846"/>
      <c r="W2" s="853"/>
      <c r="X2" s="846"/>
      <c r="Y2" s="846"/>
      <c r="Z2" s="846"/>
      <c r="AA2" s="846"/>
      <c r="AB2" s="846"/>
      <c r="AC2" s="846"/>
      <c r="AD2" s="846"/>
      <c r="AE2" s="846"/>
      <c r="AF2" s="846"/>
      <c r="AG2" s="846"/>
      <c r="AH2" s="846"/>
    </row>
    <row r="3" spans="1:66" s="848" customFormat="1" ht="14" customHeight="1">
      <c r="A3" s="849"/>
      <c r="B3" s="850"/>
      <c r="C3" s="851"/>
      <c r="D3" s="851"/>
      <c r="E3" s="851"/>
      <c r="F3" s="851"/>
      <c r="G3" s="851"/>
      <c r="H3" s="851"/>
      <c r="I3" s="851"/>
      <c r="J3" s="851"/>
      <c r="K3" s="851"/>
      <c r="L3" s="851"/>
      <c r="M3" s="851"/>
      <c r="N3" s="851"/>
      <c r="O3" s="851"/>
      <c r="P3" s="851"/>
      <c r="Q3" s="851"/>
      <c r="R3" s="852"/>
      <c r="S3" s="852"/>
      <c r="T3" s="846"/>
      <c r="U3" s="852"/>
      <c r="V3" s="846"/>
      <c r="W3" s="853"/>
      <c r="X3" s="846"/>
      <c r="Y3" s="846"/>
      <c r="Z3" s="846"/>
      <c r="AA3" s="846"/>
      <c r="AB3" s="846"/>
      <c r="AC3" s="846"/>
      <c r="AD3" s="846"/>
      <c r="AE3" s="846"/>
      <c r="AF3" s="846"/>
      <c r="AG3" s="846"/>
      <c r="AH3" s="846"/>
    </row>
    <row r="4" spans="1:66" s="848" customFormat="1" ht="14" customHeight="1">
      <c r="A4" s="849"/>
      <c r="B4" s="850"/>
      <c r="C4" s="851"/>
      <c r="D4" s="851"/>
      <c r="E4" s="851"/>
      <c r="F4" s="851"/>
      <c r="G4" s="851"/>
      <c r="H4" s="851"/>
      <c r="I4" s="851"/>
      <c r="J4" s="851"/>
      <c r="K4" s="851"/>
      <c r="L4" s="851"/>
      <c r="M4" s="851"/>
      <c r="N4" s="851"/>
      <c r="O4" s="851"/>
      <c r="P4" s="851"/>
      <c r="Q4" s="851"/>
      <c r="R4" s="852"/>
      <c r="S4" s="852"/>
      <c r="T4" s="846"/>
      <c r="U4" s="852"/>
      <c r="V4" s="846"/>
      <c r="W4" s="853"/>
      <c r="X4" s="846"/>
      <c r="Y4" s="846"/>
      <c r="Z4" s="846"/>
      <c r="AA4" s="846"/>
      <c r="AB4" s="846"/>
      <c r="AC4" s="846"/>
      <c r="AD4" s="846"/>
      <c r="AE4" s="846"/>
      <c r="AF4" s="846"/>
      <c r="AG4" s="846"/>
      <c r="AH4" s="846"/>
    </row>
    <row r="5" spans="1:66" s="848" customFormat="1" ht="14" customHeight="1">
      <c r="A5" s="849"/>
      <c r="B5" s="850"/>
      <c r="C5" s="851"/>
      <c r="D5" s="851"/>
      <c r="E5" s="851"/>
      <c r="F5" s="851"/>
      <c r="G5" s="851"/>
      <c r="H5" s="851"/>
      <c r="I5" s="851"/>
      <c r="J5" s="851"/>
      <c r="K5" s="851"/>
      <c r="L5" s="851"/>
      <c r="M5" s="851"/>
      <c r="N5" s="851"/>
      <c r="O5" s="851"/>
      <c r="P5" s="851"/>
      <c r="Q5" s="851"/>
      <c r="R5" s="852"/>
      <c r="S5" s="852"/>
      <c r="T5" s="846"/>
      <c r="U5" s="852"/>
      <c r="V5" s="846"/>
      <c r="W5" s="853"/>
      <c r="X5" s="846"/>
      <c r="Y5" s="846"/>
      <c r="Z5" s="846"/>
      <c r="AA5" s="846"/>
      <c r="AB5" s="846"/>
      <c r="AC5" s="846"/>
      <c r="AD5" s="846"/>
      <c r="AE5" s="846"/>
      <c r="AF5" s="846"/>
      <c r="AG5" s="846"/>
      <c r="AH5" s="846"/>
    </row>
    <row r="6" spans="1:66" s="848" customFormat="1" ht="14" customHeight="1">
      <c r="A6" s="849"/>
      <c r="B6" s="850"/>
      <c r="C6" s="851"/>
      <c r="D6" s="851"/>
      <c r="E6" s="851"/>
      <c r="F6" s="851"/>
      <c r="G6" s="851"/>
      <c r="H6" s="851"/>
      <c r="I6" s="851"/>
      <c r="J6" s="851"/>
      <c r="K6" s="851"/>
      <c r="L6" s="851"/>
      <c r="M6" s="851"/>
      <c r="N6" s="851"/>
      <c r="O6" s="851"/>
      <c r="P6" s="854"/>
      <c r="Q6" s="854"/>
      <c r="R6" s="855"/>
      <c r="S6" s="852"/>
      <c r="T6" s="852"/>
      <c r="U6" s="856"/>
      <c r="V6" s="846"/>
      <c r="W6" s="846"/>
      <c r="X6" s="846"/>
      <c r="Y6" s="846"/>
      <c r="Z6" s="846"/>
      <c r="AA6" s="846"/>
      <c r="AB6" s="846"/>
      <c r="AC6" s="846"/>
      <c r="AD6" s="846"/>
      <c r="AE6" s="846"/>
      <c r="AF6" s="846"/>
      <c r="AG6" s="846"/>
      <c r="AH6" s="846"/>
    </row>
    <row r="7" spans="1:66" s="848" customFormat="1" ht="14" customHeight="1">
      <c r="A7" s="849"/>
      <c r="B7" s="850"/>
      <c r="C7" s="851"/>
      <c r="D7" s="851"/>
      <c r="E7" s="851"/>
      <c r="F7" s="851"/>
      <c r="G7" s="846"/>
      <c r="H7" s="846"/>
      <c r="I7" s="846"/>
      <c r="J7" s="846"/>
      <c r="K7" s="846"/>
      <c r="L7" s="846"/>
      <c r="M7" s="846"/>
      <c r="N7" s="846"/>
      <c r="O7" s="853"/>
      <c r="P7" s="853"/>
      <c r="Q7" s="857"/>
      <c r="R7" s="846"/>
      <c r="S7" s="853"/>
      <c r="T7" s="858"/>
      <c r="U7" s="858"/>
      <c r="V7" s="846"/>
      <c r="W7" s="846"/>
      <c r="X7" s="846"/>
      <c r="Y7" s="846"/>
      <c r="Z7" s="846"/>
      <c r="AA7" s="846"/>
      <c r="AB7" s="846"/>
      <c r="AC7" s="846"/>
      <c r="AD7" s="846"/>
      <c r="AE7" s="846"/>
      <c r="AF7" s="846"/>
      <c r="AG7" s="846"/>
      <c r="AH7" s="846"/>
    </row>
    <row r="8" spans="1:66" s="848" customFormat="1" ht="14" customHeight="1">
      <c r="A8" s="849"/>
      <c r="B8" s="850"/>
      <c r="C8" s="851"/>
      <c r="D8" s="851"/>
      <c r="E8" s="851"/>
      <c r="F8" s="851"/>
      <c r="G8" s="846"/>
      <c r="H8" s="846"/>
      <c r="I8" s="846"/>
      <c r="J8" s="846"/>
      <c r="K8" s="846"/>
      <c r="L8" s="846"/>
      <c r="M8" s="846"/>
      <c r="N8" s="846"/>
      <c r="O8" s="853"/>
      <c r="P8" s="853"/>
      <c r="Q8" s="857"/>
      <c r="R8" s="846"/>
      <c r="S8" s="853"/>
      <c r="T8" s="858"/>
      <c r="U8" s="858"/>
      <c r="V8" s="846"/>
      <c r="W8" s="846"/>
      <c r="X8" s="846"/>
      <c r="Y8" s="846"/>
      <c r="Z8" s="846"/>
      <c r="AA8" s="846"/>
      <c r="AB8" s="846"/>
      <c r="AC8" s="846"/>
      <c r="AD8" s="846"/>
      <c r="AE8" s="846"/>
      <c r="AF8" s="846"/>
      <c r="AG8" s="846"/>
      <c r="AH8" s="846"/>
    </row>
    <row r="9" spans="1:66" s="848" customFormat="1" ht="14" customHeight="1">
      <c r="A9" s="849"/>
      <c r="B9" s="850"/>
      <c r="C9" s="851"/>
      <c r="D9" s="851"/>
      <c r="E9" s="851"/>
      <c r="F9" s="851"/>
      <c r="G9" s="846"/>
      <c r="H9" s="846"/>
      <c r="I9" s="846"/>
      <c r="J9" s="846"/>
      <c r="K9" s="846"/>
      <c r="L9" s="846"/>
      <c r="M9" s="846"/>
      <c r="N9" s="846"/>
      <c r="O9" s="853"/>
      <c r="P9" s="853"/>
      <c r="Q9" s="857"/>
      <c r="R9" s="846"/>
      <c r="S9" s="853"/>
      <c r="T9" s="858"/>
      <c r="U9" s="858"/>
      <c r="V9" s="846"/>
      <c r="W9" s="846"/>
      <c r="X9" s="846"/>
      <c r="Y9" s="846"/>
      <c r="Z9" s="846"/>
      <c r="AA9" s="846"/>
      <c r="AB9" s="846"/>
      <c r="AC9" s="846"/>
      <c r="AD9" s="846"/>
      <c r="AE9" s="846"/>
      <c r="AF9" s="846"/>
      <c r="AG9" s="846"/>
      <c r="AH9" s="846"/>
    </row>
    <row r="10" spans="1:66" s="862" customFormat="1" ht="16" thickBot="1">
      <c r="A10" s="864"/>
      <c r="B10" s="864"/>
      <c r="C10" s="864"/>
      <c r="D10" s="864"/>
      <c r="E10" s="864"/>
      <c r="F10" s="864"/>
      <c r="G10" s="865"/>
      <c r="H10" s="864"/>
      <c r="I10" s="864"/>
      <c r="J10" s="864"/>
      <c r="K10" s="864"/>
      <c r="L10" s="864"/>
      <c r="M10" s="864"/>
      <c r="N10" s="864"/>
      <c r="O10" s="864"/>
      <c r="P10" s="865"/>
      <c r="Q10" s="865"/>
      <c r="R10" s="865"/>
      <c r="S10" s="865"/>
      <c r="T10" s="864"/>
      <c r="U10" s="864"/>
      <c r="V10" s="864"/>
      <c r="W10" s="864"/>
      <c r="X10" s="864"/>
      <c r="Y10" s="864"/>
      <c r="Z10" s="864"/>
      <c r="AA10" s="864"/>
      <c r="AB10" s="864"/>
      <c r="AC10" s="864"/>
      <c r="AD10" s="864"/>
      <c r="AE10" s="864"/>
      <c r="AF10" s="864"/>
      <c r="AG10" s="864"/>
      <c r="AH10" s="864"/>
      <c r="AS10" s="866"/>
      <c r="AT10" s="866"/>
      <c r="AU10" s="866"/>
      <c r="AV10" s="866"/>
      <c r="AW10" s="866"/>
      <c r="AX10" s="866"/>
      <c r="AY10" s="866"/>
      <c r="AZ10" s="866"/>
      <c r="BA10" s="866"/>
      <c r="BB10" s="866"/>
      <c r="BC10" s="866"/>
      <c r="BD10" s="866"/>
      <c r="BE10" s="866"/>
      <c r="BF10" s="866"/>
      <c r="BG10" s="866"/>
      <c r="BH10" s="866"/>
      <c r="BI10" s="866"/>
      <c r="BJ10" s="866"/>
      <c r="BK10" s="866"/>
      <c r="BL10" s="866"/>
      <c r="BM10" s="866"/>
      <c r="BN10" s="866"/>
    </row>
    <row r="11" spans="1:66" s="862" customFormat="1">
      <c r="A11" s="867"/>
      <c r="B11" s="867"/>
      <c r="C11" s="867"/>
      <c r="D11" s="867"/>
      <c r="E11" s="867"/>
      <c r="F11" s="867"/>
      <c r="G11" s="867"/>
      <c r="H11" s="867"/>
      <c r="I11" s="867"/>
      <c r="J11" s="867"/>
      <c r="K11" s="867"/>
      <c r="L11" s="867"/>
      <c r="M11" s="867"/>
      <c r="N11" s="867"/>
      <c r="O11" s="867"/>
      <c r="P11" s="867"/>
      <c r="Q11" s="867"/>
      <c r="R11" s="867"/>
      <c r="S11" s="867"/>
      <c r="T11" s="867"/>
      <c r="U11" s="867"/>
      <c r="V11" s="867"/>
      <c r="W11" s="867"/>
      <c r="X11" s="867"/>
      <c r="Y11" s="867"/>
      <c r="Z11" s="867"/>
      <c r="AA11" s="867"/>
      <c r="AB11" s="867"/>
      <c r="AC11" s="867"/>
      <c r="AD11" s="867"/>
      <c r="AE11" s="867"/>
      <c r="AF11" s="867"/>
      <c r="AG11" s="867"/>
      <c r="AH11" s="867"/>
      <c r="AS11" s="866"/>
      <c r="AT11" s="866"/>
      <c r="AU11" s="866"/>
      <c r="AV11" s="866"/>
      <c r="AW11" s="866"/>
      <c r="AX11" s="866"/>
      <c r="AY11" s="866"/>
      <c r="AZ11" s="866"/>
      <c r="BA11" s="866"/>
      <c r="BB11" s="866"/>
      <c r="BC11" s="866"/>
      <c r="BD11" s="866"/>
      <c r="BE11" s="866"/>
      <c r="BF11" s="866"/>
      <c r="BG11" s="866"/>
      <c r="BH11" s="866"/>
      <c r="BI11" s="866"/>
      <c r="BJ11" s="866"/>
      <c r="BK11" s="866"/>
      <c r="BL11" s="866"/>
      <c r="BM11" s="866"/>
      <c r="BN11" s="866"/>
    </row>
    <row r="12" spans="1:66" s="862" customFormat="1" ht="16" thickBot="1">
      <c r="A12" s="868"/>
      <c r="B12" s="868"/>
      <c r="C12" s="868"/>
      <c r="D12" s="868"/>
      <c r="E12" s="868"/>
      <c r="F12" s="868"/>
      <c r="G12" s="868"/>
      <c r="H12" s="868"/>
      <c r="I12" s="868"/>
      <c r="J12" s="868"/>
      <c r="K12" s="868"/>
      <c r="L12" s="868"/>
      <c r="M12" s="868"/>
      <c r="N12" s="868"/>
      <c r="O12" s="868"/>
      <c r="P12" s="868"/>
      <c r="Q12" s="868"/>
      <c r="R12" s="868"/>
      <c r="S12" s="868"/>
      <c r="T12" s="868"/>
      <c r="U12" s="868"/>
      <c r="V12" s="868"/>
      <c r="W12" s="868"/>
      <c r="X12" s="868"/>
      <c r="Y12" s="868"/>
      <c r="Z12" s="868"/>
      <c r="AA12" s="868"/>
      <c r="AB12" s="868"/>
      <c r="AC12" s="868"/>
      <c r="AD12" s="868"/>
      <c r="AE12" s="868"/>
      <c r="AF12" s="868"/>
      <c r="AG12" s="868"/>
      <c r="AH12" s="868"/>
      <c r="AS12" s="866"/>
      <c r="AT12" s="866"/>
      <c r="AU12" s="866"/>
      <c r="AV12" s="866"/>
      <c r="AW12" s="866"/>
      <c r="AX12" s="866"/>
      <c r="AY12" s="866"/>
      <c r="AZ12" s="866"/>
      <c r="BA12" s="866"/>
      <c r="BB12" s="866"/>
      <c r="BC12" s="866"/>
      <c r="BD12" s="866"/>
      <c r="BE12" s="866"/>
      <c r="BF12" s="866"/>
      <c r="BG12" s="866"/>
      <c r="BH12" s="866"/>
      <c r="BI12" s="866"/>
      <c r="BJ12" s="866"/>
      <c r="BK12" s="866"/>
      <c r="BL12" s="866"/>
      <c r="BM12" s="866"/>
      <c r="BN12" s="866"/>
    </row>
    <row r="13" spans="1:66" s="869" customFormat="1">
      <c r="AI13" s="862"/>
      <c r="AJ13" s="862"/>
      <c r="AK13" s="862"/>
      <c r="AL13" s="862"/>
      <c r="AM13" s="862"/>
      <c r="AN13" s="862"/>
      <c r="AO13" s="862"/>
      <c r="AP13" s="862"/>
      <c r="AQ13" s="862"/>
      <c r="AR13" s="862"/>
    </row>
    <row r="14" spans="1:66" s="869" customFormat="1">
      <c r="AI14" s="862"/>
      <c r="AJ14" s="862"/>
      <c r="AK14" s="862"/>
      <c r="AL14" s="862"/>
      <c r="AM14" s="862"/>
      <c r="AN14" s="862"/>
      <c r="AO14" s="862"/>
      <c r="AP14" s="862"/>
      <c r="AQ14" s="862"/>
      <c r="AR14" s="862"/>
    </row>
    <row r="15" spans="1:66" s="886" customFormat="1" ht="16">
      <c r="A15" s="870" t="str">
        <f>Summary!A67</f>
        <v>Region</v>
      </c>
      <c r="B15" s="870" t="str">
        <f>Summary!B67</f>
        <v>Country</v>
      </c>
      <c r="C15" s="870" t="s">
        <v>890</v>
      </c>
      <c r="D15" s="870" t="s">
        <v>891</v>
      </c>
      <c r="E15" s="870" t="s">
        <v>892</v>
      </c>
      <c r="F15" s="870"/>
      <c r="G15" s="871">
        <f>Summary!G67</f>
        <v>2003</v>
      </c>
      <c r="H15" s="871">
        <f>Summary!H67</f>
        <v>2004</v>
      </c>
      <c r="I15" s="871">
        <f>Summary!I67</f>
        <v>2005</v>
      </c>
      <c r="J15" s="871">
        <f>Summary!J67</f>
        <v>2006</v>
      </c>
      <c r="K15" s="871">
        <f>Summary!K67</f>
        <v>2007</v>
      </c>
      <c r="L15" s="871">
        <f>Summary!L67</f>
        <v>2008</v>
      </c>
      <c r="M15" s="871">
        <f>Summary!M67</f>
        <v>2009</v>
      </c>
      <c r="N15" s="871">
        <f>Summary!N67</f>
        <v>2010</v>
      </c>
      <c r="O15" s="871">
        <f>Summary!O67</f>
        <v>2011</v>
      </c>
      <c r="P15" s="871">
        <f>Summary!P67</f>
        <v>2012</v>
      </c>
      <c r="Q15" s="871">
        <f>Summary!Q67</f>
        <v>2013</v>
      </c>
      <c r="R15" s="871">
        <f>Summary!R67</f>
        <v>2014</v>
      </c>
      <c r="S15" s="871">
        <f>Summary!S67</f>
        <v>2015</v>
      </c>
      <c r="T15" s="871">
        <f>Summary!T67</f>
        <v>2016</v>
      </c>
      <c r="U15" s="871">
        <f>Summary!U67</f>
        <v>2017</v>
      </c>
      <c r="V15" s="871">
        <f>Summary!V67</f>
        <v>2018</v>
      </c>
      <c r="W15" s="871">
        <f>Summary!W67</f>
        <v>2019</v>
      </c>
      <c r="X15" s="871">
        <f>Summary!X67</f>
        <v>2020</v>
      </c>
      <c r="Y15" s="871">
        <f>Summary!Y67</f>
        <v>2021</v>
      </c>
      <c r="Z15" s="871">
        <f>Summary!Z67</f>
        <v>2022</v>
      </c>
      <c r="AA15" s="871">
        <f>Summary!AA67</f>
        <v>2023</v>
      </c>
      <c r="AB15" s="871">
        <f>Summary!AB67</f>
        <v>2024</v>
      </c>
      <c r="AC15" s="871">
        <f>Summary!AC67</f>
        <v>2025</v>
      </c>
      <c r="AD15" s="871">
        <f>Summary!AD67</f>
        <v>2026</v>
      </c>
      <c r="AE15" s="871">
        <f>Summary!AE67</f>
        <v>2027</v>
      </c>
      <c r="AF15" s="871">
        <f>Summary!AF67</f>
        <v>2028</v>
      </c>
      <c r="AG15" s="871">
        <f>Summary!AG67</f>
        <v>2029</v>
      </c>
      <c r="AH15" s="871">
        <f>Summary!AH67</f>
        <v>2030</v>
      </c>
      <c r="AI15" s="862"/>
      <c r="AJ15" s="862"/>
      <c r="AK15" s="862"/>
      <c r="AL15" s="862"/>
      <c r="AM15" s="862"/>
      <c r="AN15" s="862"/>
      <c r="AO15" s="862"/>
      <c r="AP15" s="862"/>
      <c r="AQ15" s="862"/>
      <c r="AR15" s="862"/>
    </row>
    <row r="16" spans="1:66">
      <c r="A16" s="873"/>
      <c r="B16" s="873"/>
      <c r="G16" s="874"/>
      <c r="H16" s="874"/>
      <c r="I16" s="874"/>
      <c r="J16" s="874"/>
      <c r="K16" s="874"/>
      <c r="L16" s="874"/>
      <c r="M16" s="874"/>
      <c r="N16" s="874"/>
      <c r="O16" s="874"/>
      <c r="P16" s="874"/>
      <c r="Q16" s="874"/>
      <c r="R16" s="874"/>
      <c r="S16" s="874"/>
      <c r="T16" s="874"/>
      <c r="U16" s="874"/>
      <c r="V16" s="874"/>
      <c r="W16" s="874"/>
      <c r="X16" s="874"/>
      <c r="Y16" s="874"/>
      <c r="Z16" s="874"/>
      <c r="AA16" s="874"/>
      <c r="AB16" s="874"/>
      <c r="AC16" s="874"/>
      <c r="AD16" s="874"/>
      <c r="AE16" s="874"/>
      <c r="AF16" s="874"/>
      <c r="AG16" s="874"/>
      <c r="AH16" s="874"/>
      <c r="AI16" s="862"/>
      <c r="AJ16" s="862"/>
      <c r="AK16" s="862"/>
      <c r="AL16" s="862"/>
      <c r="AM16" s="862"/>
      <c r="AN16" s="862"/>
      <c r="AO16" s="862"/>
      <c r="AP16" s="862"/>
      <c r="AQ16" s="862"/>
      <c r="AR16" s="862"/>
    </row>
    <row r="17" spans="1:44">
      <c r="A17" s="873" t="str">
        <f>Summary!A$68</f>
        <v>Europe</v>
      </c>
      <c r="B17" s="873" t="str">
        <f>Summary!B$68</f>
        <v>Italy</v>
      </c>
      <c r="C17" s="872" t="s">
        <v>893</v>
      </c>
      <c r="D17" s="872" t="s">
        <v>900</v>
      </c>
      <c r="E17" s="872" t="s">
        <v>583</v>
      </c>
      <c r="G17" s="887">
        <f>'Overview (LC)'!G19/Summary!G$18</f>
        <v>1317.6085443743816</v>
      </c>
      <c r="H17" s="887">
        <f>'Overview (LC)'!H19/Summary!H$18</f>
        <v>1335.3899029606598</v>
      </c>
      <c r="I17" s="887">
        <f>'Overview (LC)'!I19/Summary!I$18</f>
        <v>1328.4023065509689</v>
      </c>
      <c r="J17" s="887">
        <f>'Overview (LC)'!J19/Summary!J$18</f>
        <v>1564.2094871387021</v>
      </c>
      <c r="K17" s="887">
        <f>'Overview (LC)'!K19/Summary!K$18</f>
        <v>1506.213730910885</v>
      </c>
      <c r="L17" s="887">
        <f>'Overview (LC)'!L19/Summary!L$18</f>
        <v>1557.8682199355528</v>
      </c>
      <c r="M17" s="887">
        <f>'Overview (LC)'!M19/Summary!M$18</f>
        <v>1329.9451544665585</v>
      </c>
      <c r="N17" s="887">
        <f>'Overview (LC)'!N19/Summary!N$18</f>
        <v>1266.330696959669</v>
      </c>
      <c r="O17" s="887">
        <f>'Overview (LC)'!O19/Summary!O$18</f>
        <v>1092.0062328155623</v>
      </c>
      <c r="P17" s="887">
        <f>'Overview (LC)'!P19/Summary!P$18</f>
        <v>814.00028532524573</v>
      </c>
      <c r="Q17" s="887">
        <f>'Overview (LC)'!Q19/Summary!Q$18</f>
        <v>818.80005469646096</v>
      </c>
      <c r="R17" s="887">
        <f>'Overview (LC)'!R19/Summary!R$18</f>
        <v>959.00027240706982</v>
      </c>
      <c r="S17" s="887">
        <f>'Overview (LC)'!S19/Summary!S$18</f>
        <v>854.99996212355757</v>
      </c>
      <c r="T17" s="887">
        <f>'Overview (LC)'!T19/Summary!T$18</f>
        <v>924.00004778610526</v>
      </c>
      <c r="U17" s="887">
        <f>'Overview (LC)'!U19/Summary!U$18</f>
        <v>1148.0003752229015</v>
      </c>
      <c r="V17" s="887">
        <f>'Overview (LC)'!V19/Summary!V$18</f>
        <v>1217.1793540396725</v>
      </c>
      <c r="W17" s="887">
        <f>'Overview (LC)'!W19/Summary!W$18</f>
        <v>1256.2501018609676</v>
      </c>
      <c r="X17" s="887">
        <f>'Overview (LC)'!X19/Summary!X$18</f>
        <v>805.6608831624593</v>
      </c>
      <c r="Y17" s="887">
        <f>'Overview (LC)'!Y19/Summary!Y$18</f>
        <v>594.12550967267191</v>
      </c>
      <c r="Z17" s="887">
        <f>'Overview (LC)'!Z19/Summary!Z$18</f>
        <v>1298.4334204638967</v>
      </c>
      <c r="AA17" s="887">
        <f>'Overview (LC)'!AA19/Summary!AA$18</f>
        <v>1417.1432514539988</v>
      </c>
      <c r="AB17" s="887">
        <f>'Overview (LC)'!AB19/Summary!AB$18</f>
        <v>1490.3882190263362</v>
      </c>
      <c r="AC17" s="887">
        <f>'Overview (LC)'!AC19/Summary!AC$18</f>
        <v>1647.003660786876</v>
      </c>
      <c r="AD17" s="887">
        <f>'Overview (LC)'!AD19/Summary!AD$18</f>
        <v>1656.5541669034224</v>
      </c>
      <c r="AE17" s="887">
        <f>'Overview (LC)'!AE19/Summary!AE$18</f>
        <v>1710.3388528832506</v>
      </c>
      <c r="AF17" s="887">
        <f>'Overview (LC)'!AF19/Summary!AF$18</f>
        <v>1760.3590952298662</v>
      </c>
      <c r="AG17" s="887">
        <f>'Overview (LC)'!AG19/Summary!AG$18</f>
        <v>1804.2207171694899</v>
      </c>
      <c r="AH17" s="887">
        <f>'Overview (LC)'!AH19/Summary!AH$18</f>
        <v>1944.1652378811903</v>
      </c>
      <c r="AI17" s="862"/>
      <c r="AJ17" s="862"/>
      <c r="AK17" s="862"/>
      <c r="AL17" s="862"/>
      <c r="AM17" s="862"/>
      <c r="AN17" s="862"/>
      <c r="AO17" s="862"/>
      <c r="AP17" s="862"/>
      <c r="AQ17" s="862"/>
      <c r="AR17" s="862"/>
    </row>
    <row r="18" spans="1:44">
      <c r="A18" s="873" t="str">
        <f>Summary!A$68</f>
        <v>Europe</v>
      </c>
      <c r="B18" s="873" t="str">
        <f>Summary!B$68</f>
        <v>Italy</v>
      </c>
      <c r="C18" s="872" t="s">
        <v>893</v>
      </c>
      <c r="D18" s="872" t="str">
        <f>$D$17</f>
        <v>EUR (m)</v>
      </c>
      <c r="E18" s="872" t="s">
        <v>584</v>
      </c>
      <c r="G18" s="887">
        <f>'Overview (LC)'!G20/Summary!G$18</f>
        <v>1159.7593369620947</v>
      </c>
      <c r="H18" s="887">
        <f>'Overview (LC)'!H20/Summary!H$18</f>
        <v>2340.8989685095721</v>
      </c>
      <c r="I18" s="887">
        <f>'Overview (LC)'!I20/Summary!I$18</f>
        <v>4017.2613088375683</v>
      </c>
      <c r="J18" s="887">
        <f>'Overview (LC)'!J20/Summary!J$18</f>
        <v>5155.6088241688494</v>
      </c>
      <c r="K18" s="887">
        <f>'Overview (LC)'!K20/Summary!K$18</f>
        <v>5994.4029095553042</v>
      </c>
      <c r="L18" s="887">
        <f>'Overview (LC)'!L20/Summary!L$18</f>
        <v>6637.8443388607866</v>
      </c>
      <c r="M18" s="887">
        <f>'Overview (LC)'!M20/Summary!M$18</f>
        <v>7177.7778765046296</v>
      </c>
      <c r="N18" s="887">
        <f>'Overview (LC)'!N20/Summary!N$18</f>
        <v>8760.2163257903758</v>
      </c>
      <c r="O18" s="887">
        <f>'Overview (LC)'!O20/Summary!O$18</f>
        <v>10091.264564770867</v>
      </c>
      <c r="P18" s="887">
        <f>'Overview (LC)'!P20/Summary!P$18</f>
        <v>11166.229765355245</v>
      </c>
      <c r="Q18" s="887">
        <f>'Overview (LC)'!Q20/Summary!Q$18</f>
        <v>10307.000688515416</v>
      </c>
      <c r="R18" s="887">
        <f>'Overview (LC)'!R20/Summary!R$18</f>
        <v>10087.630928669576</v>
      </c>
      <c r="S18" s="887">
        <f>'Overview (LC)'!S20/Summary!S$18</f>
        <v>10323.999542647496</v>
      </c>
      <c r="T18" s="887">
        <f>'Overview (LC)'!T20/Summary!T$18</f>
        <v>11251.304332514808</v>
      </c>
      <c r="U18" s="887">
        <f>'Overview (LC)'!U20/Summary!U$18</f>
        <v>11310.291971622508</v>
      </c>
      <c r="V18" s="887">
        <f>'Overview (LC)'!V20/Summary!V$18</f>
        <v>11044.680734206333</v>
      </c>
      <c r="W18" s="887">
        <f>'Overview (LC)'!W20/Summary!W$18</f>
        <v>11075.540649041443</v>
      </c>
      <c r="X18" s="887">
        <f>'Overview (LC)'!X20/Summary!X$18</f>
        <v>5168.6406220456192</v>
      </c>
      <c r="Y18" s="887">
        <f>'Overview (LC)'!Y20/Summary!Y$18</f>
        <v>5027.2547405613705</v>
      </c>
      <c r="Z18" s="887">
        <f>'Overview (LC)'!Z20/Summary!Z$18</f>
        <v>9206.4835911609025</v>
      </c>
      <c r="AA18" s="887">
        <f>'Overview (LC)'!AA20/Summary!AA$18</f>
        <v>9161.2145712650654</v>
      </c>
      <c r="AB18" s="887">
        <f>'Overview (LC)'!AB20/Summary!AB$18</f>
        <v>8769.6653251955031</v>
      </c>
      <c r="AC18" s="887">
        <f>'Overview (LC)'!AC20/Summary!AC$18</f>
        <v>8323.4647411687656</v>
      </c>
      <c r="AD18" s="887">
        <f>'Overview (LC)'!AD20/Summary!AD$18</f>
        <v>8012.7235908191169</v>
      </c>
      <c r="AE18" s="887">
        <f>'Overview (LC)'!AE20/Summary!AE$18</f>
        <v>7777.2367125876517</v>
      </c>
      <c r="AF18" s="887">
        <f>'Overview (LC)'!AF20/Summary!AF$18</f>
        <v>7622.8974074562875</v>
      </c>
      <c r="AG18" s="887">
        <f>'Overview (LC)'!AG20/Summary!AG$18</f>
        <v>7526.2714317903783</v>
      </c>
      <c r="AH18" s="887">
        <f>'Overview (LC)'!AH20/Summary!AH$18</f>
        <v>7474.5561967718495</v>
      </c>
      <c r="AI18" s="862"/>
      <c r="AJ18" s="862"/>
      <c r="AK18" s="862"/>
      <c r="AL18" s="862"/>
      <c r="AM18" s="862"/>
      <c r="AN18" s="862"/>
      <c r="AO18" s="862"/>
      <c r="AP18" s="862"/>
      <c r="AQ18" s="862"/>
      <c r="AR18" s="862"/>
    </row>
    <row r="19" spans="1:44">
      <c r="A19" s="873" t="str">
        <f>Summary!A$68</f>
        <v>Europe</v>
      </c>
      <c r="B19" s="873" t="str">
        <f>Summary!B$68</f>
        <v>Italy</v>
      </c>
      <c r="C19" s="872" t="s">
        <v>893</v>
      </c>
      <c r="D19" s="872" t="str">
        <f>$D$17</f>
        <v>EUR (m)</v>
      </c>
      <c r="E19" s="872" t="s">
        <v>586</v>
      </c>
      <c r="G19" s="887">
        <f>'Overview (LC)'!G21/Summary!G$18</f>
        <v>4837.5837740031347</v>
      </c>
      <c r="H19" s="887">
        <f>'Overview (LC)'!H21/Summary!H$18</f>
        <v>6972.3122436300882</v>
      </c>
      <c r="I19" s="887">
        <f>'Overview (LC)'!I21/Summary!I$18</f>
        <v>5157.7048841017286</v>
      </c>
      <c r="J19" s="887">
        <f>'Overview (LC)'!J21/Summary!J$18</f>
        <v>5547.2056034456646</v>
      </c>
      <c r="K19" s="887">
        <f>'Overview (LC)'!K21/Summary!K$18</f>
        <v>6356.9977831065926</v>
      </c>
      <c r="L19" s="887">
        <f>'Overview (LC)'!L21/Summary!L$18</f>
        <v>6961.9982577403571</v>
      </c>
      <c r="M19" s="887">
        <f>'Overview (LC)'!M21/Summary!M$18</f>
        <v>7541.1888892507513</v>
      </c>
      <c r="N19" s="887">
        <f>'Overview (LC)'!N21/Summary!N$18</f>
        <v>6878.4307152817537</v>
      </c>
      <c r="O19" s="887">
        <f>'Overview (LC)'!O21/Summary!O$18</f>
        <v>6978.4118595559812</v>
      </c>
      <c r="P19" s="887">
        <f>'Overview (LC)'!P21/Summary!P$18</f>
        <v>5923.0020761442629</v>
      </c>
      <c r="Q19" s="887">
        <f>'Overview (LC)'!Q21/Summary!Q$18</f>
        <v>5644.0003770234807</v>
      </c>
      <c r="R19" s="887">
        <f>'Overview (LC)'!R21/Summary!R$18</f>
        <v>5419.0015392845789</v>
      </c>
      <c r="S19" s="887">
        <f>'Overview (LC)'!S21/Summary!S$18</f>
        <v>5400.9997607360638</v>
      </c>
      <c r="T19" s="887">
        <f>'Overview (LC)'!T21/Summary!T$18</f>
        <v>6199.0003205909816</v>
      </c>
      <c r="U19" s="887">
        <f>'Overview (LC)'!U21/Summary!U$18</f>
        <v>5442.101778746126</v>
      </c>
      <c r="V19" s="887">
        <f>'Overview (LC)'!V21/Summary!V$18</f>
        <v>5344.4702895322034</v>
      </c>
      <c r="W19" s="887">
        <f>'Overview (LC)'!W21/Summary!W$18</f>
        <v>5496.1503922707434</v>
      </c>
      <c r="X19" s="887">
        <f>'Overview (LC)'!X21/Summary!X$18</f>
        <v>4469.5516552728159</v>
      </c>
      <c r="Y19" s="887">
        <f>'Overview (LC)'!Y21/Summary!Y$18</f>
        <v>6219.5907773505269</v>
      </c>
      <c r="Z19" s="887">
        <f>'Overview (LC)'!Z21/Summary!Z$18</f>
        <v>6076.8587157392176</v>
      </c>
      <c r="AA19" s="887">
        <f>'Overview (LC)'!AA21/Summary!AA$18</f>
        <v>5824.6876422287623</v>
      </c>
      <c r="AB19" s="887">
        <f>'Overview (LC)'!AB21/Summary!AB$18</f>
        <v>6345.919374111204</v>
      </c>
      <c r="AC19" s="887">
        <f>'Overview (LC)'!AC21/Summary!AC$18</f>
        <v>6502.1393183113414</v>
      </c>
      <c r="AD19" s="887">
        <f>'Overview (LC)'!AD21/Summary!AD$18</f>
        <v>6676.8385102705142</v>
      </c>
      <c r="AE19" s="887">
        <f>'Overview (LC)'!AE21/Summary!AE$18</f>
        <v>6877.6641857094819</v>
      </c>
      <c r="AF19" s="887">
        <f>'Overview (LC)'!AF21/Summary!AF$18</f>
        <v>7080.1398833213007</v>
      </c>
      <c r="AG19" s="887">
        <f>'Overview (LC)'!AG21/Summary!AG$18</f>
        <v>7293.8588056342842</v>
      </c>
      <c r="AH19" s="887">
        <f>'Overview (LC)'!AH21/Summary!AH$18</f>
        <v>7520.7871459911967</v>
      </c>
      <c r="AI19" s="862"/>
      <c r="AJ19" s="862"/>
      <c r="AK19" s="862"/>
      <c r="AL19" s="862"/>
      <c r="AM19" s="862"/>
      <c r="AN19" s="862"/>
      <c r="AO19" s="862"/>
      <c r="AP19" s="862"/>
      <c r="AQ19" s="862"/>
      <c r="AR19" s="862"/>
    </row>
    <row r="20" spans="1:44">
      <c r="A20" s="876" t="str">
        <f>Summary!A$68</f>
        <v>Europe</v>
      </c>
      <c r="B20" s="877" t="str">
        <f>Summary!B$68</f>
        <v>Italy</v>
      </c>
      <c r="C20" s="877" t="s">
        <v>893</v>
      </c>
      <c r="D20" s="877" t="str">
        <f>$D$17</f>
        <v>EUR (m)</v>
      </c>
      <c r="E20" s="877" t="s">
        <v>587</v>
      </c>
      <c r="F20" s="877"/>
      <c r="G20" s="888">
        <f t="shared" ref="G20:AG20" si="0">SUM(G17:G19)</f>
        <v>7314.9516553396115</v>
      </c>
      <c r="H20" s="888">
        <f t="shared" si="0"/>
        <v>10648.60111510032</v>
      </c>
      <c r="I20" s="888">
        <f t="shared" si="0"/>
        <v>10503.368499490265</v>
      </c>
      <c r="J20" s="888">
        <f t="shared" si="0"/>
        <v>12267.023914753216</v>
      </c>
      <c r="K20" s="888">
        <f t="shared" si="0"/>
        <v>13857.614423572781</v>
      </c>
      <c r="L20" s="888">
        <f t="shared" si="0"/>
        <v>15157.710816536697</v>
      </c>
      <c r="M20" s="888">
        <f t="shared" si="0"/>
        <v>16048.911920221941</v>
      </c>
      <c r="N20" s="888">
        <f t="shared" si="0"/>
        <v>16904.977738031797</v>
      </c>
      <c r="O20" s="888">
        <f t="shared" si="0"/>
        <v>18161.68265714241</v>
      </c>
      <c r="P20" s="888">
        <f t="shared" si="0"/>
        <v>17903.232126824754</v>
      </c>
      <c r="Q20" s="888">
        <f t="shared" si="0"/>
        <v>16769.801120235359</v>
      </c>
      <c r="R20" s="888">
        <f t="shared" si="0"/>
        <v>16465.632740361223</v>
      </c>
      <c r="S20" s="888">
        <f t="shared" si="0"/>
        <v>16579.999265507118</v>
      </c>
      <c r="T20" s="888">
        <f t="shared" si="0"/>
        <v>18374.304700891895</v>
      </c>
      <c r="U20" s="888">
        <f t="shared" si="0"/>
        <v>17900.394125591534</v>
      </c>
      <c r="V20" s="888">
        <f t="shared" si="0"/>
        <v>17606.330377778209</v>
      </c>
      <c r="W20" s="888">
        <f t="shared" si="0"/>
        <v>17827.941143173153</v>
      </c>
      <c r="X20" s="888">
        <f t="shared" si="0"/>
        <v>10443.853160480894</v>
      </c>
      <c r="Y20" s="888">
        <f t="shared" si="0"/>
        <v>11840.971027584568</v>
      </c>
      <c r="Z20" s="888">
        <f t="shared" si="0"/>
        <v>16581.775727364016</v>
      </c>
      <c r="AA20" s="888">
        <f t="shared" si="0"/>
        <v>16403.045464947827</v>
      </c>
      <c r="AB20" s="888">
        <f t="shared" si="0"/>
        <v>16605.972918333042</v>
      </c>
      <c r="AC20" s="888">
        <f t="shared" si="0"/>
        <v>16472.607720266984</v>
      </c>
      <c r="AD20" s="888">
        <f t="shared" si="0"/>
        <v>16346.116267993053</v>
      </c>
      <c r="AE20" s="888">
        <f t="shared" si="0"/>
        <v>16365.239751180385</v>
      </c>
      <c r="AF20" s="888">
        <f t="shared" si="0"/>
        <v>16463.396386007455</v>
      </c>
      <c r="AG20" s="888">
        <f t="shared" si="0"/>
        <v>16624.350954594152</v>
      </c>
      <c r="AH20" s="888">
        <f t="shared" ref="AH20" si="1">SUM(AH17:AH19)</f>
        <v>16939.508580644237</v>
      </c>
      <c r="AI20" s="862"/>
      <c r="AJ20" s="862"/>
      <c r="AK20" s="862"/>
      <c r="AL20" s="862"/>
      <c r="AM20" s="862"/>
      <c r="AN20" s="862"/>
      <c r="AO20" s="862"/>
      <c r="AP20" s="862"/>
      <c r="AQ20" s="862"/>
      <c r="AR20" s="862"/>
    </row>
    <row r="21" spans="1:44">
      <c r="A21" s="873"/>
      <c r="B21" s="873"/>
      <c r="G21" s="887"/>
      <c r="H21" s="887"/>
      <c r="I21" s="887"/>
      <c r="J21" s="887"/>
      <c r="K21" s="887"/>
      <c r="L21" s="887"/>
      <c r="M21" s="887"/>
      <c r="N21" s="887"/>
      <c r="O21" s="887"/>
      <c r="P21" s="887"/>
      <c r="Q21" s="887"/>
      <c r="R21" s="887"/>
      <c r="S21" s="887"/>
      <c r="T21" s="887"/>
      <c r="U21" s="887"/>
      <c r="V21" s="887"/>
      <c r="W21" s="887"/>
      <c r="X21" s="887"/>
      <c r="Y21" s="887"/>
      <c r="Z21" s="887"/>
      <c r="AA21" s="887"/>
      <c r="AB21" s="887"/>
      <c r="AC21" s="887"/>
      <c r="AD21" s="887"/>
      <c r="AE21" s="887"/>
      <c r="AF21" s="887"/>
      <c r="AG21" s="887"/>
      <c r="AH21" s="887"/>
      <c r="AI21" s="862"/>
      <c r="AJ21" s="862"/>
      <c r="AK21" s="862"/>
      <c r="AL21" s="862"/>
      <c r="AM21" s="862"/>
      <c r="AN21" s="862"/>
      <c r="AO21" s="862"/>
      <c r="AP21" s="862"/>
      <c r="AQ21" s="862"/>
      <c r="AR21" s="862"/>
    </row>
    <row r="22" spans="1:44">
      <c r="A22" s="873" t="str">
        <f>Summary!A$68</f>
        <v>Europe</v>
      </c>
      <c r="B22" s="873" t="str">
        <f>Summary!B$68</f>
        <v>Italy</v>
      </c>
      <c r="C22" s="872" t="s">
        <v>893</v>
      </c>
      <c r="D22" s="872" t="str">
        <f>$D$17</f>
        <v>EUR (m)</v>
      </c>
      <c r="E22" s="872" t="s">
        <v>603</v>
      </c>
      <c r="G22" s="887">
        <f>'Overview (LC)'!G24/Summary!G$18</f>
        <v>57.4079274223309</v>
      </c>
      <c r="H22" s="887">
        <f>'Overview (LC)'!H24/Summary!H$18</f>
        <v>68.059494591508098</v>
      </c>
      <c r="I22" s="887">
        <f>'Overview (LC)'!I24/Summary!I$18</f>
        <v>91.24798171717319</v>
      </c>
      <c r="J22" s="887">
        <f>'Overview (LC)'!J24/Summary!J$18</f>
        <v>105.76938514152718</v>
      </c>
      <c r="K22" s="887">
        <f>'Overview (LC)'!K24/Summary!K$18</f>
        <v>173.86141442203348</v>
      </c>
      <c r="L22" s="887">
        <f>'Overview (LC)'!L24/Summary!L$18</f>
        <v>220.37344437479291</v>
      </c>
      <c r="M22" s="887">
        <f>'Overview (LC)'!M24/Summary!M$18</f>
        <v>239.38757199485207</v>
      </c>
      <c r="N22" s="887">
        <f>'Overview (LC)'!N24/Summary!N$18</f>
        <v>279.50180532467664</v>
      </c>
      <c r="O22" s="887">
        <f>'Overview (LC)'!O24/Summary!O$18</f>
        <v>266.51125664722321</v>
      </c>
      <c r="P22" s="887">
        <f>'Overview (LC)'!P24/Summary!P$18</f>
        <v>221.1602898348192</v>
      </c>
      <c r="Q22" s="887">
        <f>'Overview (LC)'!Q24/Summary!Q$18</f>
        <v>252.71463760976135</v>
      </c>
      <c r="R22" s="887">
        <f>'Overview (LC)'!R24/Summary!R$18</f>
        <v>289.54944887737076</v>
      </c>
      <c r="S22" s="887">
        <f>'Overview (LC)'!S24/Summary!S$18</f>
        <v>344.05633098375563</v>
      </c>
      <c r="T22" s="887">
        <f>'Overview (LC)'!T24/Summary!T$18</f>
        <v>433.33525067726447</v>
      </c>
      <c r="U22" s="887">
        <f>'Overview (LC)'!U24/Summary!U$18</f>
        <v>638.21589230420602</v>
      </c>
      <c r="V22" s="887">
        <f>'Overview (LC)'!V24/Summary!V$18</f>
        <v>741.25472225202736</v>
      </c>
      <c r="W22" s="887">
        <f>'Overview (LC)'!W24/Summary!W$18</f>
        <v>838.46304231185252</v>
      </c>
      <c r="X22" s="887">
        <f>'Overview (LC)'!X24/Summary!X$18</f>
        <v>1146.1748396887042</v>
      </c>
      <c r="Y22" s="887">
        <f>'Overview (LC)'!Y24/Summary!Y$18</f>
        <v>1646.0130939392411</v>
      </c>
      <c r="Z22" s="887">
        <f>'Overview (LC)'!Z24/Summary!Z$18</f>
        <v>1554.7421984828966</v>
      </c>
      <c r="AA22" s="887">
        <f>'Overview (LC)'!AA24/Summary!AA$18</f>
        <v>1713.3251258493972</v>
      </c>
      <c r="AB22" s="887">
        <f>'Overview (LC)'!AB24/Summary!AB$18</f>
        <v>1898.871995830571</v>
      </c>
      <c r="AC22" s="887">
        <f>'Overview (LC)'!AC24/Summary!AC$18</f>
        <v>2128.4119469732868</v>
      </c>
      <c r="AD22" s="887">
        <f>'Overview (LC)'!AD24/Summary!AD$18</f>
        <v>2409.4586345678936</v>
      </c>
      <c r="AE22" s="887">
        <f>'Overview (LC)'!AE24/Summary!AE$18</f>
        <v>2654.4329231964148</v>
      </c>
      <c r="AF22" s="887">
        <f>'Overview (LC)'!AF24/Summary!AF$18</f>
        <v>2920.0152943084263</v>
      </c>
      <c r="AG22" s="887">
        <f>'Overview (LC)'!AG24/Summary!AG$18</f>
        <v>3204.9143604374244</v>
      </c>
      <c r="AH22" s="887">
        <f>'Overview (LC)'!AH24/Summary!AH$18</f>
        <v>3411.2475913157423</v>
      </c>
      <c r="AI22" s="862"/>
      <c r="AJ22" s="862"/>
      <c r="AK22" s="862"/>
      <c r="AL22" s="862"/>
      <c r="AM22" s="862"/>
      <c r="AN22" s="862"/>
      <c r="AO22" s="862"/>
      <c r="AP22" s="862"/>
      <c r="AQ22" s="862"/>
      <c r="AR22" s="862"/>
    </row>
    <row r="23" spans="1:44">
      <c r="A23" s="873" t="str">
        <f>Summary!A$68</f>
        <v>Europe</v>
      </c>
      <c r="B23" s="873" t="str">
        <f>Summary!B$68</f>
        <v>Italy</v>
      </c>
      <c r="C23" s="872" t="s">
        <v>893</v>
      </c>
      <c r="D23" s="872" t="str">
        <f>$D$17</f>
        <v>EUR (m)</v>
      </c>
      <c r="E23" s="872" t="s">
        <v>604</v>
      </c>
      <c r="G23" s="887">
        <f>'Overview (LC)'!G25/Summary!G$18</f>
        <v>19.657282662494033</v>
      </c>
      <c r="H23" s="887">
        <f>'Overview (LC)'!H25/Summary!H$18</f>
        <v>70.651391404797081</v>
      </c>
      <c r="I23" s="887">
        <f>'Overview (LC)'!I25/Summary!I$18</f>
        <v>139.45383761638098</v>
      </c>
      <c r="J23" s="887">
        <f>'Overview (LC)'!J25/Summary!J$18</f>
        <v>175.61945487236105</v>
      </c>
      <c r="K23" s="887">
        <f>'Overview (LC)'!K25/Summary!K$18</f>
        <v>259.61596558779706</v>
      </c>
      <c r="L23" s="887">
        <f>'Overview (LC)'!L25/Summary!L$18</f>
        <v>349.40569721743026</v>
      </c>
      <c r="M23" s="887">
        <f>'Overview (LC)'!M25/Summary!M$18</f>
        <v>626.74778726252009</v>
      </c>
      <c r="N23" s="887">
        <f>'Overview (LC)'!N25/Summary!N$18</f>
        <v>768.95579681674781</v>
      </c>
      <c r="O23" s="887">
        <f>'Overview (LC)'!O25/Summary!O$18</f>
        <v>829.17349053262035</v>
      </c>
      <c r="P23" s="887">
        <f>'Overview (LC)'!P25/Summary!P$18</f>
        <v>834.58013871871719</v>
      </c>
      <c r="Q23" s="887">
        <f>'Overview (LC)'!Q25/Summary!Q$18</f>
        <v>775.39122695383151</v>
      </c>
      <c r="R23" s="887">
        <f>'Overview (LC)'!R25/Summary!R$18</f>
        <v>704.9793708827209</v>
      </c>
      <c r="S23" s="887">
        <f>'Overview (LC)'!S25/Summary!S$18</f>
        <v>700.62325128664452</v>
      </c>
      <c r="T23" s="887">
        <f>'Overview (LC)'!T25/Summary!T$18</f>
        <v>775.45920988088494</v>
      </c>
      <c r="U23" s="887">
        <f>'Overview (LC)'!U25/Summary!U$18</f>
        <v>903.51837487684566</v>
      </c>
      <c r="V23" s="887">
        <f>'Overview (LC)'!V25/Summary!V$18</f>
        <v>1032.0653303458146</v>
      </c>
      <c r="W23" s="887">
        <f>'Overview (LC)'!W25/Summary!W$18</f>
        <v>1140.8421243258922</v>
      </c>
      <c r="X23" s="887">
        <f>'Overview (LC)'!X25/Summary!X$18</f>
        <v>1621.3350598198383</v>
      </c>
      <c r="Y23" s="887">
        <f>'Overview (LC)'!Y25/Summary!Y$18</f>
        <v>2143.4349544348479</v>
      </c>
      <c r="Z23" s="887">
        <f>'Overview (LC)'!Z25/Summary!Z$18</f>
        <v>2369.1537225315815</v>
      </c>
      <c r="AA23" s="887">
        <f>'Overview (LC)'!AA25/Summary!AA$18</f>
        <v>2733.725207919862</v>
      </c>
      <c r="AB23" s="887">
        <f>'Overview (LC)'!AB25/Summary!AB$18</f>
        <v>3146.7851130512618</v>
      </c>
      <c r="AC23" s="887">
        <f>'Overview (LC)'!AC25/Summary!AC$18</f>
        <v>3496.3559711609987</v>
      </c>
      <c r="AD23" s="887">
        <f>'Overview (LC)'!AD25/Summary!AD$18</f>
        <v>3849.8582938003788</v>
      </c>
      <c r="AE23" s="887">
        <f>'Overview (LC)'!AE25/Summary!AE$18</f>
        <v>4199.4929839044207</v>
      </c>
      <c r="AF23" s="887">
        <f>'Overview (LC)'!AF25/Summary!AF$18</f>
        <v>4560.2182543884037</v>
      </c>
      <c r="AG23" s="887">
        <f>'Overview (LC)'!AG25/Summary!AG$18</f>
        <v>4925.7690344390285</v>
      </c>
      <c r="AH23" s="887">
        <f>'Overview (LC)'!AH25/Summary!AH$18</f>
        <v>5295.7115270703016</v>
      </c>
      <c r="AI23" s="862"/>
      <c r="AJ23" s="862"/>
      <c r="AK23" s="862"/>
      <c r="AL23" s="862"/>
      <c r="AM23" s="862"/>
      <c r="AN23" s="862"/>
      <c r="AO23" s="862"/>
      <c r="AP23" s="862"/>
      <c r="AQ23" s="862"/>
      <c r="AR23" s="862"/>
    </row>
    <row r="24" spans="1:44">
      <c r="A24" s="873" t="str">
        <f>Summary!A$68</f>
        <v>Europe</v>
      </c>
      <c r="B24" s="873" t="str">
        <f>Summary!B$68</f>
        <v>Italy</v>
      </c>
      <c r="C24" s="872" t="s">
        <v>893</v>
      </c>
      <c r="D24" s="872" t="str">
        <f>$D$17</f>
        <v>EUR (m)</v>
      </c>
      <c r="E24" s="872" t="s">
        <v>606</v>
      </c>
      <c r="G24" s="887">
        <f>'Overview (LC)'!G26/Summary!G$18</f>
        <v>0</v>
      </c>
      <c r="H24" s="887">
        <f>'Overview (LC)'!H26/Summary!H$18</f>
        <v>0</v>
      </c>
      <c r="I24" s="887">
        <f>'Overview (LC)'!I26/Summary!I$18</f>
        <v>0</v>
      </c>
      <c r="J24" s="887">
        <f>'Overview (LC)'!J26/Summary!J$18</f>
        <v>0</v>
      </c>
      <c r="K24" s="887">
        <f>'Overview (LC)'!K26/Summary!K$18</f>
        <v>0</v>
      </c>
      <c r="L24" s="887">
        <f>'Overview (LC)'!L26/Summary!L$18</f>
        <v>0</v>
      </c>
      <c r="M24" s="887">
        <f>'Overview (LC)'!M26/Summary!M$18</f>
        <v>3.8088786144417011</v>
      </c>
      <c r="N24" s="887">
        <f>'Overview (LC)'!N26/Summary!N$18</f>
        <v>10.569164816044978</v>
      </c>
      <c r="O24" s="887">
        <f>'Overview (LC)'!O26/Summary!O$18</f>
        <v>7.5885314247021221</v>
      </c>
      <c r="P24" s="887">
        <f>'Overview (LC)'!P26/Summary!P$18</f>
        <v>13.000004556791392</v>
      </c>
      <c r="Q24" s="887">
        <f>'Overview (LC)'!Q26/Summary!Q$18</f>
        <v>13.00000086840986</v>
      </c>
      <c r="R24" s="887">
        <f>'Overview (LC)'!R26/Summary!R$18</f>
        <v>17.000004828905304</v>
      </c>
      <c r="S24" s="887">
        <f>'Overview (LC)'!S26/Summary!S$18</f>
        <v>17.999999202601213</v>
      </c>
      <c r="T24" s="887">
        <f>'Overview (LC)'!T26/Summary!T$18</f>
        <v>30.000001551496926</v>
      </c>
      <c r="U24" s="887">
        <f>'Overview (LC)'!U26/Summary!U$18</f>
        <v>37.900012387585313</v>
      </c>
      <c r="V24" s="887">
        <f>'Overview (LC)'!V26/Summary!V$18</f>
        <v>48.790002643157536</v>
      </c>
      <c r="W24" s="887">
        <f>'Overview (LC)'!W26/Summary!W$18</f>
        <v>58.110004147421904</v>
      </c>
      <c r="X24" s="887">
        <f>'Overview (LC)'!X26/Summary!X$18</f>
        <v>76.940028494298204</v>
      </c>
      <c r="Y24" s="887">
        <f>'Overview (LC)'!Y26/Summary!Y$18</f>
        <v>96.480012058476319</v>
      </c>
      <c r="Z24" s="887">
        <f>'Overview (LC)'!Z26/Summary!Z$18</f>
        <v>120.77997447480816</v>
      </c>
      <c r="AA24" s="887">
        <f>'Overview (LC)'!AA26/Summary!AA$18</f>
        <v>110.31176511716343</v>
      </c>
      <c r="AB24" s="887">
        <f>'Overview (LC)'!AB26/Summary!AB$18</f>
        <v>139.17964353984985</v>
      </c>
      <c r="AC24" s="887">
        <f>'Overview (LC)'!AC26/Summary!AC$18</f>
        <v>154.04979432892264</v>
      </c>
      <c r="AD24" s="887">
        <f>'Overview (LC)'!AD26/Summary!AD$18</f>
        <v>171.51984175692391</v>
      </c>
      <c r="AE24" s="887">
        <f>'Overview (LC)'!AE26/Summary!AE$18</f>
        <v>192.58770776639363</v>
      </c>
      <c r="AF24" s="887">
        <f>'Overview (LC)'!AF26/Summary!AF$18</f>
        <v>216.9432466736005</v>
      </c>
      <c r="AG24" s="887">
        <f>'Overview (LC)'!AG26/Summary!AG$18</f>
        <v>245.63058849558644</v>
      </c>
      <c r="AH24" s="887">
        <f>'Overview (LC)'!AH26/Summary!AH$18</f>
        <v>279.59042160769417</v>
      </c>
      <c r="AI24" s="862"/>
      <c r="AJ24" s="862"/>
      <c r="AK24" s="862"/>
      <c r="AL24" s="862"/>
      <c r="AM24" s="862"/>
      <c r="AN24" s="862"/>
      <c r="AO24" s="862"/>
      <c r="AP24" s="862"/>
      <c r="AQ24" s="862"/>
      <c r="AR24" s="862"/>
    </row>
    <row r="25" spans="1:44">
      <c r="A25" s="876" t="str">
        <f>Summary!A$68</f>
        <v>Europe</v>
      </c>
      <c r="B25" s="877" t="str">
        <f>Summary!B$68</f>
        <v>Italy</v>
      </c>
      <c r="C25" s="877" t="s">
        <v>893</v>
      </c>
      <c r="D25" s="877" t="str">
        <f>$D$17</f>
        <v>EUR (m)</v>
      </c>
      <c r="E25" s="877" t="s">
        <v>607</v>
      </c>
      <c r="F25" s="877"/>
      <c r="G25" s="888">
        <f t="shared" ref="G25:AG25" si="2">SUM(G22:G24)</f>
        <v>77.06521008482494</v>
      </c>
      <c r="H25" s="888">
        <f t="shared" si="2"/>
        <v>138.71088599630519</v>
      </c>
      <c r="I25" s="888">
        <f t="shared" si="2"/>
        <v>230.70181933355417</v>
      </c>
      <c r="J25" s="888">
        <f t="shared" si="2"/>
        <v>281.38884001388823</v>
      </c>
      <c r="K25" s="888">
        <f t="shared" si="2"/>
        <v>433.47738000983054</v>
      </c>
      <c r="L25" s="888">
        <f t="shared" si="2"/>
        <v>569.77914159222314</v>
      </c>
      <c r="M25" s="888">
        <f t="shared" si="2"/>
        <v>869.94423787181381</v>
      </c>
      <c r="N25" s="888">
        <f t="shared" si="2"/>
        <v>1059.0267669574696</v>
      </c>
      <c r="O25" s="888">
        <f t="shared" si="2"/>
        <v>1103.2732786045456</v>
      </c>
      <c r="P25" s="888">
        <f t="shared" si="2"/>
        <v>1068.7404331103276</v>
      </c>
      <c r="Q25" s="888">
        <f t="shared" si="2"/>
        <v>1041.1058654320027</v>
      </c>
      <c r="R25" s="888">
        <f t="shared" si="2"/>
        <v>1011.5288245889969</v>
      </c>
      <c r="S25" s="888">
        <f t="shared" si="2"/>
        <v>1062.6795814730015</v>
      </c>
      <c r="T25" s="888">
        <f t="shared" si="2"/>
        <v>1238.7944621096465</v>
      </c>
      <c r="U25" s="888">
        <f t="shared" si="2"/>
        <v>1579.6342795686369</v>
      </c>
      <c r="V25" s="888">
        <f t="shared" si="2"/>
        <v>1822.1100552409994</v>
      </c>
      <c r="W25" s="888">
        <f t="shared" si="2"/>
        <v>2037.4151707851665</v>
      </c>
      <c r="X25" s="888">
        <f t="shared" si="2"/>
        <v>2844.4499280028408</v>
      </c>
      <c r="Y25" s="888">
        <f t="shared" si="2"/>
        <v>3885.9280604325654</v>
      </c>
      <c r="Z25" s="888">
        <f t="shared" si="2"/>
        <v>4044.6758954892862</v>
      </c>
      <c r="AA25" s="888">
        <f t="shared" si="2"/>
        <v>4557.3620988864222</v>
      </c>
      <c r="AB25" s="888">
        <f t="shared" si="2"/>
        <v>5184.8367524216828</v>
      </c>
      <c r="AC25" s="888">
        <f t="shared" si="2"/>
        <v>5778.8177124632084</v>
      </c>
      <c r="AD25" s="888">
        <f t="shared" si="2"/>
        <v>6430.8367701251964</v>
      </c>
      <c r="AE25" s="888">
        <f t="shared" si="2"/>
        <v>7046.5136148672291</v>
      </c>
      <c r="AF25" s="888">
        <f t="shared" si="2"/>
        <v>7697.1767953704302</v>
      </c>
      <c r="AG25" s="888">
        <f t="shared" si="2"/>
        <v>8376.3139833720397</v>
      </c>
      <c r="AH25" s="888">
        <f t="shared" ref="AH25" si="3">SUM(AH22:AH24)</f>
        <v>8986.5495399937372</v>
      </c>
      <c r="AI25" s="862"/>
      <c r="AJ25" s="862"/>
      <c r="AK25" s="862"/>
      <c r="AL25" s="862"/>
      <c r="AM25" s="862"/>
      <c r="AN25" s="862"/>
      <c r="AO25" s="862"/>
      <c r="AP25" s="862"/>
      <c r="AQ25" s="862"/>
      <c r="AR25" s="862"/>
    </row>
    <row r="26" spans="1:44">
      <c r="A26" s="873"/>
      <c r="B26" s="873"/>
      <c r="G26" s="887"/>
      <c r="H26" s="887"/>
      <c r="I26" s="887"/>
      <c r="J26" s="887"/>
      <c r="K26" s="887"/>
      <c r="L26" s="887"/>
      <c r="M26" s="887"/>
      <c r="N26" s="887"/>
      <c r="O26" s="887"/>
      <c r="P26" s="887"/>
      <c r="Q26" s="887"/>
      <c r="R26" s="887"/>
      <c r="S26" s="887"/>
      <c r="T26" s="887"/>
      <c r="U26" s="887"/>
      <c r="V26" s="887"/>
      <c r="W26" s="887"/>
      <c r="X26" s="887"/>
      <c r="Y26" s="887"/>
      <c r="Z26" s="887"/>
      <c r="AA26" s="887"/>
      <c r="AB26" s="887"/>
      <c r="AC26" s="887"/>
      <c r="AD26" s="887"/>
      <c r="AE26" s="887"/>
      <c r="AF26" s="887"/>
      <c r="AG26" s="887"/>
      <c r="AH26" s="887"/>
      <c r="AI26" s="862"/>
      <c r="AJ26" s="862"/>
      <c r="AK26" s="862"/>
      <c r="AL26" s="862"/>
      <c r="AM26" s="862"/>
      <c r="AN26" s="862"/>
      <c r="AO26" s="862"/>
      <c r="AP26" s="862"/>
      <c r="AQ26" s="862"/>
      <c r="AR26" s="862"/>
    </row>
    <row r="27" spans="1:44">
      <c r="A27" s="873" t="str">
        <f>Summary!A$68</f>
        <v>Europe</v>
      </c>
      <c r="B27" s="873" t="str">
        <f>Summary!B$68</f>
        <v>Italy</v>
      </c>
      <c r="C27" s="872" t="s">
        <v>893</v>
      </c>
      <c r="D27" s="872" t="str">
        <f>$D$17</f>
        <v>EUR (m)</v>
      </c>
      <c r="E27" s="872" t="s">
        <v>262</v>
      </c>
      <c r="G27" s="887">
        <f>'Overview (LC)'!G29/Summary!G$18</f>
        <v>1375.0164717967125</v>
      </c>
      <c r="H27" s="887">
        <f>'Overview (LC)'!H29/Summary!H$18</f>
        <v>1403.4493975521677</v>
      </c>
      <c r="I27" s="887">
        <f>'Overview (LC)'!I29/Summary!I$18</f>
        <v>1419.650288268142</v>
      </c>
      <c r="J27" s="887">
        <f>'Overview (LC)'!J29/Summary!J$18</f>
        <v>1669.9788722802296</v>
      </c>
      <c r="K27" s="887">
        <f>'Overview (LC)'!K29/Summary!K$18</f>
        <v>1680.0751453329185</v>
      </c>
      <c r="L27" s="887">
        <f>'Overview (LC)'!L29/Summary!L$18</f>
        <v>1778.2416643103459</v>
      </c>
      <c r="M27" s="887">
        <f>'Overview (LC)'!M29/Summary!M$18</f>
        <v>1569.3327264614106</v>
      </c>
      <c r="N27" s="887">
        <f>'Overview (LC)'!N29/Summary!N$18</f>
        <v>1545.8325022843455</v>
      </c>
      <c r="O27" s="887">
        <f>'Overview (LC)'!O29/Summary!O$18</f>
        <v>1358.5174894627853</v>
      </c>
      <c r="P27" s="887">
        <f>'Overview (LC)'!P29/Summary!P$18</f>
        <v>1035.1605751600648</v>
      </c>
      <c r="Q27" s="887">
        <f>'Overview (LC)'!Q29/Summary!Q$18</f>
        <v>1071.5146923062223</v>
      </c>
      <c r="R27" s="887">
        <f>'Overview (LC)'!R29/Summary!R$18</f>
        <v>1248.5497212844407</v>
      </c>
      <c r="S27" s="887">
        <f>'Overview (LC)'!S29/Summary!S$18</f>
        <v>1199.0562931073132</v>
      </c>
      <c r="T27" s="887">
        <f>'Overview (LC)'!T29/Summary!T$18</f>
        <v>1357.3352984633698</v>
      </c>
      <c r="U27" s="887">
        <f>'Overview (LC)'!U29/Summary!U$18</f>
        <v>1786.2162675271074</v>
      </c>
      <c r="V27" s="887">
        <f>'Overview (LC)'!V29/Summary!V$18</f>
        <v>1958.4340762916997</v>
      </c>
      <c r="W27" s="887">
        <f>'Overview (LC)'!W29/Summary!W$18</f>
        <v>2094.7131441728197</v>
      </c>
      <c r="X27" s="887">
        <f>'Overview (LC)'!X29/Summary!X$18</f>
        <v>1951.8357228511634</v>
      </c>
      <c r="Y27" s="887">
        <f>'Overview (LC)'!Y29/Summary!Y$18</f>
        <v>2240.1386036119125</v>
      </c>
      <c r="Z27" s="887">
        <f>'Overview (LC)'!Z29/Summary!Z$18</f>
        <v>2853.1756189467933</v>
      </c>
      <c r="AA27" s="887">
        <f>'Overview (LC)'!AA29/Summary!AA$18</f>
        <v>3130.4683773033962</v>
      </c>
      <c r="AB27" s="887">
        <f>'Overview (LC)'!AB29/Summary!AB$18</f>
        <v>3389.2602148569072</v>
      </c>
      <c r="AC27" s="887">
        <f>'Overview (LC)'!AC29/Summary!AC$18</f>
        <v>3775.4156077601629</v>
      </c>
      <c r="AD27" s="887">
        <f>'Overview (LC)'!AD29/Summary!AD$18</f>
        <v>4066.0128014713155</v>
      </c>
      <c r="AE27" s="887">
        <f>'Overview (LC)'!AE29/Summary!AE$18</f>
        <v>4364.7717760796659</v>
      </c>
      <c r="AF27" s="887">
        <f>'Overview (LC)'!AF29/Summary!AF$18</f>
        <v>4680.3743895382922</v>
      </c>
      <c r="AG27" s="887">
        <f>'Overview (LC)'!AG29/Summary!AG$18</f>
        <v>5009.1350776069139</v>
      </c>
      <c r="AH27" s="887">
        <f>'Overview (LC)'!AH29/Summary!AH$18</f>
        <v>5355.4128291969328</v>
      </c>
      <c r="AI27" s="862"/>
      <c r="AJ27" s="862"/>
      <c r="AK27" s="862"/>
      <c r="AL27" s="862"/>
      <c r="AM27" s="862"/>
      <c r="AN27" s="862"/>
      <c r="AO27" s="862"/>
      <c r="AP27" s="862"/>
      <c r="AQ27" s="862"/>
      <c r="AR27" s="862"/>
    </row>
    <row r="28" spans="1:44">
      <c r="A28" s="873" t="str">
        <f>Summary!A$68</f>
        <v>Europe</v>
      </c>
      <c r="B28" s="873" t="str">
        <f>Summary!B$68</f>
        <v>Italy</v>
      </c>
      <c r="C28" s="872" t="s">
        <v>893</v>
      </c>
      <c r="D28" s="872" t="str">
        <f>$D$17</f>
        <v>EUR (m)</v>
      </c>
      <c r="E28" s="872" t="s">
        <v>301</v>
      </c>
      <c r="G28" s="887">
        <f>'Overview (LC)'!G30/Summary!G$18</f>
        <v>1179.4166196245887</v>
      </c>
      <c r="H28" s="887">
        <f>'Overview (LC)'!H30/Summary!H$18</f>
        <v>2411.5503599143694</v>
      </c>
      <c r="I28" s="887">
        <f>'Overview (LC)'!I30/Summary!I$18</f>
        <v>4156.7151464539493</v>
      </c>
      <c r="J28" s="887">
        <f>'Overview (LC)'!J30/Summary!J$18</f>
        <v>5331.228279041211</v>
      </c>
      <c r="K28" s="887">
        <f>'Overview (LC)'!K30/Summary!K$18</f>
        <v>6254.0188751431015</v>
      </c>
      <c r="L28" s="887">
        <f>'Overview (LC)'!L30/Summary!L$18</f>
        <v>6987.2500360782169</v>
      </c>
      <c r="M28" s="887">
        <f>'Overview (LC)'!M30/Summary!M$18</f>
        <v>7804.52566376715</v>
      </c>
      <c r="N28" s="887">
        <f>'Overview (LC)'!N30/Summary!N$18</f>
        <v>9529.172122607124</v>
      </c>
      <c r="O28" s="887">
        <f>'Overview (LC)'!O30/Summary!O$18</f>
        <v>10920.438055303488</v>
      </c>
      <c r="P28" s="887">
        <f>'Overview (LC)'!P30/Summary!P$18</f>
        <v>12000.809904073963</v>
      </c>
      <c r="Q28" s="887">
        <f>'Overview (LC)'!Q30/Summary!Q$18</f>
        <v>11082.391915469247</v>
      </c>
      <c r="R28" s="887">
        <f>'Overview (LC)'!R30/Summary!R$18</f>
        <v>10792.610299552296</v>
      </c>
      <c r="S28" s="887">
        <f>'Overview (LC)'!S30/Summary!S$18</f>
        <v>11024.622793934139</v>
      </c>
      <c r="T28" s="887">
        <f>'Overview (LC)'!T30/Summary!T$18</f>
        <v>12026.763542395693</v>
      </c>
      <c r="U28" s="887">
        <f>'Overview (LC)'!U30/Summary!U$18</f>
        <v>12213.810346499355</v>
      </c>
      <c r="V28" s="887">
        <f>'Overview (LC)'!V30/Summary!V$18</f>
        <v>12076.746064552146</v>
      </c>
      <c r="W28" s="887">
        <f>'Overview (LC)'!W30/Summary!W$18</f>
        <v>12216.382773367335</v>
      </c>
      <c r="X28" s="887">
        <f>'Overview (LC)'!X30/Summary!X$18</f>
        <v>6789.9756818654578</v>
      </c>
      <c r="Y28" s="887">
        <f>'Overview (LC)'!Y30/Summary!Y$18</f>
        <v>7170.6896949962183</v>
      </c>
      <c r="Z28" s="887">
        <f>'Overview (LC)'!Z30/Summary!Z$18</f>
        <v>11575.637313692485</v>
      </c>
      <c r="AA28" s="887">
        <f>'Overview (LC)'!AA30/Summary!AA$18</f>
        <v>11894.939779184928</v>
      </c>
      <c r="AB28" s="887">
        <f>'Overview (LC)'!AB30/Summary!AB$18</f>
        <v>11916.450438246764</v>
      </c>
      <c r="AC28" s="887">
        <f>'Overview (LC)'!AC30/Summary!AC$18</f>
        <v>11819.820712329765</v>
      </c>
      <c r="AD28" s="887">
        <f>'Overview (LC)'!AD30/Summary!AD$18</f>
        <v>11862.581884619496</v>
      </c>
      <c r="AE28" s="887">
        <f>'Overview (LC)'!AE30/Summary!AE$18</f>
        <v>11976.729696492072</v>
      </c>
      <c r="AF28" s="887">
        <f>'Overview (LC)'!AF30/Summary!AF$18</f>
        <v>12183.115661844689</v>
      </c>
      <c r="AG28" s="887">
        <f>'Overview (LC)'!AG30/Summary!AG$18</f>
        <v>12452.040466229406</v>
      </c>
      <c r="AH28" s="887">
        <f>'Overview (LC)'!AH30/Summary!AH$18</f>
        <v>12770.267723842151</v>
      </c>
      <c r="AI28" s="862"/>
      <c r="AJ28" s="862"/>
      <c r="AK28" s="862"/>
      <c r="AL28" s="862"/>
      <c r="AM28" s="862"/>
      <c r="AN28" s="862"/>
      <c r="AO28" s="862"/>
      <c r="AP28" s="862"/>
      <c r="AQ28" s="862"/>
      <c r="AR28" s="862"/>
    </row>
    <row r="29" spans="1:44">
      <c r="A29" s="873" t="str">
        <f>Summary!A$68</f>
        <v>Europe</v>
      </c>
      <c r="B29" s="873" t="str">
        <f>Summary!B$68</f>
        <v>Italy</v>
      </c>
      <c r="C29" s="872" t="s">
        <v>893</v>
      </c>
      <c r="D29" s="872" t="str">
        <f>$D$17</f>
        <v>EUR (m)</v>
      </c>
      <c r="E29" s="872" t="s">
        <v>894</v>
      </c>
      <c r="G29" s="887">
        <f>'Overview (LC)'!G31/Summary!G$18</f>
        <v>4837.5837740031347</v>
      </c>
      <c r="H29" s="887">
        <f>'Overview (LC)'!H31/Summary!H$18</f>
        <v>6972.3122436300882</v>
      </c>
      <c r="I29" s="887">
        <f>'Overview (LC)'!I31/Summary!I$18</f>
        <v>5157.7048841017286</v>
      </c>
      <c r="J29" s="887">
        <f>'Overview (LC)'!J31/Summary!J$18</f>
        <v>5547.2056034456646</v>
      </c>
      <c r="K29" s="887">
        <f>'Overview (LC)'!K31/Summary!K$18</f>
        <v>6356.9977831065926</v>
      </c>
      <c r="L29" s="887">
        <f>'Overview (LC)'!L31/Summary!L$18</f>
        <v>6961.9982577403571</v>
      </c>
      <c r="M29" s="887">
        <f>'Overview (LC)'!M31/Summary!M$18</f>
        <v>7544.997767865194</v>
      </c>
      <c r="N29" s="887">
        <f>'Overview (LC)'!N31/Summary!N$18</f>
        <v>6888.9998800977983</v>
      </c>
      <c r="O29" s="887">
        <f>'Overview (LC)'!O31/Summary!O$18</f>
        <v>6986.0003909806837</v>
      </c>
      <c r="P29" s="887">
        <f>'Overview (LC)'!P31/Summary!P$18</f>
        <v>5936.0020807010542</v>
      </c>
      <c r="Q29" s="887">
        <f>'Overview (LC)'!Q31/Summary!Q$18</f>
        <v>5657.0003778918899</v>
      </c>
      <c r="R29" s="887">
        <f>'Overview (LC)'!R31/Summary!R$18</f>
        <v>5436.0015441134847</v>
      </c>
      <c r="S29" s="887">
        <f>'Overview (LC)'!S31/Summary!S$18</f>
        <v>5418.9997599386652</v>
      </c>
      <c r="T29" s="887">
        <f>'Overview (LC)'!T31/Summary!T$18</f>
        <v>6229.0003221424777</v>
      </c>
      <c r="U29" s="887">
        <f>'Overview (LC)'!U31/Summary!U$18</f>
        <v>5480.0017911337109</v>
      </c>
      <c r="V29" s="887">
        <f>'Overview (LC)'!V31/Summary!V$18</f>
        <v>5393.2602921753605</v>
      </c>
      <c r="W29" s="887">
        <f>'Overview (LC)'!W31/Summary!W$18</f>
        <v>5554.2603964181644</v>
      </c>
      <c r="X29" s="887">
        <f>'Overview (LC)'!X31/Summary!X$18</f>
        <v>4546.4916837671135</v>
      </c>
      <c r="Y29" s="887">
        <f>'Overview (LC)'!Y31/Summary!Y$18</f>
        <v>6316.0707894090028</v>
      </c>
      <c r="Z29" s="887">
        <f>'Overview (LC)'!Z31/Summary!Z$18</f>
        <v>6197.6386902140257</v>
      </c>
      <c r="AA29" s="887">
        <f>'Overview (LC)'!AA31/Summary!AA$18</f>
        <v>5934.9994073459266</v>
      </c>
      <c r="AB29" s="887">
        <f>'Overview (LC)'!AB31/Summary!AB$18</f>
        <v>6485.0990176510541</v>
      </c>
      <c r="AC29" s="887">
        <f>'Overview (LC)'!AC31/Summary!AC$18</f>
        <v>6656.1891126402643</v>
      </c>
      <c r="AD29" s="887">
        <f>'Overview (LC)'!AD31/Summary!AD$18</f>
        <v>6848.3583520274378</v>
      </c>
      <c r="AE29" s="887">
        <f>'Overview (LC)'!AE31/Summary!AE$18</f>
        <v>7070.2518934758755</v>
      </c>
      <c r="AF29" s="887">
        <f>'Overview (LC)'!AF31/Summary!AF$18</f>
        <v>7297.0831299949014</v>
      </c>
      <c r="AG29" s="887">
        <f>'Overview (LC)'!AG31/Summary!AG$18</f>
        <v>7539.4893941298715</v>
      </c>
      <c r="AH29" s="887">
        <f>'Overview (LC)'!AH31/Summary!AH$18</f>
        <v>7800.3775675988909</v>
      </c>
      <c r="AI29" s="862"/>
      <c r="AJ29" s="862"/>
      <c r="AK29" s="862"/>
      <c r="AL29" s="862"/>
      <c r="AM29" s="862"/>
      <c r="AN29" s="862"/>
      <c r="AO29" s="862"/>
      <c r="AP29" s="862"/>
      <c r="AQ29" s="862"/>
      <c r="AR29" s="862"/>
    </row>
    <row r="30" spans="1:44">
      <c r="A30" s="876" t="str">
        <f>Summary!A$68</f>
        <v>Europe</v>
      </c>
      <c r="B30" s="877" t="str">
        <f>Summary!B$68</f>
        <v>Italy</v>
      </c>
      <c r="C30" s="877" t="s">
        <v>893</v>
      </c>
      <c r="D30" s="877" t="str">
        <f>$D$17</f>
        <v>EUR (m)</v>
      </c>
      <c r="E30" s="877" t="s">
        <v>895</v>
      </c>
      <c r="F30" s="877"/>
      <c r="G30" s="888">
        <f t="shared" ref="G30:AG30" si="4">SUM(G27:G29)</f>
        <v>7392.0168654244362</v>
      </c>
      <c r="H30" s="888">
        <f t="shared" si="4"/>
        <v>10787.312001096625</v>
      </c>
      <c r="I30" s="888">
        <f t="shared" si="4"/>
        <v>10734.070318823819</v>
      </c>
      <c r="J30" s="888">
        <f t="shared" si="4"/>
        <v>12548.412754767105</v>
      </c>
      <c r="K30" s="888">
        <f t="shared" si="4"/>
        <v>14291.091803582613</v>
      </c>
      <c r="L30" s="888">
        <f t="shared" si="4"/>
        <v>15727.489958128919</v>
      </c>
      <c r="M30" s="888">
        <f t="shared" si="4"/>
        <v>16918.856158093753</v>
      </c>
      <c r="N30" s="888">
        <f t="shared" si="4"/>
        <v>17964.004504989269</v>
      </c>
      <c r="O30" s="888">
        <f t="shared" si="4"/>
        <v>19264.955935746955</v>
      </c>
      <c r="P30" s="888">
        <f t="shared" si="4"/>
        <v>18971.972559935082</v>
      </c>
      <c r="Q30" s="888">
        <f t="shared" si="4"/>
        <v>17810.90698566736</v>
      </c>
      <c r="R30" s="888">
        <f t="shared" si="4"/>
        <v>17477.16156495022</v>
      </c>
      <c r="S30" s="888">
        <f t="shared" si="4"/>
        <v>17642.678846980118</v>
      </c>
      <c r="T30" s="888">
        <f t="shared" si="4"/>
        <v>19613.099163001541</v>
      </c>
      <c r="U30" s="888">
        <f t="shared" si="4"/>
        <v>19480.02840516017</v>
      </c>
      <c r="V30" s="888">
        <f t="shared" si="4"/>
        <v>19428.440433019205</v>
      </c>
      <c r="W30" s="888">
        <f t="shared" si="4"/>
        <v>19865.35631395832</v>
      </c>
      <c r="X30" s="888">
        <f t="shared" si="4"/>
        <v>13288.303088483735</v>
      </c>
      <c r="Y30" s="888">
        <f t="shared" si="4"/>
        <v>15726.899088017133</v>
      </c>
      <c r="Z30" s="888">
        <f t="shared" si="4"/>
        <v>20626.451622853303</v>
      </c>
      <c r="AA30" s="888">
        <f t="shared" si="4"/>
        <v>20960.407563834251</v>
      </c>
      <c r="AB30" s="888">
        <f t="shared" si="4"/>
        <v>21790.809670754727</v>
      </c>
      <c r="AC30" s="888">
        <f t="shared" si="4"/>
        <v>22251.42543273019</v>
      </c>
      <c r="AD30" s="888">
        <f t="shared" si="4"/>
        <v>22776.953038118249</v>
      </c>
      <c r="AE30" s="888">
        <f t="shared" si="4"/>
        <v>23411.753366047611</v>
      </c>
      <c r="AF30" s="888">
        <f t="shared" si="4"/>
        <v>24160.573181377884</v>
      </c>
      <c r="AG30" s="888">
        <f t="shared" si="4"/>
        <v>25000.66493796619</v>
      </c>
      <c r="AH30" s="888">
        <f t="shared" ref="AH30" si="5">SUM(AH27:AH29)</f>
        <v>25926.058120637976</v>
      </c>
      <c r="AI30" s="862"/>
      <c r="AJ30" s="862"/>
      <c r="AK30" s="862"/>
      <c r="AL30" s="862"/>
      <c r="AM30" s="862"/>
      <c r="AN30" s="862"/>
      <c r="AO30" s="862"/>
      <c r="AP30" s="862"/>
      <c r="AQ30" s="862"/>
      <c r="AR30" s="862"/>
    </row>
    <row r="31" spans="1:44">
      <c r="A31" s="873"/>
      <c r="B31" s="873"/>
      <c r="G31" s="887"/>
      <c r="H31" s="887"/>
      <c r="I31" s="887"/>
      <c r="J31" s="887"/>
      <c r="K31" s="887"/>
      <c r="L31" s="887"/>
      <c r="M31" s="887"/>
      <c r="N31" s="887"/>
      <c r="O31" s="887"/>
      <c r="P31" s="887"/>
      <c r="Q31" s="887"/>
      <c r="R31" s="887"/>
      <c r="S31" s="887"/>
      <c r="T31" s="889"/>
      <c r="U31" s="887"/>
      <c r="V31" s="887"/>
      <c r="W31" s="887"/>
      <c r="X31" s="887"/>
      <c r="Y31" s="887"/>
      <c r="Z31" s="887"/>
      <c r="AA31" s="887"/>
      <c r="AB31" s="887"/>
      <c r="AC31" s="887"/>
      <c r="AD31" s="887"/>
      <c r="AE31" s="887"/>
      <c r="AF31" s="887"/>
      <c r="AG31" s="887"/>
      <c r="AH31" s="887"/>
      <c r="AI31" s="862"/>
      <c r="AJ31" s="862"/>
      <c r="AK31" s="862"/>
      <c r="AL31" s="862"/>
      <c r="AM31" s="862"/>
      <c r="AN31" s="862"/>
      <c r="AO31" s="862"/>
      <c r="AP31" s="862"/>
      <c r="AQ31" s="862"/>
      <c r="AR31" s="862"/>
    </row>
    <row r="32" spans="1:44">
      <c r="A32" s="873" t="str">
        <f>Summary!A$68</f>
        <v>Europe</v>
      </c>
      <c r="B32" s="873" t="str">
        <f>Summary!B$68</f>
        <v>Italy</v>
      </c>
      <c r="C32" s="872" t="s">
        <v>893</v>
      </c>
      <c r="D32" s="872" t="str">
        <f>$D$17</f>
        <v>EUR (m)</v>
      </c>
      <c r="E32" s="872" t="s">
        <v>896</v>
      </c>
      <c r="G32" s="887">
        <f>'Overview (LC)'!G34/Summary!G$18</f>
        <v>0</v>
      </c>
      <c r="H32" s="887">
        <f>'Overview (LC)'!H34/Summary!H$18</f>
        <v>0</v>
      </c>
      <c r="I32" s="887">
        <f>'Overview (LC)'!I34/Summary!I$18</f>
        <v>0</v>
      </c>
      <c r="J32" s="887">
        <f>'Overview (LC)'!J34/Summary!J$18</f>
        <v>0</v>
      </c>
      <c r="K32" s="887">
        <f>'Overview (LC)'!K34/Summary!K$18</f>
        <v>72.785718440272575</v>
      </c>
      <c r="L32" s="887">
        <f>'Overview (LC)'!L34/Summary!L$18</f>
        <v>207.77058469385315</v>
      </c>
      <c r="M32" s="887">
        <f>'Overview (LC)'!M34/Summary!M$18</f>
        <v>491.09232455266374</v>
      </c>
      <c r="N32" s="887">
        <f>'Overview (LC)'!N34/Summary!N$18</f>
        <v>662.3595874717123</v>
      </c>
      <c r="O32" s="887">
        <f>'Overview (LC)'!O34/Summary!O$18</f>
        <v>717.88088617714618</v>
      </c>
      <c r="P32" s="887">
        <f>'Overview (LC)'!P34/Summary!P$18</f>
        <v>730.75440480291331</v>
      </c>
      <c r="Q32" s="887">
        <f>'Overview (LC)'!Q34/Summary!Q$18</f>
        <v>713.20004764230077</v>
      </c>
      <c r="R32" s="887">
        <f>'Overview (LC)'!R34/Summary!R$18</f>
        <v>711.00020196186301</v>
      </c>
      <c r="S32" s="887">
        <f>'Overview (LC)'!S34/Summary!S$18</f>
        <v>803.99996438285405</v>
      </c>
      <c r="T32" s="887">
        <f>'Overview (LC)'!T34/Summary!T$18</f>
        <v>990.0000511993984</v>
      </c>
      <c r="U32" s="887">
        <f>'Overview (LC)'!U34/Summary!U$18</f>
        <v>1338.8804376118806</v>
      </c>
      <c r="V32" s="887">
        <f>'Overview (LC)'!V34/Summary!V$18</f>
        <v>1572.9300519221686</v>
      </c>
      <c r="W32" s="887">
        <f>'Overview (LC)'!W34/Summary!W$18</f>
        <v>1789.1022556524038</v>
      </c>
      <c r="X32" s="887">
        <f>'Overview (LC)'!X34/Summary!X$18</f>
        <v>2594.3209570105923</v>
      </c>
      <c r="Y32" s="887">
        <f>'Overview (LC)'!Y34/Summary!Y$18</f>
        <v>3620.9419111201228</v>
      </c>
      <c r="Z32" s="887">
        <f>'Overview (LC)'!Z34/Summary!Z$18</f>
        <v>3759.38678407014</v>
      </c>
      <c r="AA32" s="887">
        <f>'Overview (LC)'!AA34/Summary!AA$18</f>
        <v>4282.8411214573525</v>
      </c>
      <c r="AB32" s="887">
        <f>'Overview (LC)'!AB34/Summary!AB$18</f>
        <v>4898.2183142005724</v>
      </c>
      <c r="AC32" s="887">
        <f>'Overview (LC)'!AC34/Summary!AC$18</f>
        <v>5489.6121966933715</v>
      </c>
      <c r="AD32" s="887">
        <f>'Overview (LC)'!AD34/Summary!AD$18</f>
        <v>6135.6338585248177</v>
      </c>
      <c r="AE32" s="887">
        <f>'Overview (LC)'!AE34/Summary!AE$18</f>
        <v>6743.9858980748822</v>
      </c>
      <c r="AF32" s="887">
        <f>'Overview (LC)'!AF34/Summary!AF$18</f>
        <v>7384.7082617017168</v>
      </c>
      <c r="AG32" s="887">
        <f>'Overview (LC)'!AG34/Summary!AG$18</f>
        <v>8051.6561804807188</v>
      </c>
      <c r="AH32" s="887">
        <f>'Overview (LC)'!AH34/Summary!AH$18</f>
        <v>8639.1158467263649</v>
      </c>
      <c r="AI32" s="862"/>
      <c r="AJ32" s="862"/>
      <c r="AK32" s="862"/>
      <c r="AL32" s="862"/>
      <c r="AM32" s="862"/>
      <c r="AN32" s="862"/>
      <c r="AO32" s="862"/>
      <c r="AP32" s="862"/>
      <c r="AQ32" s="862"/>
      <c r="AR32" s="862"/>
    </row>
    <row r="33" spans="1:44">
      <c r="A33" s="873" t="str">
        <f>Summary!A$68</f>
        <v>Europe</v>
      </c>
      <c r="B33" s="873" t="str">
        <f>Summary!B$68</f>
        <v>Italy</v>
      </c>
      <c r="C33" s="872" t="s">
        <v>893</v>
      </c>
      <c r="D33" s="872" t="str">
        <f>$D$17</f>
        <v>EUR (m)</v>
      </c>
      <c r="E33" s="872" t="s">
        <v>897</v>
      </c>
      <c r="G33" s="887">
        <f>'Overview (LC)'!G35/Summary!G$18</f>
        <v>77.065210084824926</v>
      </c>
      <c r="H33" s="887">
        <f>'Overview (LC)'!H35/Summary!H$18</f>
        <v>138.71088599630514</v>
      </c>
      <c r="I33" s="887">
        <f>'Overview (LC)'!I35/Summary!I$18</f>
        <v>230.70181933355417</v>
      </c>
      <c r="J33" s="887">
        <f>'Overview (LC)'!J35/Summary!J$18</f>
        <v>281.38884001388828</v>
      </c>
      <c r="K33" s="887">
        <f>'Overview (LC)'!K35/Summary!K$18</f>
        <v>360.69166156955788</v>
      </c>
      <c r="L33" s="887">
        <f>'Overview (LC)'!L35/Summary!L$18</f>
        <v>362.00855689836999</v>
      </c>
      <c r="M33" s="887">
        <f>'Overview (LC)'!M35/Summary!M$18</f>
        <v>375.04303470470842</v>
      </c>
      <c r="N33" s="887">
        <f>'Overview (LC)'!N35/Summary!N$18</f>
        <v>386.09801466971203</v>
      </c>
      <c r="O33" s="887">
        <f>'Overview (LC)'!O35/Summary!O$18</f>
        <v>377.80386100269732</v>
      </c>
      <c r="P33" s="887">
        <f>'Overview (LC)'!P35/Summary!P$18</f>
        <v>324.98602375062302</v>
      </c>
      <c r="Q33" s="887">
        <f>'Overview (LC)'!Q35/Summary!Q$18</f>
        <v>314.905816921292</v>
      </c>
      <c r="R33" s="887">
        <f>'Overview (LC)'!R35/Summary!R$18</f>
        <v>283.52861779822877</v>
      </c>
      <c r="S33" s="887">
        <f>'Overview (LC)'!S35/Summary!S$18</f>
        <v>240.6796178875459</v>
      </c>
      <c r="T33" s="887">
        <f>'Overview (LC)'!T35/Summary!T$18</f>
        <v>218.79440935875076</v>
      </c>
      <c r="U33" s="887">
        <f>'Overview (LC)'!U35/Summary!U$18</f>
        <v>202.85382956917149</v>
      </c>
      <c r="V33" s="887">
        <f>'Overview (LC)'!V35/Summary!V$18</f>
        <v>200.39000067567324</v>
      </c>
      <c r="W33" s="887">
        <f>'Overview (LC)'!W35/Summary!W$18</f>
        <v>190.20291098534108</v>
      </c>
      <c r="X33" s="887">
        <f>'Overview (LC)'!X35/Summary!X$18</f>
        <v>173.18894249794999</v>
      </c>
      <c r="Y33" s="887">
        <f>'Overview (LC)'!Y35/Summary!Y$18</f>
        <v>168.50613725396636</v>
      </c>
      <c r="Z33" s="887">
        <f>'Overview (LC)'!Z35/Summary!Z$18</f>
        <v>164.50913694433783</v>
      </c>
      <c r="AA33" s="887">
        <f>'Overview (LC)'!AA35/Summary!AA$18</f>
        <v>164.20921231190678</v>
      </c>
      <c r="AB33" s="887">
        <f>'Overview (LC)'!AB35/Summary!AB$18</f>
        <v>147.4387946812603</v>
      </c>
      <c r="AC33" s="887">
        <f>'Overview (LC)'!AC35/Summary!AC$18</f>
        <v>135.15572144091377</v>
      </c>
      <c r="AD33" s="887">
        <f>'Overview (LC)'!AD35/Summary!AD$18</f>
        <v>123.68306984345425</v>
      </c>
      <c r="AE33" s="887">
        <f>'Overview (LC)'!AE35/Summary!AE$18</f>
        <v>109.94000902595296</v>
      </c>
      <c r="AF33" s="887">
        <f>'Overview (LC)'!AF35/Summary!AF$18</f>
        <v>95.525286995113007</v>
      </c>
      <c r="AG33" s="887">
        <f>'Overview (LC)'!AG35/Summary!AG$18</f>
        <v>79.027214395734873</v>
      </c>
      <c r="AH33" s="887">
        <f>'Overview (LC)'!AH35/Summary!AH$18</f>
        <v>67.843271659680312</v>
      </c>
      <c r="AI33" s="862"/>
      <c r="AJ33" s="862"/>
      <c r="AK33" s="862"/>
      <c r="AL33" s="862"/>
      <c r="AM33" s="862"/>
      <c r="AN33" s="862"/>
      <c r="AO33" s="862"/>
      <c r="AP33" s="862"/>
      <c r="AQ33" s="862"/>
      <c r="AR33" s="862"/>
    </row>
    <row r="34" spans="1:44">
      <c r="A34" s="876" t="str">
        <f>Summary!A$68</f>
        <v>Europe</v>
      </c>
      <c r="B34" s="877" t="str">
        <f>Summary!B$68</f>
        <v>Italy</v>
      </c>
      <c r="C34" s="877" t="s">
        <v>893</v>
      </c>
      <c r="D34" s="877" t="str">
        <f>$D$17</f>
        <v>EUR (m)</v>
      </c>
      <c r="E34" s="877" t="s">
        <v>898</v>
      </c>
      <c r="F34" s="877"/>
      <c r="G34" s="888">
        <f t="shared" ref="G34:AG34" si="6">G32+G33</f>
        <v>77.065210084824926</v>
      </c>
      <c r="H34" s="888">
        <f t="shared" si="6"/>
        <v>138.71088599630514</v>
      </c>
      <c r="I34" s="888">
        <f t="shared" si="6"/>
        <v>230.70181933355417</v>
      </c>
      <c r="J34" s="888">
        <f t="shared" si="6"/>
        <v>281.38884001388828</v>
      </c>
      <c r="K34" s="888">
        <f t="shared" si="6"/>
        <v>433.47738000983043</v>
      </c>
      <c r="L34" s="888">
        <f t="shared" si="6"/>
        <v>569.77914159222314</v>
      </c>
      <c r="M34" s="888">
        <f t="shared" si="6"/>
        <v>866.1353592573721</v>
      </c>
      <c r="N34" s="888">
        <f t="shared" si="6"/>
        <v>1048.4576021414243</v>
      </c>
      <c r="O34" s="888">
        <f t="shared" si="6"/>
        <v>1095.6847471798435</v>
      </c>
      <c r="P34" s="888">
        <f t="shared" si="6"/>
        <v>1055.7404285535363</v>
      </c>
      <c r="Q34" s="888">
        <f t="shared" si="6"/>
        <v>1028.1058645635928</v>
      </c>
      <c r="R34" s="888">
        <f t="shared" si="6"/>
        <v>994.52881976009178</v>
      </c>
      <c r="S34" s="888">
        <f t="shared" si="6"/>
        <v>1044.6795822704</v>
      </c>
      <c r="T34" s="888">
        <f t="shared" si="6"/>
        <v>1208.7944605581492</v>
      </c>
      <c r="U34" s="888">
        <f t="shared" si="6"/>
        <v>1541.734267181052</v>
      </c>
      <c r="V34" s="888">
        <f t="shared" si="6"/>
        <v>1773.3200525978418</v>
      </c>
      <c r="W34" s="888">
        <f t="shared" si="6"/>
        <v>1979.3051666377448</v>
      </c>
      <c r="X34" s="888">
        <f t="shared" si="6"/>
        <v>2767.5098995085423</v>
      </c>
      <c r="Y34" s="888">
        <f t="shared" si="6"/>
        <v>3789.448048374089</v>
      </c>
      <c r="Z34" s="888">
        <f t="shared" si="6"/>
        <v>3923.8959210144781</v>
      </c>
      <c r="AA34" s="888">
        <f t="shared" si="6"/>
        <v>4447.0503337692589</v>
      </c>
      <c r="AB34" s="888">
        <f t="shared" si="6"/>
        <v>5045.6571088818328</v>
      </c>
      <c r="AC34" s="888">
        <f t="shared" si="6"/>
        <v>5624.7679181342855</v>
      </c>
      <c r="AD34" s="888">
        <f t="shared" si="6"/>
        <v>6259.3169283682719</v>
      </c>
      <c r="AE34" s="888">
        <f t="shared" si="6"/>
        <v>6853.9259071008355</v>
      </c>
      <c r="AF34" s="888">
        <f t="shared" si="6"/>
        <v>7480.2335486968295</v>
      </c>
      <c r="AG34" s="888">
        <f t="shared" si="6"/>
        <v>8130.6833948764533</v>
      </c>
      <c r="AH34" s="888">
        <f t="shared" ref="AH34" si="7">AH32+AH33</f>
        <v>8706.9591183860448</v>
      </c>
      <c r="AI34" s="862"/>
      <c r="AJ34" s="862"/>
      <c r="AK34" s="862"/>
      <c r="AL34" s="862"/>
      <c r="AM34" s="862"/>
      <c r="AN34" s="862"/>
      <c r="AO34" s="862"/>
      <c r="AP34" s="862"/>
      <c r="AQ34" s="862"/>
      <c r="AR34" s="862"/>
    </row>
    <row r="35" spans="1:44">
      <c r="A35" s="873" t="str">
        <f>Summary!A$68</f>
        <v>Europe</v>
      </c>
      <c r="B35" s="873" t="str">
        <f>Summary!B$68</f>
        <v>Italy</v>
      </c>
      <c r="E35" s="872" t="s">
        <v>899</v>
      </c>
      <c r="G35" s="880" t="str">
        <f t="shared" ref="G35:AG35" si="8">IF(G32/G34=0,"-",G32/G34)</f>
        <v>-</v>
      </c>
      <c r="H35" s="880" t="str">
        <f t="shared" si="8"/>
        <v>-</v>
      </c>
      <c r="I35" s="880" t="str">
        <f t="shared" si="8"/>
        <v>-</v>
      </c>
      <c r="J35" s="880" t="str">
        <f t="shared" si="8"/>
        <v>-</v>
      </c>
      <c r="K35" s="880">
        <f t="shared" si="8"/>
        <v>0.16791122627580229</v>
      </c>
      <c r="L35" s="880">
        <f t="shared" si="8"/>
        <v>0.36465108939096513</v>
      </c>
      <c r="M35" s="880">
        <f t="shared" si="8"/>
        <v>0.56699258297655486</v>
      </c>
      <c r="N35" s="880">
        <f t="shared" si="8"/>
        <v>0.63174665920574624</v>
      </c>
      <c r="O35" s="880">
        <f t="shared" si="8"/>
        <v>0.65518926682595746</v>
      </c>
      <c r="P35" s="880">
        <f t="shared" si="8"/>
        <v>0.69217241761226822</v>
      </c>
      <c r="Q35" s="880">
        <f t="shared" si="8"/>
        <v>0.69370292712515336</v>
      </c>
      <c r="R35" s="880">
        <f t="shared" si="8"/>
        <v>0.71491161224807565</v>
      </c>
      <c r="S35" s="880">
        <f t="shared" si="8"/>
        <v>0.76961393524655908</v>
      </c>
      <c r="T35" s="880">
        <f t="shared" si="8"/>
        <v>0.81899783917133051</v>
      </c>
      <c r="U35" s="880">
        <f t="shared" si="8"/>
        <v>0.86842490701067776</v>
      </c>
      <c r="V35" s="880">
        <f t="shared" si="8"/>
        <v>0.88699727362688419</v>
      </c>
      <c r="W35" s="880">
        <f t="shared" si="8"/>
        <v>0.90390420123621484</v>
      </c>
      <c r="X35" s="880">
        <f t="shared" si="8"/>
        <v>0.937420660165044</v>
      </c>
      <c r="Y35" s="880">
        <f t="shared" si="8"/>
        <v>0.95553280184794565</v>
      </c>
      <c r="Z35" s="880">
        <f t="shared" si="8"/>
        <v>0.9580750508535899</v>
      </c>
      <c r="AA35" s="880">
        <f t="shared" si="8"/>
        <v>0.9630745775317715</v>
      </c>
      <c r="AB35" s="880">
        <f t="shared" si="8"/>
        <v>0.97077906970298777</v>
      </c>
      <c r="AC35" s="880">
        <f t="shared" si="8"/>
        <v>0.97597132478921111</v>
      </c>
      <c r="AD35" s="880">
        <f t="shared" si="8"/>
        <v>0.98024016497983957</v>
      </c>
      <c r="AE35" s="880">
        <f t="shared" si="8"/>
        <v>0.98395955682683223</v>
      </c>
      <c r="AF35" s="880">
        <f t="shared" si="8"/>
        <v>0.98722963843665623</v>
      </c>
      <c r="AG35" s="880">
        <f t="shared" si="8"/>
        <v>0.99028037244132106</v>
      </c>
      <c r="AH35" s="880">
        <f t="shared" ref="AH35" si="9">IF(AH32/AH34=0,"-",AH32/AH34)</f>
        <v>0.99220815548376484</v>
      </c>
      <c r="AI35" s="862"/>
      <c r="AJ35" s="862"/>
      <c r="AK35" s="862"/>
      <c r="AL35" s="862"/>
      <c r="AM35" s="862"/>
      <c r="AN35" s="862"/>
      <c r="AO35" s="862"/>
      <c r="AP35" s="862"/>
      <c r="AQ35" s="862"/>
      <c r="AR35" s="862"/>
    </row>
    <row r="36" spans="1:44">
      <c r="A36" s="873"/>
      <c r="B36" s="873"/>
      <c r="T36" s="881"/>
      <c r="AI36" s="862"/>
      <c r="AJ36" s="862"/>
      <c r="AK36" s="862"/>
      <c r="AL36" s="862"/>
      <c r="AM36" s="862"/>
      <c r="AN36" s="862"/>
      <c r="AO36" s="862"/>
      <c r="AP36" s="862"/>
      <c r="AQ36" s="862"/>
      <c r="AR36" s="862"/>
    </row>
    <row r="37" spans="1:44">
      <c r="A37" s="873" t="str">
        <f>Summary!A$68</f>
        <v>Europe</v>
      </c>
      <c r="B37" s="873" t="str">
        <f>Summary!B$68</f>
        <v>Italy</v>
      </c>
      <c r="C37" s="872" t="s">
        <v>893</v>
      </c>
      <c r="D37" s="872" t="s">
        <v>89</v>
      </c>
      <c r="E37" s="872" t="s">
        <v>603</v>
      </c>
      <c r="G37" s="880">
        <f>IF(G22/G27=0,"-",G22/G27)</f>
        <v>4.175071979124502E-2</v>
      </c>
      <c r="H37" s="880">
        <f t="shared" ref="H37:AG39" si="10">IF(H22/H27=0,"-",H22/H27)</f>
        <v>4.8494441417135777E-2</v>
      </c>
      <c r="I37" s="880">
        <f t="shared" si="10"/>
        <v>6.4274971428694816E-2</v>
      </c>
      <c r="J37" s="880">
        <f t="shared" si="10"/>
        <v>6.3335762444172189E-2</v>
      </c>
      <c r="K37" s="880">
        <f t="shared" si="10"/>
        <v>0.10348430836858885</v>
      </c>
      <c r="L37" s="880">
        <f t="shared" si="10"/>
        <v>0.12392772523427527</v>
      </c>
      <c r="M37" s="880">
        <f t="shared" si="10"/>
        <v>0.1525409927151854</v>
      </c>
      <c r="N37" s="880">
        <f t="shared" si="10"/>
        <v>0.1808098904063955</v>
      </c>
      <c r="O37" s="880">
        <f t="shared" si="10"/>
        <v>0.19617800927436932</v>
      </c>
      <c r="P37" s="880">
        <f t="shared" si="10"/>
        <v>0.21364829297195909</v>
      </c>
      <c r="Q37" s="880">
        <f t="shared" si="10"/>
        <v>0.23584803775844021</v>
      </c>
      <c r="R37" s="880">
        <f t="shared" si="10"/>
        <v>0.23190862481591673</v>
      </c>
      <c r="S37" s="880">
        <f t="shared" si="10"/>
        <v>0.28693926462130104</v>
      </c>
      <c r="T37" s="880">
        <f t="shared" si="10"/>
        <v>0.31925438848296395</v>
      </c>
      <c r="U37" s="880">
        <f t="shared" si="10"/>
        <v>0.35730045902435525</v>
      </c>
      <c r="V37" s="880">
        <f t="shared" si="10"/>
        <v>0.37849357873490191</v>
      </c>
      <c r="W37" s="880">
        <f t="shared" si="10"/>
        <v>0.40027582995997896</v>
      </c>
      <c r="X37" s="880">
        <f t="shared" si="10"/>
        <v>0.58722915369866169</v>
      </c>
      <c r="Y37" s="880">
        <f t="shared" si="10"/>
        <v>0.73478180827082462</v>
      </c>
      <c r="Z37" s="880">
        <f t="shared" si="10"/>
        <v>0.5449164040791874</v>
      </c>
      <c r="AA37" s="880">
        <f t="shared" si="10"/>
        <v>0.54730631948605257</v>
      </c>
      <c r="AB37" s="880">
        <f t="shared" si="10"/>
        <v>0.56026149526873681</v>
      </c>
      <c r="AC37" s="880">
        <f t="shared" si="10"/>
        <v>0.56375566774647301</v>
      </c>
      <c r="AD37" s="880">
        <f t="shared" si="10"/>
        <v>0.59258510787177399</v>
      </c>
      <c r="AE37" s="880">
        <f t="shared" si="10"/>
        <v>0.60814930524971533</v>
      </c>
      <c r="AF37" s="880">
        <f t="shared" si="10"/>
        <v>0.62388498254227875</v>
      </c>
      <c r="AG37" s="880">
        <f t="shared" si="10"/>
        <v>0.6398139221209731</v>
      </c>
      <c r="AH37" s="880">
        <f t="shared" ref="AH37" si="11">IF(AH22/AH27=0,"-",AH22/AH27)</f>
        <v>0.63697191983372714</v>
      </c>
      <c r="AI37" s="862"/>
      <c r="AJ37" s="862"/>
      <c r="AK37" s="862"/>
      <c r="AL37" s="862"/>
      <c r="AM37" s="862"/>
      <c r="AN37" s="862"/>
      <c r="AO37" s="862"/>
      <c r="AP37" s="862"/>
      <c r="AQ37" s="862"/>
      <c r="AR37" s="862"/>
    </row>
    <row r="38" spans="1:44">
      <c r="A38" s="873" t="str">
        <f>Summary!A$68</f>
        <v>Europe</v>
      </c>
      <c r="B38" s="873" t="str">
        <f>Summary!B$68</f>
        <v>Italy</v>
      </c>
      <c r="C38" s="872" t="s">
        <v>893</v>
      </c>
      <c r="D38" s="872" t="s">
        <v>89</v>
      </c>
      <c r="E38" s="872" t="s">
        <v>604</v>
      </c>
      <c r="G38" s="880">
        <f>IF(G23/G28=0,"-",G23/G28)</f>
        <v>1.6666954098672099E-2</v>
      </c>
      <c r="H38" s="880">
        <f t="shared" si="10"/>
        <v>2.929708314584225E-2</v>
      </c>
      <c r="I38" s="880">
        <f t="shared" si="10"/>
        <v>3.3549048395906465E-2</v>
      </c>
      <c r="J38" s="880">
        <f t="shared" si="10"/>
        <v>3.2941649781304268E-2</v>
      </c>
      <c r="K38" s="880">
        <f t="shared" si="10"/>
        <v>4.1511861535892258E-2</v>
      </c>
      <c r="L38" s="880">
        <f t="shared" si="10"/>
        <v>5.0006182033460425E-2</v>
      </c>
      <c r="M38" s="880">
        <f t="shared" si="10"/>
        <v>8.0305685990914727E-2</v>
      </c>
      <c r="N38" s="880">
        <f t="shared" si="10"/>
        <v>8.0694921544387649E-2</v>
      </c>
      <c r="O38" s="880">
        <f t="shared" si="10"/>
        <v>7.5928592455129035E-2</v>
      </c>
      <c r="P38" s="880">
        <f t="shared" si="10"/>
        <v>6.9543651252687452E-2</v>
      </c>
      <c r="Q38" s="880">
        <f t="shared" si="10"/>
        <v>6.9966053616233273E-2</v>
      </c>
      <c r="R38" s="880">
        <f t="shared" si="10"/>
        <v>6.5320562061984694E-2</v>
      </c>
      <c r="S38" s="880">
        <f t="shared" si="10"/>
        <v>6.3550768528074689E-2</v>
      </c>
      <c r="T38" s="880">
        <f t="shared" si="10"/>
        <v>6.4477796303827217E-2</v>
      </c>
      <c r="U38" s="880">
        <f t="shared" si="10"/>
        <v>7.3975143648419797E-2</v>
      </c>
      <c r="V38" s="880">
        <f t="shared" si="10"/>
        <v>8.5458891395849487E-2</v>
      </c>
      <c r="W38" s="880">
        <f t="shared" si="10"/>
        <v>9.3386245788975836E-2</v>
      </c>
      <c r="X38" s="880">
        <f t="shared" si="10"/>
        <v>0.23878363278237802</v>
      </c>
      <c r="Y38" s="880">
        <f t="shared" si="10"/>
        <v>0.29891614971577407</v>
      </c>
      <c r="Z38" s="880">
        <f t="shared" si="10"/>
        <v>0.20466723847067828</v>
      </c>
      <c r="AA38" s="880">
        <f t="shared" si="10"/>
        <v>0.22982253451199766</v>
      </c>
      <c r="AB38" s="880">
        <f t="shared" si="10"/>
        <v>0.26407067518624616</v>
      </c>
      <c r="AC38" s="880">
        <f t="shared" si="10"/>
        <v>0.29580448437037621</v>
      </c>
      <c r="AD38" s="880">
        <f t="shared" si="10"/>
        <v>0.32453797421554043</v>
      </c>
      <c r="AE38" s="880">
        <f t="shared" si="10"/>
        <v>0.35063770247185527</v>
      </c>
      <c r="AF38" s="880">
        <f t="shared" si="10"/>
        <v>0.37430640740530607</v>
      </c>
      <c r="AG38" s="880">
        <f t="shared" si="10"/>
        <v>0.39557926653049158</v>
      </c>
      <c r="AH38" s="880">
        <f t="shared" ref="AH38" si="12">IF(AH23/AH28=0,"-",AH23/AH28)</f>
        <v>0.41469072078913294</v>
      </c>
      <c r="AI38" s="862"/>
      <c r="AJ38" s="862"/>
      <c r="AK38" s="862"/>
      <c r="AL38" s="862"/>
      <c r="AM38" s="862"/>
      <c r="AN38" s="862"/>
      <c r="AO38" s="862"/>
      <c r="AP38" s="862"/>
      <c r="AQ38" s="862"/>
      <c r="AR38" s="862"/>
    </row>
    <row r="39" spans="1:44">
      <c r="A39" s="873" t="str">
        <f>Summary!A$68</f>
        <v>Europe</v>
      </c>
      <c r="B39" s="873" t="str">
        <f>Summary!B$68</f>
        <v>Italy</v>
      </c>
      <c r="C39" s="872" t="s">
        <v>893</v>
      </c>
      <c r="D39" s="872" t="s">
        <v>89</v>
      </c>
      <c r="E39" s="872" t="s">
        <v>606</v>
      </c>
      <c r="G39" s="880" t="str">
        <f>IF(G24/G29=0,"-",G24/G29)</f>
        <v>-</v>
      </c>
      <c r="H39" s="880" t="str">
        <f t="shared" si="10"/>
        <v>-</v>
      </c>
      <c r="I39" s="880" t="str">
        <f t="shared" si="10"/>
        <v>-</v>
      </c>
      <c r="J39" s="880" t="str">
        <f t="shared" si="10"/>
        <v>-</v>
      </c>
      <c r="K39" s="880" t="str">
        <f t="shared" si="10"/>
        <v>-</v>
      </c>
      <c r="L39" s="880" t="str">
        <f t="shared" si="10"/>
        <v>-</v>
      </c>
      <c r="M39" s="880">
        <f t="shared" si="10"/>
        <v>5.0482170195782544E-4</v>
      </c>
      <c r="N39" s="880">
        <f t="shared" si="10"/>
        <v>1.534208883727682E-3</v>
      </c>
      <c r="O39" s="880">
        <f t="shared" si="10"/>
        <v>1.086248353850558E-3</v>
      </c>
      <c r="P39" s="880">
        <f t="shared" si="10"/>
        <v>2.1900269541778976E-3</v>
      </c>
      <c r="Q39" s="880">
        <f t="shared" si="10"/>
        <v>2.2980378292381124E-3</v>
      </c>
      <c r="R39" s="880">
        <f t="shared" si="10"/>
        <v>3.1272994849153787E-3</v>
      </c>
      <c r="S39" s="880">
        <f t="shared" si="10"/>
        <v>3.3216460601587007E-3</v>
      </c>
      <c r="T39" s="880">
        <f t="shared" si="10"/>
        <v>4.8161823727725164E-3</v>
      </c>
      <c r="U39" s="880">
        <f t="shared" si="10"/>
        <v>6.9160583941605801E-3</v>
      </c>
      <c r="V39" s="880">
        <f t="shared" si="10"/>
        <v>9.046476528111011E-3</v>
      </c>
      <c r="W39" s="880">
        <f t="shared" si="10"/>
        <v>1.0462239794320037E-2</v>
      </c>
      <c r="X39" s="880">
        <f t="shared" si="10"/>
        <v>1.6922944953139681E-2</v>
      </c>
      <c r="Y39" s="880">
        <f t="shared" si="10"/>
        <v>1.5275321521135768E-2</v>
      </c>
      <c r="Z39" s="880">
        <f t="shared" si="10"/>
        <v>1.9488063198249656E-2</v>
      </c>
      <c r="AA39" s="880">
        <f t="shared" si="10"/>
        <v>1.8586651412404061E-2</v>
      </c>
      <c r="AB39" s="880">
        <f t="shared" si="10"/>
        <v>2.1461452348072497E-2</v>
      </c>
      <c r="AC39" s="880">
        <f t="shared" si="10"/>
        <v>2.3143842778802416E-2</v>
      </c>
      <c r="AD39" s="880">
        <f t="shared" si="10"/>
        <v>2.5045395252447023E-2</v>
      </c>
      <c r="AE39" s="880">
        <f t="shared" si="10"/>
        <v>2.7239157906680141E-2</v>
      </c>
      <c r="AF39" s="880">
        <f t="shared" si="10"/>
        <v>2.9730132274613689E-2</v>
      </c>
      <c r="AG39" s="880">
        <f t="shared" si="10"/>
        <v>3.2579207377999707E-2</v>
      </c>
      <c r="AH39" s="880">
        <f t="shared" ref="AH39" si="13">IF(AH24/AH29=0,"-",AH24/AH29)</f>
        <v>3.5843190817974414E-2</v>
      </c>
      <c r="AI39" s="862"/>
      <c r="AJ39" s="862"/>
      <c r="AK39" s="862"/>
      <c r="AL39" s="862"/>
      <c r="AM39" s="862"/>
      <c r="AN39" s="862"/>
      <c r="AO39" s="862"/>
      <c r="AP39" s="862"/>
      <c r="AQ39" s="862"/>
      <c r="AR39" s="862"/>
    </row>
    <row r="40" spans="1:44">
      <c r="A40" s="876" t="str">
        <f>Summary!A$68</f>
        <v>Europe</v>
      </c>
      <c r="B40" s="877" t="str">
        <f>Summary!B$68</f>
        <v>Italy</v>
      </c>
      <c r="C40" s="877" t="s">
        <v>893</v>
      </c>
      <c r="D40" s="877" t="s">
        <v>89</v>
      </c>
      <c r="E40" s="877" t="s">
        <v>607</v>
      </c>
      <c r="F40" s="877"/>
      <c r="G40" s="882">
        <f t="shared" ref="G40:AG40" si="14">IF(G25/G30=0,"-",G25/G30)</f>
        <v>1.0425464590765649E-2</v>
      </c>
      <c r="H40" s="882">
        <f t="shared" si="14"/>
        <v>1.285870715357116E-2</v>
      </c>
      <c r="I40" s="882">
        <f t="shared" si="14"/>
        <v>2.1492482579416643E-2</v>
      </c>
      <c r="J40" s="882">
        <f t="shared" si="14"/>
        <v>2.242425759441085E-2</v>
      </c>
      <c r="K40" s="882">
        <f t="shared" si="14"/>
        <v>3.0331998840086014E-2</v>
      </c>
      <c r="L40" s="882">
        <f t="shared" si="14"/>
        <v>3.6228231148717205E-2</v>
      </c>
      <c r="M40" s="882">
        <f t="shared" si="14"/>
        <v>5.1418620132640834E-2</v>
      </c>
      <c r="N40" s="882">
        <f t="shared" si="14"/>
        <v>5.8952711054115953E-2</v>
      </c>
      <c r="O40" s="882">
        <f t="shared" si="14"/>
        <v>5.7268403949856668E-2</v>
      </c>
      <c r="P40" s="882">
        <f t="shared" si="14"/>
        <v>5.6332594290553019E-2</v>
      </c>
      <c r="Q40" s="882">
        <f t="shared" si="14"/>
        <v>5.8453276201475453E-2</v>
      </c>
      <c r="R40" s="882">
        <f t="shared" si="14"/>
        <v>5.7877179931641723E-2</v>
      </c>
      <c r="S40" s="882">
        <f t="shared" si="14"/>
        <v>6.0233459481404066E-2</v>
      </c>
      <c r="T40" s="882">
        <f t="shared" si="14"/>
        <v>6.316158664238683E-2</v>
      </c>
      <c r="U40" s="882">
        <f t="shared" si="14"/>
        <v>8.1089937176385171E-2</v>
      </c>
      <c r="V40" s="882">
        <f t="shared" si="14"/>
        <v>9.378570871516119E-2</v>
      </c>
      <c r="W40" s="882">
        <f t="shared" si="14"/>
        <v>0.10256121957166126</v>
      </c>
      <c r="X40" s="882">
        <f t="shared" si="14"/>
        <v>0.21405667142465873</v>
      </c>
      <c r="Y40" s="882">
        <f t="shared" si="14"/>
        <v>0.24708800118094407</v>
      </c>
      <c r="Z40" s="882">
        <f t="shared" si="14"/>
        <v>0.19609169669338294</v>
      </c>
      <c r="AA40" s="882">
        <f t="shared" si="14"/>
        <v>0.21742717001122816</v>
      </c>
      <c r="AB40" s="882">
        <f t="shared" si="14"/>
        <v>0.23793685644366905</v>
      </c>
      <c r="AC40" s="882">
        <f t="shared" si="14"/>
        <v>0.25970550650490004</v>
      </c>
      <c r="AD40" s="882">
        <f t="shared" si="14"/>
        <v>0.28233964215331631</v>
      </c>
      <c r="AE40" s="882">
        <f t="shared" si="14"/>
        <v>0.30098188310347923</v>
      </c>
      <c r="AF40" s="882">
        <f t="shared" si="14"/>
        <v>0.31858419655801634</v>
      </c>
      <c r="AG40" s="882">
        <f t="shared" si="14"/>
        <v>0.33504364800520603</v>
      </c>
      <c r="AH40" s="882">
        <f t="shared" ref="AH40" si="15">IF(AH25/AH30=0,"-",AH25/AH30)</f>
        <v>0.34662228627961589</v>
      </c>
      <c r="AI40" s="862"/>
      <c r="AJ40" s="862"/>
      <c r="AK40" s="862"/>
      <c r="AL40" s="862"/>
      <c r="AM40" s="862"/>
      <c r="AN40" s="862"/>
      <c r="AO40" s="862"/>
      <c r="AP40" s="862"/>
      <c r="AQ40" s="862"/>
      <c r="AR40" s="862"/>
    </row>
    <row r="41" spans="1:44">
      <c r="A41" s="873"/>
      <c r="B41" s="873"/>
      <c r="G41" s="874"/>
      <c r="H41" s="874"/>
      <c r="I41" s="874"/>
      <c r="J41" s="874"/>
      <c r="K41" s="874"/>
      <c r="L41" s="874"/>
      <c r="M41" s="874"/>
      <c r="N41" s="874"/>
      <c r="O41" s="874"/>
      <c r="P41" s="874"/>
      <c r="Q41" s="874"/>
      <c r="R41" s="874"/>
      <c r="S41" s="874"/>
      <c r="T41" s="874"/>
      <c r="U41" s="874"/>
      <c r="V41" s="874"/>
      <c r="W41" s="874"/>
      <c r="X41" s="874"/>
      <c r="Y41" s="874"/>
      <c r="Z41" s="874"/>
      <c r="AA41" s="874"/>
      <c r="AB41" s="874"/>
      <c r="AC41" s="874"/>
      <c r="AD41" s="874"/>
      <c r="AE41" s="874"/>
      <c r="AF41" s="874"/>
      <c r="AG41" s="874"/>
      <c r="AH41" s="874"/>
      <c r="AI41" s="862"/>
      <c r="AJ41" s="862"/>
      <c r="AK41" s="862"/>
      <c r="AL41" s="862"/>
      <c r="AM41" s="862"/>
      <c r="AN41" s="862"/>
      <c r="AO41" s="862"/>
      <c r="AP41" s="862"/>
      <c r="AQ41" s="862"/>
      <c r="AR41" s="862"/>
    </row>
    <row r="42" spans="1:44">
      <c r="A42" s="873" t="str">
        <f>Summary!A$21</f>
        <v>Europe</v>
      </c>
      <c r="B42" s="873" t="str">
        <f>Summary!B$21</f>
        <v>Italy</v>
      </c>
      <c r="C42" s="873" t="str">
        <f>Summary!C$21</f>
        <v>Adult Population</v>
      </c>
      <c r="D42" s="873"/>
      <c r="E42" s="873"/>
      <c r="G42" s="973">
        <f>Summary!G$21</f>
        <v>47.468538794231222</v>
      </c>
      <c r="H42" s="973">
        <f>Summary!H$21</f>
        <v>47.823310596511838</v>
      </c>
      <c r="I42" s="973">
        <f>Summary!I$21</f>
        <v>48.074149426197671</v>
      </c>
      <c r="J42" s="973">
        <f>Summary!J$21</f>
        <v>48.216926244728803</v>
      </c>
      <c r="K42" s="973">
        <f>Summary!K$21</f>
        <v>48.461154443087345</v>
      </c>
      <c r="L42" s="973">
        <f>Summary!L$21</f>
        <v>48.787865020472857</v>
      </c>
      <c r="M42" s="973">
        <f>Summary!M$21</f>
        <v>49.014974100193278</v>
      </c>
      <c r="N42" s="973">
        <f>Summary!N$21</f>
        <v>49.184951621250953</v>
      </c>
      <c r="O42" s="973">
        <f>Summary!O$21</f>
        <v>49.307839026836035</v>
      </c>
      <c r="P42" s="973">
        <f>Summary!P$21</f>
        <v>49.486173466698453</v>
      </c>
      <c r="Q42" s="973">
        <f>Summary!Q$21</f>
        <v>50.117039135765388</v>
      </c>
      <c r="R42" s="973">
        <f>Summary!R$21</f>
        <v>50.641601276360703</v>
      </c>
      <c r="S42" s="973">
        <f>Summary!S$21</f>
        <v>50.660625644385576</v>
      </c>
      <c r="T42" s="973">
        <f>Summary!T$21</f>
        <v>50.654198090078211</v>
      </c>
      <c r="U42" s="973">
        <f>Summary!U$21</f>
        <v>50.665563823740598</v>
      </c>
      <c r="V42" s="973">
        <f>Summary!V$21</f>
        <v>50.670555018347606</v>
      </c>
      <c r="W42" s="973">
        <f>Summary!W$21</f>
        <v>50.205637800934326</v>
      </c>
      <c r="X42" s="973">
        <f>Summary!X$21</f>
        <v>50.082011676992209</v>
      </c>
      <c r="Y42" s="973">
        <f>Summary!Y$21</f>
        <v>49.946632824304345</v>
      </c>
      <c r="Z42" s="973">
        <f>Summary!Z$21</f>
        <v>49.90742310078457</v>
      </c>
      <c r="AA42" s="973">
        <f>Summary!AA$21</f>
        <v>49.883252191753044</v>
      </c>
      <c r="AB42" s="973">
        <f>Summary!AB$21</f>
        <v>49.844083966644689</v>
      </c>
      <c r="AC42" s="973">
        <f>Summary!AC$21</f>
        <v>49.800628411018266</v>
      </c>
      <c r="AD42" s="973">
        <f>Summary!AD$21</f>
        <v>49.749045703823477</v>
      </c>
      <c r="AE42" s="973">
        <f>Summary!AE$21</f>
        <v>49.691519247844056</v>
      </c>
      <c r="AF42" s="973">
        <f>Summary!AF$21</f>
        <v>49.623764381695494</v>
      </c>
      <c r="AG42" s="973">
        <f>Summary!AG$21</f>
        <v>49.54660369854021</v>
      </c>
      <c r="AH42" s="973">
        <f>Summary!AH$21</f>
        <v>49.458179029086949</v>
      </c>
      <c r="AI42" s="862"/>
      <c r="AJ42" s="862"/>
      <c r="AK42" s="862"/>
      <c r="AL42" s="862"/>
      <c r="AM42" s="862"/>
      <c r="AN42" s="862"/>
      <c r="AO42" s="862"/>
      <c r="AP42" s="862"/>
      <c r="AQ42" s="862"/>
      <c r="AR42" s="862"/>
    </row>
    <row r="43" spans="1:44">
      <c r="A43" s="876" t="str">
        <f>A42</f>
        <v>Europe</v>
      </c>
      <c r="B43" s="877" t="str">
        <f>B42</f>
        <v>Italy</v>
      </c>
      <c r="C43" s="877" t="s">
        <v>926</v>
      </c>
      <c r="D43" s="877"/>
      <c r="E43" s="877" t="s">
        <v>895</v>
      </c>
      <c r="F43" s="877"/>
      <c r="G43" s="888">
        <f>G30/G42</f>
        <v>155.72455047474048</v>
      </c>
      <c r="H43" s="888">
        <f t="shared" ref="H43:AG43" si="16">H30/H42</f>
        <v>225.56598166341573</v>
      </c>
      <c r="I43" s="888">
        <f t="shared" si="16"/>
        <v>223.28154417588846</v>
      </c>
      <c r="J43" s="888">
        <f t="shared" si="16"/>
        <v>260.24912270592796</v>
      </c>
      <c r="K43" s="888">
        <f t="shared" si="16"/>
        <v>294.89788198021643</v>
      </c>
      <c r="L43" s="888">
        <f t="shared" si="16"/>
        <v>322.36479197294636</v>
      </c>
      <c r="M43" s="888">
        <f t="shared" si="16"/>
        <v>345.17729466732573</v>
      </c>
      <c r="N43" s="888">
        <f t="shared" si="16"/>
        <v>365.23375367574221</v>
      </c>
      <c r="O43" s="888">
        <f t="shared" si="16"/>
        <v>390.707772150832</v>
      </c>
      <c r="P43" s="888">
        <f t="shared" si="16"/>
        <v>383.37925991998964</v>
      </c>
      <c r="Q43" s="888">
        <f t="shared" si="16"/>
        <v>355.38625770405565</v>
      </c>
      <c r="R43" s="888">
        <f t="shared" si="16"/>
        <v>345.11471052374657</v>
      </c>
      <c r="S43" s="888">
        <f t="shared" si="16"/>
        <v>348.2522890819323</v>
      </c>
      <c r="T43" s="888">
        <f t="shared" si="16"/>
        <v>387.19592654736385</v>
      </c>
      <c r="U43" s="888">
        <f t="shared" si="16"/>
        <v>384.48261373205764</v>
      </c>
      <c r="V43" s="888">
        <f t="shared" si="16"/>
        <v>383.42663556742656</v>
      </c>
      <c r="W43" s="888">
        <f t="shared" si="16"/>
        <v>395.6797918338292</v>
      </c>
      <c r="X43" s="888">
        <f t="shared" si="16"/>
        <v>265.33085719854205</v>
      </c>
      <c r="Y43" s="888">
        <f t="shared" si="16"/>
        <v>314.87406054656651</v>
      </c>
      <c r="Z43" s="888">
        <f t="shared" si="16"/>
        <v>413.29426248274967</v>
      </c>
      <c r="AA43" s="888">
        <f t="shared" si="16"/>
        <v>420.18927481435412</v>
      </c>
      <c r="AB43" s="888">
        <f t="shared" si="16"/>
        <v>437.1794591578207</v>
      </c>
      <c r="AC43" s="888">
        <f t="shared" si="16"/>
        <v>446.81013358070629</v>
      </c>
      <c r="AD43" s="888">
        <f t="shared" si="16"/>
        <v>457.83698392364778</v>
      </c>
      <c r="AE43" s="888">
        <f t="shared" si="16"/>
        <v>471.14183104923615</v>
      </c>
      <c r="AF43" s="888">
        <f t="shared" si="16"/>
        <v>486.87505840024284</v>
      </c>
      <c r="AG43" s="888">
        <f t="shared" si="16"/>
        <v>504.58887333790722</v>
      </c>
      <c r="AH43" s="888">
        <f t="shared" ref="AH43" si="17">AH30/AH42</f>
        <v>524.20163114761158</v>
      </c>
      <c r="AI43" s="862"/>
      <c r="AJ43" s="862"/>
      <c r="AK43" s="862"/>
      <c r="AL43" s="862"/>
      <c r="AM43" s="862"/>
      <c r="AN43" s="862"/>
      <c r="AO43" s="862"/>
      <c r="AP43" s="862"/>
      <c r="AQ43" s="862"/>
      <c r="AR43" s="862"/>
    </row>
    <row r="44" spans="1:44">
      <c r="A44" s="873"/>
      <c r="B44" s="873"/>
      <c r="G44" s="874"/>
      <c r="H44" s="874"/>
      <c r="I44" s="874"/>
      <c r="J44" s="874"/>
      <c r="K44" s="874"/>
      <c r="L44" s="874"/>
      <c r="M44" s="874"/>
      <c r="N44" s="874"/>
      <c r="O44" s="874"/>
      <c r="P44" s="874"/>
      <c r="Q44" s="874"/>
      <c r="R44" s="874"/>
      <c r="S44" s="874"/>
      <c r="T44" s="874"/>
      <c r="U44" s="874"/>
      <c r="V44" s="874"/>
      <c r="W44" s="874"/>
      <c r="X44" s="874"/>
      <c r="Y44" s="874"/>
      <c r="Z44" s="874"/>
      <c r="AA44" s="874"/>
      <c r="AB44" s="874"/>
      <c r="AC44" s="874"/>
      <c r="AD44" s="874"/>
      <c r="AE44" s="874"/>
      <c r="AF44" s="874"/>
      <c r="AG44" s="874"/>
      <c r="AH44" s="874"/>
      <c r="AI44" s="862"/>
      <c r="AJ44" s="862"/>
      <c r="AK44" s="862"/>
      <c r="AL44" s="862"/>
      <c r="AM44" s="862"/>
      <c r="AN44" s="862"/>
      <c r="AO44" s="862"/>
      <c r="AP44" s="862"/>
      <c r="AQ44" s="862"/>
      <c r="AR44" s="862"/>
    </row>
    <row r="45" spans="1:44">
      <c r="A45" s="873" t="str">
        <f>Summary!A$19</f>
        <v>Europe</v>
      </c>
      <c r="B45" s="873" t="str">
        <f>Summary!B$19</f>
        <v>Italy</v>
      </c>
      <c r="C45" s="873" t="s">
        <v>928</v>
      </c>
      <c r="D45" s="873"/>
      <c r="E45" s="873"/>
      <c r="G45" s="974">
        <f>Summary!G$19/Summary!G$18</f>
        <v>1399.3860808116267</v>
      </c>
      <c r="H45" s="974">
        <f>Summary!H$19/Summary!H$18</f>
        <v>1457.3570936540793</v>
      </c>
      <c r="I45" s="974">
        <f>Summary!I$19/Summary!I$18</f>
        <v>1499.0733271194213</v>
      </c>
      <c r="J45" s="974">
        <f>Summary!J$19/Summary!J$18</f>
        <v>1559.8635944611374</v>
      </c>
      <c r="K45" s="974">
        <f>Summary!K$19/Summary!K$18</f>
        <v>1621.7134344553915</v>
      </c>
      <c r="L45" s="974">
        <f>Summary!L$19/Summary!L$18</f>
        <v>1643.717588655051</v>
      </c>
      <c r="M45" s="974">
        <f>Summary!M$19/Summary!M$18</f>
        <v>1584.1065313531649</v>
      </c>
      <c r="N45" s="974">
        <f>Summary!N$19/Summary!N$18</f>
        <v>1617.9439718398828</v>
      </c>
      <c r="O45" s="974">
        <f>Summary!O$19/Summary!O$18</f>
        <v>1657.3620927564452</v>
      </c>
      <c r="P45" s="974">
        <f>Summary!P$19/Summary!P$18</f>
        <v>1632.8995723677006</v>
      </c>
      <c r="Q45" s="974">
        <f>Summary!Q$19/Summary!Q$18</f>
        <v>1621.262108301531</v>
      </c>
      <c r="R45" s="974">
        <f>Summary!R$19/Summary!R$18</f>
        <v>1635.8704646741953</v>
      </c>
      <c r="S45" s="974">
        <f>Summary!S$19/Summary!S$18</f>
        <v>1663.2779263168966</v>
      </c>
      <c r="T45" s="974">
        <f>Summary!T$19/Summary!T$18</f>
        <v>1704.8560881692947</v>
      </c>
      <c r="U45" s="974">
        <f>Summary!U$19/Summary!U$18</f>
        <v>1744.4945701864985</v>
      </c>
      <c r="V45" s="974">
        <f>Summary!V$19/Summary!V$18</f>
        <v>1777.7440963077979</v>
      </c>
      <c r="W45" s="974">
        <f>Summary!W$19/Summary!W$18</f>
        <v>1804.0681287597856</v>
      </c>
      <c r="X45" s="974">
        <f>Summary!X$19/Summary!X$18</f>
        <v>1670.0136184799637</v>
      </c>
      <c r="Y45" s="974">
        <f>Summary!Y$19/Summary!Y$18</f>
        <v>1842.5072302842771</v>
      </c>
      <c r="Z45" s="974">
        <f>Summary!Z$19/Summary!Z$18</f>
        <v>1998.0715777349633</v>
      </c>
      <c r="AA45" s="974">
        <f>Summary!AA$19/Summary!AA$18</f>
        <v>2131.3907871646907</v>
      </c>
      <c r="AB45" s="974">
        <f>Summary!AB$19/Summary!AB$18</f>
        <v>2192.1806679331553</v>
      </c>
      <c r="AC45" s="974">
        <f>Summary!AC$19/Summary!AC$18</f>
        <v>2249.8339160017213</v>
      </c>
      <c r="AD45" s="974">
        <f>Summary!AD$19/Summary!AD$18</f>
        <v>2313.0774656573581</v>
      </c>
      <c r="AE45" s="974">
        <f>Summary!AE$19/Summary!AE$18</f>
        <v>2372.7585112631045</v>
      </c>
      <c r="AF45" s="974">
        <f>Summary!AF$19/Summary!AF$18</f>
        <v>2436.672144523297</v>
      </c>
      <c r="AG45" s="974">
        <f>Summary!AG$19/Summary!AG$18</f>
        <v>2502.8031330001218</v>
      </c>
      <c r="AH45" s="974">
        <f>Summary!AH$19/Summary!AH$18</f>
        <v>2570.7284676492368</v>
      </c>
      <c r="AI45" s="862"/>
      <c r="AJ45" s="862"/>
      <c r="AK45" s="862"/>
      <c r="AL45" s="862"/>
      <c r="AM45" s="862"/>
      <c r="AN45" s="862"/>
      <c r="AO45" s="862"/>
      <c r="AP45" s="862"/>
      <c r="AQ45" s="862"/>
      <c r="AR45" s="862"/>
    </row>
    <row r="46" spans="1:44">
      <c r="A46" s="876" t="str">
        <f>A45</f>
        <v>Europe</v>
      </c>
      <c r="B46" s="877" t="str">
        <f>B45</f>
        <v>Italy</v>
      </c>
      <c r="C46" s="877" t="s">
        <v>927</v>
      </c>
      <c r="D46" s="877"/>
      <c r="E46" s="877" t="s">
        <v>895</v>
      </c>
      <c r="F46" s="877"/>
      <c r="G46" s="975">
        <f>G30/(G45*1000)</f>
        <v>5.2823284201434654E-3</v>
      </c>
      <c r="H46" s="975">
        <f t="shared" ref="H46:AG46" si="18">H30/(H45*1000)</f>
        <v>7.4019689807453045E-3</v>
      </c>
      <c r="I46" s="975">
        <f t="shared" si="18"/>
        <v>7.1604704884250846E-3</v>
      </c>
      <c r="J46" s="975">
        <f t="shared" si="18"/>
        <v>8.044557741667159E-3</v>
      </c>
      <c r="K46" s="975">
        <f t="shared" si="18"/>
        <v>8.8123410091758211E-3</v>
      </c>
      <c r="L46" s="975">
        <f t="shared" si="18"/>
        <v>9.5682433933177765E-3</v>
      </c>
      <c r="M46" s="975">
        <f t="shared" si="18"/>
        <v>1.0680377754418727E-2</v>
      </c>
      <c r="N46" s="975">
        <f t="shared" si="18"/>
        <v>1.1102983056057917E-2</v>
      </c>
      <c r="O46" s="975">
        <f t="shared" si="18"/>
        <v>1.1623866637197187E-2</v>
      </c>
      <c r="P46" s="975">
        <f t="shared" si="18"/>
        <v>1.1618578926091435E-2</v>
      </c>
      <c r="Q46" s="975">
        <f t="shared" si="18"/>
        <v>1.0985828197962665E-2</v>
      </c>
      <c r="R46" s="975">
        <f t="shared" si="18"/>
        <v>1.0683707507630209E-2</v>
      </c>
      <c r="S46" s="975">
        <f t="shared" si="18"/>
        <v>1.0607174283883775E-2</v>
      </c>
      <c r="T46" s="975">
        <f t="shared" si="18"/>
        <v>1.1504254992022489E-2</v>
      </c>
      <c r="U46" s="975">
        <f t="shared" si="18"/>
        <v>1.1166574398152251E-2</v>
      </c>
      <c r="V46" s="975">
        <f t="shared" si="18"/>
        <v>1.092870479692223E-2</v>
      </c>
      <c r="W46" s="975">
        <f t="shared" si="18"/>
        <v>1.1011422460866178E-2</v>
      </c>
      <c r="X46" s="975">
        <f t="shared" si="18"/>
        <v>7.9570028300599543E-3</v>
      </c>
      <c r="Y46" s="975">
        <f t="shared" si="18"/>
        <v>8.5355969461192605E-3</v>
      </c>
      <c r="Z46" s="975">
        <f t="shared" si="18"/>
        <v>1.0323179536058305E-2</v>
      </c>
      <c r="AA46" s="975">
        <f t="shared" si="18"/>
        <v>9.8341457090171149E-3</v>
      </c>
      <c r="AB46" s="975">
        <f t="shared" si="18"/>
        <v>9.9402435161968956E-3</v>
      </c>
      <c r="AC46" s="975">
        <f t="shared" si="18"/>
        <v>9.8902524646237774E-3</v>
      </c>
      <c r="AD46" s="975">
        <f t="shared" si="18"/>
        <v>9.8470342547067359E-3</v>
      </c>
      <c r="AE46" s="975">
        <f t="shared" si="18"/>
        <v>9.8668925872210621E-3</v>
      </c>
      <c r="AF46" s="975">
        <f t="shared" si="18"/>
        <v>9.9153976195285737E-3</v>
      </c>
      <c r="AG46" s="975">
        <f t="shared" si="18"/>
        <v>9.9890657033011518E-3</v>
      </c>
      <c r="AH46" s="975">
        <f t="shared" ref="AH46" si="19">AH30/(AH45*1000)</f>
        <v>1.0085101731629268E-2</v>
      </c>
      <c r="AI46" s="862"/>
      <c r="AJ46" s="862"/>
      <c r="AK46" s="862"/>
      <c r="AL46" s="862"/>
      <c r="AM46" s="862"/>
      <c r="AN46" s="862"/>
      <c r="AO46" s="862"/>
      <c r="AP46" s="862"/>
      <c r="AQ46" s="862"/>
      <c r="AR46" s="862"/>
    </row>
    <row r="47" spans="1:44" s="976" customFormat="1">
      <c r="F47" s="977"/>
      <c r="G47" s="978"/>
      <c r="H47" s="978"/>
      <c r="I47" s="978"/>
      <c r="J47" s="978"/>
      <c r="K47" s="978"/>
      <c r="L47" s="978"/>
      <c r="M47" s="978"/>
      <c r="N47" s="978"/>
      <c r="O47" s="978"/>
      <c r="P47" s="978"/>
      <c r="Q47" s="978"/>
      <c r="R47" s="978"/>
      <c r="S47" s="978"/>
      <c r="T47" s="978"/>
      <c r="U47" s="978"/>
      <c r="V47" s="978"/>
      <c r="W47" s="978"/>
      <c r="X47" s="978"/>
      <c r="Y47" s="978"/>
      <c r="AI47" s="862"/>
      <c r="AJ47" s="862"/>
      <c r="AK47" s="862"/>
      <c r="AL47" s="862"/>
      <c r="AM47" s="862"/>
      <c r="AN47" s="862"/>
      <c r="AO47" s="862"/>
      <c r="AP47" s="862"/>
      <c r="AQ47" s="862"/>
      <c r="AR47" s="862"/>
    </row>
    <row r="48" spans="1:44">
      <c r="F48" s="883"/>
      <c r="G48" s="884"/>
      <c r="H48" s="884"/>
      <c r="I48" s="884"/>
      <c r="J48" s="884"/>
      <c r="K48" s="884"/>
      <c r="L48" s="884"/>
      <c r="M48" s="884"/>
      <c r="N48" s="884"/>
      <c r="O48" s="884"/>
      <c r="P48" s="884"/>
      <c r="Q48" s="884"/>
      <c r="R48" s="884"/>
      <c r="S48" s="884"/>
      <c r="T48" s="884"/>
      <c r="U48" s="884"/>
      <c r="V48" s="884"/>
      <c r="W48" s="884"/>
      <c r="X48" s="884"/>
      <c r="Y48" s="884"/>
      <c r="AI48" s="862"/>
      <c r="AJ48" s="862"/>
      <c r="AK48" s="862"/>
      <c r="AL48" s="862"/>
      <c r="AM48" s="862"/>
      <c r="AN48" s="862"/>
      <c r="AO48" s="862"/>
      <c r="AP48" s="862"/>
      <c r="AQ48" s="862"/>
      <c r="AR48" s="862"/>
    </row>
    <row r="49" spans="6:25">
      <c r="F49" s="883"/>
      <c r="G49" s="885"/>
      <c r="H49" s="885"/>
      <c r="I49" s="885"/>
      <c r="J49" s="885"/>
      <c r="K49" s="885"/>
      <c r="L49" s="885"/>
      <c r="M49" s="885"/>
      <c r="N49" s="885"/>
      <c r="O49" s="885"/>
      <c r="P49" s="885"/>
      <c r="Q49" s="885"/>
      <c r="R49" s="885"/>
      <c r="S49" s="885"/>
      <c r="T49" s="885"/>
      <c r="U49" s="885"/>
      <c r="V49" s="885"/>
      <c r="W49" s="885"/>
      <c r="X49" s="885"/>
      <c r="Y49" s="885"/>
    </row>
    <row r="50" spans="6:25">
      <c r="F50" s="883"/>
      <c r="G50" s="885"/>
      <c r="H50" s="885"/>
      <c r="I50" s="885"/>
      <c r="J50" s="885"/>
      <c r="K50" s="885"/>
      <c r="L50" s="885"/>
      <c r="M50" s="885"/>
      <c r="N50" s="885"/>
      <c r="O50" s="885"/>
      <c r="P50" s="885"/>
      <c r="Q50" s="885"/>
      <c r="R50" s="885"/>
      <c r="S50" s="885"/>
      <c r="T50" s="885"/>
      <c r="U50" s="885"/>
      <c r="V50" s="885"/>
      <c r="W50" s="885"/>
      <c r="X50" s="885"/>
      <c r="Y50" s="885"/>
    </row>
    <row r="51" spans="6:25">
      <c r="G51" s="885"/>
      <c r="H51" s="885"/>
      <c r="I51" s="885"/>
      <c r="J51" s="885"/>
      <c r="K51" s="885"/>
      <c r="L51" s="885"/>
      <c r="M51" s="885"/>
      <c r="N51" s="885"/>
      <c r="O51" s="885"/>
      <c r="P51" s="885"/>
      <c r="Q51" s="885"/>
      <c r="R51" s="885"/>
      <c r="S51" s="885"/>
      <c r="T51" s="885"/>
      <c r="U51" s="885"/>
      <c r="V51" s="885"/>
      <c r="W51" s="885"/>
      <c r="X51" s="885"/>
      <c r="Y51" s="88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95D68-EFDC-AF4A-81AB-AC90DBE2C1D8}">
  <dimension ref="A1:BN157"/>
  <sheetViews>
    <sheetView topLeftCell="A118" zoomScale="80" zoomScaleNormal="80" workbookViewId="0">
      <selection activeCell="I143" sqref="I143"/>
    </sheetView>
  </sheetViews>
  <sheetFormatPr baseColWidth="10" defaultColWidth="10.83203125" defaultRowHeight="16"/>
  <cols>
    <col min="1" max="1" width="17.83203125" style="898" customWidth="1"/>
    <col min="2" max="2" width="10.83203125" style="898"/>
    <col min="3" max="3" width="18.33203125" style="898" customWidth="1"/>
    <col min="4" max="4" width="25" style="898" customWidth="1"/>
    <col min="5" max="5" width="19" style="898" customWidth="1"/>
    <col min="6" max="6" width="13.5" style="898" customWidth="1"/>
    <col min="7" max="16384" width="10.83203125" style="898"/>
  </cols>
  <sheetData>
    <row r="1" spans="1:66" s="890" customFormat="1" ht="14" customHeight="1">
      <c r="A1" s="846"/>
      <c r="B1" s="846"/>
      <c r="C1" s="846"/>
      <c r="D1" s="846"/>
      <c r="E1" s="846"/>
      <c r="F1" s="846"/>
      <c r="G1" s="846"/>
      <c r="H1" s="846"/>
      <c r="I1" s="846"/>
      <c r="J1" s="846"/>
      <c r="K1" s="846"/>
      <c r="L1" s="846"/>
      <c r="M1" s="846"/>
      <c r="N1" s="846"/>
      <c r="O1" s="846"/>
      <c r="P1" s="846"/>
      <c r="Q1" s="846"/>
      <c r="R1" s="846"/>
      <c r="S1" s="846"/>
      <c r="T1" s="846"/>
      <c r="U1" s="847"/>
      <c r="V1" s="846"/>
      <c r="W1" s="846"/>
      <c r="X1" s="846"/>
      <c r="Y1" s="846"/>
      <c r="Z1" s="846"/>
      <c r="AA1" s="846"/>
      <c r="AB1" s="846"/>
      <c r="AC1" s="846"/>
      <c r="AD1" s="846"/>
      <c r="AE1" s="846"/>
      <c r="AF1" s="846"/>
      <c r="AG1" s="846"/>
      <c r="AH1" s="846"/>
    </row>
    <row r="2" spans="1:66" s="890" customFormat="1" ht="14" customHeight="1">
      <c r="A2" s="849"/>
      <c r="B2" s="850"/>
      <c r="C2" s="851"/>
      <c r="D2" s="851"/>
      <c r="E2" s="851"/>
      <c r="F2" s="851"/>
      <c r="G2" s="851"/>
      <c r="H2" s="851"/>
      <c r="I2" s="851"/>
      <c r="J2" s="851"/>
      <c r="K2" s="851"/>
      <c r="L2" s="851"/>
      <c r="M2" s="851"/>
      <c r="N2" s="851"/>
      <c r="O2" s="851"/>
      <c r="P2" s="851"/>
      <c r="Q2" s="851"/>
      <c r="R2" s="852"/>
      <c r="S2" s="852"/>
      <c r="T2" s="846"/>
      <c r="U2" s="852"/>
      <c r="V2" s="846"/>
      <c r="W2" s="853"/>
      <c r="X2" s="846"/>
      <c r="Y2" s="846"/>
      <c r="Z2" s="846"/>
      <c r="AA2" s="846"/>
      <c r="AB2" s="846"/>
      <c r="AC2" s="846"/>
      <c r="AD2" s="846"/>
      <c r="AE2" s="846"/>
      <c r="AF2" s="846"/>
      <c r="AG2" s="846"/>
      <c r="AH2" s="846"/>
    </row>
    <row r="3" spans="1:66" s="890" customFormat="1" ht="14" customHeight="1">
      <c r="A3" s="849"/>
      <c r="B3" s="850"/>
      <c r="C3" s="851"/>
      <c r="D3" s="851"/>
      <c r="E3" s="851"/>
      <c r="F3" s="851"/>
      <c r="G3" s="851"/>
      <c r="H3" s="851"/>
      <c r="I3" s="851"/>
      <c r="J3" s="851"/>
      <c r="K3" s="851"/>
      <c r="L3" s="851"/>
      <c r="M3" s="851"/>
      <c r="N3" s="851"/>
      <c r="O3" s="851"/>
      <c r="P3" s="851"/>
      <c r="Q3" s="851"/>
      <c r="R3" s="852"/>
      <c r="S3" s="852"/>
      <c r="T3" s="846"/>
      <c r="U3" s="852"/>
      <c r="V3" s="846"/>
      <c r="W3" s="853"/>
      <c r="X3" s="846"/>
      <c r="Y3" s="846"/>
      <c r="Z3" s="846"/>
      <c r="AA3" s="846"/>
      <c r="AB3" s="846"/>
      <c r="AC3" s="846"/>
      <c r="AD3" s="846"/>
      <c r="AE3" s="846"/>
      <c r="AF3" s="846"/>
      <c r="AG3" s="846"/>
      <c r="AH3" s="846"/>
    </row>
    <row r="4" spans="1:66" s="890" customFormat="1" ht="14" customHeight="1">
      <c r="A4" s="849"/>
      <c r="B4" s="850"/>
      <c r="C4" s="851"/>
      <c r="D4" s="851"/>
      <c r="E4" s="851"/>
      <c r="F4" s="851"/>
      <c r="G4" s="851"/>
      <c r="H4" s="851"/>
      <c r="I4" s="851"/>
      <c r="J4" s="851"/>
      <c r="K4" s="851"/>
      <c r="L4" s="851"/>
      <c r="M4" s="851"/>
      <c r="N4" s="851"/>
      <c r="O4" s="851"/>
      <c r="P4" s="851"/>
      <c r="Q4" s="851"/>
      <c r="R4" s="852"/>
      <c r="S4" s="852"/>
      <c r="T4" s="846"/>
      <c r="U4" s="852"/>
      <c r="V4" s="846"/>
      <c r="W4" s="853"/>
      <c r="X4" s="846"/>
      <c r="Y4" s="846"/>
      <c r="Z4" s="846"/>
      <c r="AA4" s="846"/>
      <c r="AB4" s="846"/>
      <c r="AC4" s="846"/>
      <c r="AD4" s="846"/>
      <c r="AE4" s="846"/>
      <c r="AF4" s="846"/>
      <c r="AG4" s="846"/>
      <c r="AH4" s="846"/>
    </row>
    <row r="5" spans="1:66" s="890" customFormat="1" ht="14" customHeight="1">
      <c r="A5" s="849"/>
      <c r="B5" s="850"/>
      <c r="C5" s="851"/>
      <c r="D5" s="851"/>
      <c r="E5" s="851"/>
      <c r="F5" s="851"/>
      <c r="G5" s="851"/>
      <c r="H5" s="851"/>
      <c r="I5" s="851"/>
      <c r="J5" s="851"/>
      <c r="K5" s="851"/>
      <c r="L5" s="851"/>
      <c r="M5" s="851"/>
      <c r="N5" s="851"/>
      <c r="O5" s="851"/>
      <c r="P5" s="851"/>
      <c r="Q5" s="851"/>
      <c r="R5" s="852"/>
      <c r="S5" s="852"/>
      <c r="T5" s="846"/>
      <c r="U5" s="852"/>
      <c r="V5" s="846"/>
      <c r="W5" s="853"/>
      <c r="X5" s="846"/>
      <c r="Y5" s="846"/>
      <c r="Z5" s="846"/>
      <c r="AA5" s="846"/>
      <c r="AB5" s="846"/>
      <c r="AC5" s="846"/>
      <c r="AD5" s="846"/>
      <c r="AE5" s="846"/>
      <c r="AF5" s="846"/>
      <c r="AG5" s="846"/>
      <c r="AH5" s="846"/>
    </row>
    <row r="6" spans="1:66" s="890" customFormat="1" ht="14" customHeight="1">
      <c r="A6" s="849"/>
      <c r="B6" s="850"/>
      <c r="C6" s="851"/>
      <c r="D6" s="851"/>
      <c r="E6" s="851"/>
      <c r="F6" s="851"/>
      <c r="G6" s="851"/>
      <c r="H6" s="851"/>
      <c r="I6" s="851"/>
      <c r="J6" s="851"/>
      <c r="K6" s="851"/>
      <c r="L6" s="851"/>
      <c r="M6" s="851"/>
      <c r="N6" s="851"/>
      <c r="O6" s="851"/>
      <c r="P6" s="854"/>
      <c r="Q6" s="854"/>
      <c r="R6" s="855"/>
      <c r="S6" s="852"/>
      <c r="T6" s="852"/>
      <c r="U6" s="856"/>
      <c r="V6" s="846"/>
      <c r="W6" s="846"/>
      <c r="X6" s="846"/>
      <c r="Y6" s="846"/>
      <c r="Z6" s="846"/>
      <c r="AA6" s="846"/>
      <c r="AB6" s="846"/>
      <c r="AC6" s="846"/>
      <c r="AD6" s="846"/>
      <c r="AE6" s="846"/>
      <c r="AF6" s="846"/>
      <c r="AG6" s="846"/>
      <c r="AH6" s="846"/>
    </row>
    <row r="7" spans="1:66" s="890" customFormat="1" ht="14" customHeight="1">
      <c r="A7" s="849"/>
      <c r="B7" s="850"/>
      <c r="C7" s="851"/>
      <c r="D7" s="851"/>
      <c r="E7" s="851"/>
      <c r="F7" s="851"/>
      <c r="G7" s="846"/>
      <c r="H7" s="846"/>
      <c r="I7" s="846"/>
      <c r="J7" s="846"/>
      <c r="K7" s="846"/>
      <c r="L7" s="846"/>
      <c r="M7" s="846"/>
      <c r="N7" s="846"/>
      <c r="O7" s="853"/>
      <c r="P7" s="853"/>
      <c r="Q7" s="857"/>
      <c r="R7" s="846"/>
      <c r="S7" s="853"/>
      <c r="T7" s="858"/>
      <c r="U7" s="858"/>
      <c r="V7" s="846"/>
      <c r="W7" s="846"/>
      <c r="X7" s="846"/>
      <c r="Y7" s="846"/>
      <c r="Z7" s="846"/>
      <c r="AA7" s="846"/>
      <c r="AB7" s="846"/>
      <c r="AC7" s="846"/>
      <c r="AD7" s="846"/>
      <c r="AE7" s="846"/>
      <c r="AF7" s="846"/>
      <c r="AG7" s="846"/>
      <c r="AH7" s="846"/>
    </row>
    <row r="8" spans="1:66" s="890" customFormat="1" ht="14" customHeight="1">
      <c r="A8" s="849"/>
      <c r="B8" s="850"/>
      <c r="C8" s="851"/>
      <c r="D8" s="851"/>
      <c r="E8" s="851"/>
      <c r="F8" s="851"/>
      <c r="G8" s="846"/>
      <c r="H8" s="846"/>
      <c r="I8" s="846"/>
      <c r="J8" s="846"/>
      <c r="K8" s="846"/>
      <c r="L8" s="846"/>
      <c r="M8" s="846"/>
      <c r="N8" s="846"/>
      <c r="O8" s="853"/>
      <c r="P8" s="853"/>
      <c r="Q8" s="857"/>
      <c r="R8" s="846"/>
      <c r="S8" s="853"/>
      <c r="T8" s="858"/>
      <c r="U8" s="858"/>
      <c r="V8" s="846"/>
      <c r="W8" s="846"/>
      <c r="X8" s="846"/>
      <c r="Y8" s="846"/>
      <c r="Z8" s="846"/>
      <c r="AA8" s="846"/>
      <c r="AB8" s="846"/>
      <c r="AC8" s="846"/>
      <c r="AD8" s="846"/>
      <c r="AE8" s="846"/>
      <c r="AF8" s="846"/>
      <c r="AG8" s="846"/>
      <c r="AH8" s="846"/>
    </row>
    <row r="9" spans="1:66" s="890" customFormat="1" ht="14" customHeight="1">
      <c r="A9" s="849"/>
      <c r="B9" s="850"/>
      <c r="C9" s="851"/>
      <c r="D9" s="851"/>
      <c r="E9" s="851"/>
      <c r="F9" s="851"/>
      <c r="G9" s="846"/>
      <c r="H9" s="846"/>
      <c r="I9" s="846"/>
      <c r="J9" s="846"/>
      <c r="K9" s="846"/>
      <c r="L9" s="846"/>
      <c r="M9" s="846"/>
      <c r="N9" s="846"/>
      <c r="O9" s="853"/>
      <c r="P9" s="853"/>
      <c r="Q9" s="857"/>
      <c r="R9" s="846"/>
      <c r="S9" s="853"/>
      <c r="T9" s="858"/>
      <c r="U9" s="858"/>
      <c r="V9" s="846"/>
      <c r="W9" s="846"/>
      <c r="X9" s="846"/>
      <c r="Y9" s="846"/>
      <c r="Z9" s="846"/>
      <c r="AA9" s="846"/>
      <c r="AB9" s="846"/>
      <c r="AC9" s="846"/>
      <c r="AD9" s="846"/>
      <c r="AE9" s="846"/>
      <c r="AF9" s="846"/>
      <c r="AG9" s="846"/>
      <c r="AH9" s="846"/>
    </row>
    <row r="10" spans="1:66" s="862" customFormat="1" thickBot="1">
      <c r="A10" s="864"/>
      <c r="B10" s="864"/>
      <c r="C10" s="864"/>
      <c r="D10" s="864"/>
      <c r="E10" s="864"/>
      <c r="F10" s="864"/>
      <c r="G10" s="865"/>
      <c r="H10" s="864"/>
      <c r="I10" s="864"/>
      <c r="J10" s="864"/>
      <c r="K10" s="864"/>
      <c r="L10" s="864"/>
      <c r="M10" s="864"/>
      <c r="N10" s="864"/>
      <c r="O10" s="864"/>
      <c r="P10" s="865"/>
      <c r="Q10" s="865"/>
      <c r="R10" s="865"/>
      <c r="S10" s="865"/>
      <c r="T10" s="864"/>
      <c r="U10" s="864"/>
      <c r="V10" s="864"/>
      <c r="W10" s="864"/>
      <c r="X10" s="864"/>
      <c r="Y10" s="864"/>
      <c r="Z10" s="864"/>
      <c r="AA10" s="864"/>
      <c r="AB10" s="864"/>
      <c r="AC10" s="864"/>
      <c r="AD10" s="864"/>
      <c r="AE10" s="864"/>
      <c r="AF10" s="864"/>
      <c r="AG10" s="864"/>
      <c r="AH10" s="864"/>
      <c r="AS10" s="866"/>
      <c r="AT10" s="866"/>
      <c r="AU10" s="866"/>
      <c r="AV10" s="866"/>
      <c r="AW10" s="866"/>
      <c r="AX10" s="866"/>
      <c r="AY10" s="866"/>
      <c r="AZ10" s="866"/>
      <c r="BA10" s="866"/>
      <c r="BB10" s="866"/>
      <c r="BC10" s="866"/>
      <c r="BD10" s="866"/>
      <c r="BE10" s="866"/>
      <c r="BF10" s="866"/>
      <c r="BG10" s="866"/>
      <c r="BH10" s="866"/>
      <c r="BI10" s="866"/>
      <c r="BJ10" s="866"/>
      <c r="BK10" s="866"/>
      <c r="BL10" s="866"/>
      <c r="BM10" s="866"/>
      <c r="BN10" s="866"/>
    </row>
    <row r="11" spans="1:66" s="862" customFormat="1" ht="15">
      <c r="A11" s="867"/>
      <c r="B11" s="867"/>
      <c r="C11" s="867"/>
      <c r="D11" s="867"/>
      <c r="E11" s="867"/>
      <c r="F11" s="867"/>
      <c r="G11" s="867"/>
      <c r="H11" s="867"/>
      <c r="I11" s="867"/>
      <c r="J11" s="867"/>
      <c r="K11" s="867"/>
      <c r="L11" s="867"/>
      <c r="M11" s="867"/>
      <c r="N11" s="867"/>
      <c r="O11" s="867"/>
      <c r="P11" s="867"/>
      <c r="Q11" s="867"/>
      <c r="R11" s="867"/>
      <c r="S11" s="867"/>
      <c r="T11" s="867"/>
      <c r="U11" s="867"/>
      <c r="V11" s="867"/>
      <c r="W11" s="867"/>
      <c r="X11" s="867"/>
      <c r="Y11" s="867"/>
      <c r="Z11" s="867"/>
      <c r="AA11" s="867"/>
      <c r="AB11" s="867"/>
      <c r="AC11" s="867"/>
      <c r="AD11" s="867"/>
      <c r="AE11" s="867"/>
      <c r="AF11" s="867"/>
      <c r="AG11" s="867"/>
      <c r="AH11" s="867"/>
      <c r="AS11" s="866"/>
      <c r="AT11" s="866"/>
      <c r="AU11" s="866"/>
      <c r="AV11" s="866"/>
      <c r="AW11" s="866"/>
      <c r="AX11" s="866"/>
      <c r="AY11" s="866"/>
      <c r="AZ11" s="866"/>
      <c r="BA11" s="866"/>
      <c r="BB11" s="866"/>
      <c r="BC11" s="866"/>
      <c r="BD11" s="866"/>
      <c r="BE11" s="866"/>
      <c r="BF11" s="866"/>
      <c r="BG11" s="866"/>
      <c r="BH11" s="866"/>
      <c r="BI11" s="866"/>
      <c r="BJ11" s="866"/>
      <c r="BK11" s="866"/>
      <c r="BL11" s="866"/>
      <c r="BM11" s="866"/>
      <c r="BN11" s="866"/>
    </row>
    <row r="12" spans="1:66" s="862" customFormat="1" thickBot="1">
      <c r="A12" s="868"/>
      <c r="B12" s="868"/>
      <c r="C12" s="868"/>
      <c r="D12" s="868"/>
      <c r="E12" s="868"/>
      <c r="F12" s="868"/>
      <c r="G12" s="868"/>
      <c r="H12" s="868"/>
      <c r="I12" s="868"/>
      <c r="J12" s="868"/>
      <c r="K12" s="868"/>
      <c r="L12" s="868"/>
      <c r="M12" s="868"/>
      <c r="N12" s="868"/>
      <c r="O12" s="868"/>
      <c r="P12" s="868"/>
      <c r="Q12" s="868"/>
      <c r="R12" s="868"/>
      <c r="S12" s="868"/>
      <c r="T12" s="868"/>
      <c r="U12" s="868"/>
      <c r="V12" s="868"/>
      <c r="W12" s="868"/>
      <c r="X12" s="868"/>
      <c r="Y12" s="868"/>
      <c r="Z12" s="868"/>
      <c r="AA12" s="868"/>
      <c r="AB12" s="868"/>
      <c r="AC12" s="868"/>
      <c r="AD12" s="868"/>
      <c r="AE12" s="868"/>
      <c r="AF12" s="868"/>
      <c r="AG12" s="868"/>
      <c r="AH12" s="868"/>
      <c r="AS12" s="866"/>
      <c r="AT12" s="866"/>
      <c r="AU12" s="866"/>
      <c r="AV12" s="866"/>
      <c r="AW12" s="866"/>
      <c r="AX12" s="866"/>
      <c r="AY12" s="866"/>
      <c r="AZ12" s="866"/>
      <c r="BA12" s="866"/>
      <c r="BB12" s="866"/>
      <c r="BC12" s="866"/>
      <c r="BD12" s="866"/>
      <c r="BE12" s="866"/>
      <c r="BF12" s="866"/>
      <c r="BG12" s="866"/>
      <c r="BH12" s="866"/>
      <c r="BI12" s="866"/>
      <c r="BJ12" s="866"/>
      <c r="BK12" s="866"/>
      <c r="BL12" s="866"/>
      <c r="BM12" s="866"/>
      <c r="BN12" s="866"/>
    </row>
    <row r="13" spans="1:66" s="869" customFormat="1" thickBot="1">
      <c r="AI13" s="862"/>
      <c r="AJ13" s="862"/>
      <c r="AK13" s="862"/>
      <c r="AL13" s="862"/>
      <c r="AM13" s="862"/>
      <c r="AN13" s="862"/>
      <c r="AO13" s="862"/>
      <c r="AP13" s="862"/>
      <c r="AQ13" s="862"/>
      <c r="AR13" s="862"/>
    </row>
    <row r="14" spans="1:66" s="893" customFormat="1" ht="26">
      <c r="A14" s="891" t="s">
        <v>221</v>
      </c>
      <c r="B14" s="892"/>
      <c r="C14" s="892"/>
      <c r="D14" s="892"/>
      <c r="E14" s="892"/>
      <c r="F14" s="892"/>
      <c r="G14" s="892"/>
      <c r="H14" s="892"/>
      <c r="I14" s="892"/>
      <c r="J14" s="892"/>
      <c r="K14" s="892"/>
      <c r="L14" s="892"/>
      <c r="M14" s="892"/>
      <c r="N14" s="892"/>
      <c r="O14" s="892"/>
      <c r="P14" s="892"/>
      <c r="Q14" s="892"/>
      <c r="R14" s="892"/>
      <c r="S14" s="892"/>
      <c r="T14" s="892"/>
      <c r="U14" s="892"/>
      <c r="V14" s="892"/>
      <c r="W14" s="892"/>
      <c r="X14" s="892"/>
      <c r="Y14" s="892"/>
      <c r="Z14" s="892"/>
      <c r="AA14" s="892"/>
      <c r="AB14" s="892"/>
      <c r="AC14" s="892"/>
      <c r="AD14" s="892"/>
      <c r="AE14" s="892"/>
      <c r="AF14" s="892"/>
      <c r="AG14" s="892"/>
      <c r="AH14" s="892"/>
    </row>
    <row r="15" spans="1:66" s="893" customFormat="1" ht="16" customHeight="1">
      <c r="A15" s="894"/>
      <c r="B15" s="895"/>
      <c r="C15" s="895"/>
      <c r="D15" s="895"/>
      <c r="E15" s="895"/>
      <c r="F15" s="895"/>
      <c r="G15" s="895"/>
      <c r="H15" s="895"/>
      <c r="I15" s="895"/>
      <c r="J15" s="895"/>
      <c r="K15" s="895"/>
      <c r="L15" s="895"/>
      <c r="M15" s="895"/>
      <c r="N15" s="895"/>
      <c r="O15" s="895"/>
      <c r="P15" s="895"/>
      <c r="Q15" s="895"/>
      <c r="R15" s="895"/>
      <c r="S15" s="895"/>
      <c r="T15" s="895"/>
      <c r="U15" s="895"/>
      <c r="V15" s="895"/>
      <c r="W15" s="895"/>
      <c r="X15" s="895"/>
      <c r="Y15" s="895"/>
      <c r="Z15" s="895"/>
      <c r="AA15" s="895"/>
      <c r="AB15" s="895"/>
      <c r="AC15" s="895"/>
      <c r="AD15" s="895"/>
      <c r="AE15" s="895"/>
      <c r="AF15" s="895"/>
      <c r="AG15" s="895"/>
      <c r="AH15" s="895"/>
    </row>
    <row r="16" spans="1:66">
      <c r="A16" s="896" t="str">
        <f>A67</f>
        <v>Region</v>
      </c>
      <c r="B16" s="896" t="str">
        <f>B67</f>
        <v>Country</v>
      </c>
      <c r="C16" s="896" t="s">
        <v>901</v>
      </c>
      <c r="D16" s="896"/>
      <c r="E16" s="896"/>
      <c r="F16" s="896" t="str">
        <f t="shared" ref="F16:AG16" si="0">F67</f>
        <v>FX</v>
      </c>
      <c r="G16" s="896">
        <f t="shared" si="0"/>
        <v>2003</v>
      </c>
      <c r="H16" s="896">
        <f t="shared" si="0"/>
        <v>2004</v>
      </c>
      <c r="I16" s="896">
        <f t="shared" si="0"/>
        <v>2005</v>
      </c>
      <c r="J16" s="896">
        <f t="shared" si="0"/>
        <v>2006</v>
      </c>
      <c r="K16" s="896">
        <f t="shared" si="0"/>
        <v>2007</v>
      </c>
      <c r="L16" s="896">
        <f t="shared" si="0"/>
        <v>2008</v>
      </c>
      <c r="M16" s="896">
        <f t="shared" si="0"/>
        <v>2009</v>
      </c>
      <c r="N16" s="896">
        <f t="shared" si="0"/>
        <v>2010</v>
      </c>
      <c r="O16" s="896">
        <f t="shared" si="0"/>
        <v>2011</v>
      </c>
      <c r="P16" s="896">
        <f t="shared" si="0"/>
        <v>2012</v>
      </c>
      <c r="Q16" s="896">
        <f t="shared" si="0"/>
        <v>2013</v>
      </c>
      <c r="R16" s="896">
        <f t="shared" si="0"/>
        <v>2014</v>
      </c>
      <c r="S16" s="896">
        <f t="shared" si="0"/>
        <v>2015</v>
      </c>
      <c r="T16" s="896">
        <f t="shared" si="0"/>
        <v>2016</v>
      </c>
      <c r="U16" s="896">
        <f t="shared" si="0"/>
        <v>2017</v>
      </c>
      <c r="V16" s="896">
        <f t="shared" si="0"/>
        <v>2018</v>
      </c>
      <c r="W16" s="896">
        <f t="shared" si="0"/>
        <v>2019</v>
      </c>
      <c r="X16" s="896">
        <f t="shared" si="0"/>
        <v>2020</v>
      </c>
      <c r="Y16" s="896">
        <f t="shared" si="0"/>
        <v>2021</v>
      </c>
      <c r="Z16" s="896">
        <f t="shared" si="0"/>
        <v>2022</v>
      </c>
      <c r="AA16" s="896">
        <f t="shared" si="0"/>
        <v>2023</v>
      </c>
      <c r="AB16" s="896">
        <f t="shared" si="0"/>
        <v>2024</v>
      </c>
      <c r="AC16" s="897">
        <f t="shared" si="0"/>
        <v>2025</v>
      </c>
      <c r="AD16" s="897">
        <f t="shared" si="0"/>
        <v>2026</v>
      </c>
      <c r="AE16" s="897">
        <f t="shared" si="0"/>
        <v>2027</v>
      </c>
      <c r="AF16" s="897">
        <f t="shared" si="0"/>
        <v>2028</v>
      </c>
      <c r="AG16" s="897">
        <f t="shared" si="0"/>
        <v>2029</v>
      </c>
      <c r="AH16" s="897">
        <f t="shared" ref="AH16" si="1">AH67</f>
        <v>2030</v>
      </c>
    </row>
    <row r="17" spans="1:34">
      <c r="A17" s="899" t="s">
        <v>932</v>
      </c>
      <c r="B17" s="899" t="s">
        <v>933</v>
      </c>
      <c r="C17" s="899" t="s">
        <v>934</v>
      </c>
      <c r="D17" s="899"/>
      <c r="E17" s="899"/>
      <c r="F17" s="899" t="s">
        <v>935</v>
      </c>
      <c r="G17" s="900">
        <v>0.92350983297581879</v>
      </c>
      <c r="H17" s="900">
        <v>0.92350983297581879</v>
      </c>
      <c r="I17" s="900">
        <v>0.92350983297581879</v>
      </c>
      <c r="J17" s="900">
        <v>0.92350983297581879</v>
      </c>
      <c r="K17" s="900">
        <v>0.92350983297581879</v>
      </c>
      <c r="L17" s="900">
        <v>0.92350983297581879</v>
      </c>
      <c r="M17" s="900">
        <v>0.92350983297581879</v>
      </c>
      <c r="N17" s="900">
        <v>0.92350983297581879</v>
      </c>
      <c r="O17" s="900">
        <v>0.92350983297581879</v>
      </c>
      <c r="P17" s="900">
        <v>0.92350983297581879</v>
      </c>
      <c r="Q17" s="900">
        <v>0.92350983297581879</v>
      </c>
      <c r="R17" s="900">
        <v>0.92350983297581879</v>
      </c>
      <c r="S17" s="900">
        <v>0.92350983297581879</v>
      </c>
      <c r="T17" s="900">
        <v>0.92350983297581879</v>
      </c>
      <c r="U17" s="900">
        <v>0.92350983297581879</v>
      </c>
      <c r="V17" s="900">
        <v>0.92350983297581879</v>
      </c>
      <c r="W17" s="900">
        <v>0.92350983297581879</v>
      </c>
      <c r="X17" s="900">
        <v>0.92350983297581879</v>
      </c>
      <c r="Y17" s="900">
        <v>0.92350983297581879</v>
      </c>
      <c r="Z17" s="900">
        <v>0.92350983297581879</v>
      </c>
      <c r="AA17" s="900">
        <v>0.92350983297581879</v>
      </c>
      <c r="AB17" s="900">
        <v>0.92350983297581879</v>
      </c>
      <c r="AC17" s="900">
        <v>0.92350983297581879</v>
      </c>
      <c r="AD17" s="900">
        <v>0.92350983297581879</v>
      </c>
      <c r="AE17" s="900">
        <v>0.92350983297581879</v>
      </c>
      <c r="AF17" s="900">
        <v>0.92350983297581879</v>
      </c>
      <c r="AG17" s="900">
        <v>0.92350983297581879</v>
      </c>
      <c r="AH17" s="900">
        <v>0.92350983297581879</v>
      </c>
    </row>
    <row r="18" spans="1:34">
      <c r="A18" s="899" t="s">
        <v>932</v>
      </c>
      <c r="B18" s="899" t="s">
        <v>933</v>
      </c>
      <c r="C18" s="899" t="s">
        <v>936</v>
      </c>
      <c r="D18" s="899"/>
      <c r="E18" s="899"/>
      <c r="F18" s="899" t="s">
        <v>937</v>
      </c>
      <c r="G18" s="900">
        <v>0.99999994225208622</v>
      </c>
      <c r="H18" s="900">
        <v>0.99999993573704093</v>
      </c>
      <c r="I18" s="900">
        <v>0.99999978178557702</v>
      </c>
      <c r="J18" s="900">
        <v>1.0000002599835423</v>
      </c>
      <c r="K18" s="900">
        <v>1.000000348732764</v>
      </c>
      <c r="L18" s="900">
        <v>1.0000002502528123</v>
      </c>
      <c r="M18" s="900">
        <v>1.0000002958430041</v>
      </c>
      <c r="N18" s="900">
        <v>1.0000000174048778</v>
      </c>
      <c r="O18" s="900">
        <v>0.9999999440336873</v>
      </c>
      <c r="P18" s="900">
        <v>0.99999964947770803</v>
      </c>
      <c r="Q18" s="900">
        <v>0.99999993319924607</v>
      </c>
      <c r="R18" s="900">
        <v>0.99999971594682746</v>
      </c>
      <c r="S18" s="900">
        <v>1.0000000442999346</v>
      </c>
      <c r="T18" s="900">
        <v>0.99999994828343852</v>
      </c>
      <c r="U18" s="900">
        <v>0.99999967315088945</v>
      </c>
      <c r="V18" s="900">
        <v>0.99999994582583729</v>
      </c>
      <c r="W18" s="900">
        <v>0.99999992862809139</v>
      </c>
      <c r="X18" s="900">
        <v>0.9999996296557363</v>
      </c>
      <c r="Y18" s="900">
        <v>0.99999987501580823</v>
      </c>
      <c r="Z18" s="900">
        <v>1.0000002113362911</v>
      </c>
      <c r="AA18" s="900">
        <v>1.0000000998574783</v>
      </c>
      <c r="AB18" s="900">
        <v>1.0000001514778638</v>
      </c>
      <c r="AC18" s="900">
        <v>1.0000000373353242</v>
      </c>
      <c r="AD18" s="900">
        <v>1.0000002310094018</v>
      </c>
      <c r="AE18" s="900">
        <v>1.0000002059783553</v>
      </c>
      <c r="AF18" s="900">
        <v>0.99999994068824671</v>
      </c>
      <c r="AG18" s="900">
        <v>0.99999994685953519</v>
      </c>
      <c r="AH18" s="900">
        <v>1.0000002070816774</v>
      </c>
    </row>
    <row r="19" spans="1:34">
      <c r="A19" s="899" t="s">
        <v>932</v>
      </c>
      <c r="B19" s="899" t="s">
        <v>933</v>
      </c>
      <c r="C19" s="899" t="s">
        <v>938</v>
      </c>
      <c r="D19" s="899"/>
      <c r="E19" s="899"/>
      <c r="F19" s="899" t="s">
        <v>939</v>
      </c>
      <c r="G19" s="901">
        <v>1399.386</v>
      </c>
      <c r="H19" s="901">
        <v>1457.357</v>
      </c>
      <c r="I19" s="901">
        <v>1499.0730000000001</v>
      </c>
      <c r="J19" s="901">
        <v>1559.864</v>
      </c>
      <c r="K19" s="901">
        <v>1621.7139999999999</v>
      </c>
      <c r="L19" s="901">
        <v>1643.7180000000001</v>
      </c>
      <c r="M19" s="901">
        <v>1584.107</v>
      </c>
      <c r="N19" s="901">
        <v>1617.944</v>
      </c>
      <c r="O19" s="901">
        <v>1657.3620000000001</v>
      </c>
      <c r="P19" s="901">
        <v>1632.8989999999999</v>
      </c>
      <c r="Q19" s="901">
        <v>1621.2619999999999</v>
      </c>
      <c r="R19" s="901">
        <v>1635.87</v>
      </c>
      <c r="S19" s="901">
        <v>1663.278</v>
      </c>
      <c r="T19" s="901">
        <v>1704.856</v>
      </c>
      <c r="U19" s="901">
        <v>1744.4939999999999</v>
      </c>
      <c r="V19" s="901">
        <v>1777.7439999999999</v>
      </c>
      <c r="W19" s="901">
        <v>1804.068</v>
      </c>
      <c r="X19" s="901">
        <v>1670.0129999999999</v>
      </c>
      <c r="Y19" s="901">
        <v>1842.5070000000001</v>
      </c>
      <c r="Z19" s="901">
        <v>1998.0719999999999</v>
      </c>
      <c r="AA19" s="901">
        <v>2131.3910000000001</v>
      </c>
      <c r="AB19" s="901">
        <v>2192.181</v>
      </c>
      <c r="AC19" s="901">
        <v>2249.8339999999998</v>
      </c>
      <c r="AD19" s="901">
        <v>2313.078</v>
      </c>
      <c r="AE19" s="901">
        <v>2372.759</v>
      </c>
      <c r="AF19" s="901">
        <v>2436.672</v>
      </c>
      <c r="AG19" s="901">
        <v>2502.8029999999999</v>
      </c>
      <c r="AH19" s="901">
        <v>2570.7289999999998</v>
      </c>
    </row>
    <row r="20" spans="1:34">
      <c r="A20" s="899" t="s">
        <v>932</v>
      </c>
      <c r="B20" s="899" t="s">
        <v>933</v>
      </c>
      <c r="C20" s="899" t="s">
        <v>940</v>
      </c>
      <c r="D20" s="899"/>
      <c r="E20" s="899"/>
      <c r="F20" s="899" t="s">
        <v>774</v>
      </c>
      <c r="G20" s="901">
        <v>1582.5340000000001</v>
      </c>
      <c r="H20" s="901">
        <v>1811.9870000000001</v>
      </c>
      <c r="I20" s="901">
        <v>1866.0129999999999</v>
      </c>
      <c r="J20" s="901">
        <v>1958.6669999999999</v>
      </c>
      <c r="K20" s="901">
        <v>2222.7849999999999</v>
      </c>
      <c r="L20" s="901">
        <v>2417.2420000000002</v>
      </c>
      <c r="M20" s="901">
        <v>2207.085</v>
      </c>
      <c r="N20" s="901">
        <v>2146.6869999999999</v>
      </c>
      <c r="O20" s="901">
        <v>2306.5680000000002</v>
      </c>
      <c r="P20" s="901">
        <v>2099.259</v>
      </c>
      <c r="Q20" s="901">
        <v>2153.259</v>
      </c>
      <c r="R20" s="901">
        <v>2173.8150000000001</v>
      </c>
      <c r="S20" s="901">
        <v>1845.615</v>
      </c>
      <c r="T20" s="901">
        <v>1886.59</v>
      </c>
      <c r="U20" s="901">
        <v>1970.027</v>
      </c>
      <c r="V20" s="901">
        <v>2100.3870000000002</v>
      </c>
      <c r="W20" s="901">
        <v>2019.8309999999999</v>
      </c>
      <c r="X20" s="901">
        <v>1905.9559999999999</v>
      </c>
      <c r="Y20" s="901">
        <v>2180.6559999999999</v>
      </c>
      <c r="Z20" s="901">
        <v>2105.7220000000002</v>
      </c>
      <c r="AA20" s="901">
        <v>2305.2710000000002</v>
      </c>
      <c r="AB20" s="901">
        <v>2372.0590000000002</v>
      </c>
      <c r="AC20" s="901">
        <v>2422.855</v>
      </c>
      <c r="AD20" s="901">
        <v>2504.607</v>
      </c>
      <c r="AE20" s="901">
        <v>2566.489</v>
      </c>
      <c r="AF20" s="901">
        <v>2634.076</v>
      </c>
      <c r="AG20" s="901">
        <v>2705.116</v>
      </c>
      <c r="AH20" s="901">
        <v>2779.44</v>
      </c>
    </row>
    <row r="21" spans="1:34">
      <c r="A21" s="899" t="s">
        <v>932</v>
      </c>
      <c r="B21" s="899" t="s">
        <v>933</v>
      </c>
      <c r="C21" s="899" t="s">
        <v>616</v>
      </c>
      <c r="D21" s="899"/>
      <c r="E21" s="899"/>
      <c r="F21" s="899"/>
      <c r="G21" s="900">
        <v>47.468538794231222</v>
      </c>
      <c r="H21" s="900">
        <v>47.823310596511838</v>
      </c>
      <c r="I21" s="900">
        <v>48.074149426197671</v>
      </c>
      <c r="J21" s="900">
        <v>48.216926244728803</v>
      </c>
      <c r="K21" s="900">
        <v>48.461154443087345</v>
      </c>
      <c r="L21" s="900">
        <v>48.787865020472857</v>
      </c>
      <c r="M21" s="900">
        <v>49.014974100193278</v>
      </c>
      <c r="N21" s="900">
        <v>49.184951621250953</v>
      </c>
      <c r="O21" s="900">
        <v>49.307839026836035</v>
      </c>
      <c r="P21" s="900">
        <v>49.486173466698453</v>
      </c>
      <c r="Q21" s="900">
        <v>50.117039135765388</v>
      </c>
      <c r="R21" s="900">
        <v>50.641601276360703</v>
      </c>
      <c r="S21" s="900">
        <v>50.660625644385576</v>
      </c>
      <c r="T21" s="900">
        <v>50.654198090078211</v>
      </c>
      <c r="U21" s="900">
        <v>50.665563823740598</v>
      </c>
      <c r="V21" s="900">
        <v>50.670555018347606</v>
      </c>
      <c r="W21" s="900">
        <v>50.205637800934326</v>
      </c>
      <c r="X21" s="900">
        <v>50.082011676992209</v>
      </c>
      <c r="Y21" s="900">
        <v>49.946632824304345</v>
      </c>
      <c r="Z21" s="900">
        <v>49.90742310078457</v>
      </c>
      <c r="AA21" s="900">
        <v>49.883252191753044</v>
      </c>
      <c r="AB21" s="900">
        <v>49.844083966644689</v>
      </c>
      <c r="AC21" s="900">
        <v>49.800628411018266</v>
      </c>
      <c r="AD21" s="900">
        <v>49.749045703823477</v>
      </c>
      <c r="AE21" s="900">
        <v>49.691519247844056</v>
      </c>
      <c r="AF21" s="900">
        <v>49.623764381695494</v>
      </c>
      <c r="AG21" s="900">
        <v>49.54660369854021</v>
      </c>
      <c r="AH21" s="900">
        <v>49.458179029086949</v>
      </c>
    </row>
    <row r="22" spans="1:34">
      <c r="A22" s="899" t="s">
        <v>932</v>
      </c>
      <c r="B22" s="899" t="s">
        <v>933</v>
      </c>
      <c r="C22" s="899" t="s">
        <v>941</v>
      </c>
      <c r="D22" s="899"/>
      <c r="E22" s="899"/>
      <c r="F22" s="899" t="s">
        <v>942</v>
      </c>
      <c r="G22" s="900">
        <v>1</v>
      </c>
      <c r="H22" s="900">
        <v>1</v>
      </c>
      <c r="I22" s="900">
        <v>1</v>
      </c>
      <c r="J22" s="900">
        <v>1</v>
      </c>
      <c r="K22" s="900">
        <v>1</v>
      </c>
      <c r="L22" s="900">
        <v>1</v>
      </c>
      <c r="M22" s="900">
        <v>1</v>
      </c>
      <c r="N22" s="900">
        <v>1</v>
      </c>
      <c r="O22" s="900">
        <v>1</v>
      </c>
      <c r="P22" s="900">
        <v>1</v>
      </c>
      <c r="Q22" s="900">
        <v>1</v>
      </c>
      <c r="R22" s="900">
        <v>1</v>
      </c>
      <c r="S22" s="900">
        <v>1</v>
      </c>
      <c r="T22" s="900">
        <v>1</v>
      </c>
      <c r="U22" s="900">
        <v>1</v>
      </c>
      <c r="V22" s="900">
        <v>1</v>
      </c>
      <c r="W22" s="900">
        <v>1</v>
      </c>
      <c r="X22" s="900">
        <v>1</v>
      </c>
      <c r="Y22" s="900">
        <v>1</v>
      </c>
      <c r="Z22" s="900">
        <v>1</v>
      </c>
      <c r="AA22" s="900">
        <v>1</v>
      </c>
      <c r="AB22" s="900">
        <v>1</v>
      </c>
      <c r="AC22" s="900">
        <v>1</v>
      </c>
      <c r="AD22" s="900">
        <v>1</v>
      </c>
      <c r="AE22" s="900">
        <v>1</v>
      </c>
      <c r="AF22" s="900">
        <v>1</v>
      </c>
      <c r="AG22" s="900">
        <v>1</v>
      </c>
      <c r="AH22" s="900">
        <v>1</v>
      </c>
    </row>
    <row r="23" spans="1:34">
      <c r="A23" s="899" t="s">
        <v>932</v>
      </c>
      <c r="B23" s="899" t="s">
        <v>933</v>
      </c>
      <c r="C23" s="899" t="s">
        <v>943</v>
      </c>
      <c r="D23" s="899"/>
      <c r="E23" s="899"/>
      <c r="F23" s="899" t="s">
        <v>944</v>
      </c>
      <c r="G23" s="900">
        <v>0.88426915314299714</v>
      </c>
      <c r="H23" s="900">
        <v>0.8042866753459047</v>
      </c>
      <c r="I23" s="900">
        <v>0.80335613953386187</v>
      </c>
      <c r="J23" s="900">
        <v>0.79639060646858306</v>
      </c>
      <c r="K23" s="900">
        <v>0.72958653221071768</v>
      </c>
      <c r="L23" s="900">
        <v>0.67999728616332167</v>
      </c>
      <c r="M23" s="900">
        <v>0.71773719634721811</v>
      </c>
      <c r="N23" s="900">
        <v>0.75369348209589937</v>
      </c>
      <c r="O23" s="900">
        <v>0.71854027282091837</v>
      </c>
      <c r="P23" s="900">
        <v>0.77784542069368279</v>
      </c>
      <c r="Q23" s="900">
        <v>0.75293404091193861</v>
      </c>
      <c r="R23" s="900">
        <v>0.75253413928968194</v>
      </c>
      <c r="S23" s="900">
        <v>0.90120528929381261</v>
      </c>
      <c r="T23" s="900">
        <v>0.90367064386008622</v>
      </c>
      <c r="U23" s="900">
        <v>0.88551781270002894</v>
      </c>
      <c r="V23" s="900">
        <v>0.8463887845430389</v>
      </c>
      <c r="W23" s="900">
        <v>0.8931776965498599</v>
      </c>
      <c r="X23" s="900">
        <v>0.87620753049913014</v>
      </c>
      <c r="Y23" s="900">
        <v>0.84493244234762388</v>
      </c>
      <c r="Z23" s="900">
        <v>0.94887739217237588</v>
      </c>
      <c r="AA23" s="900">
        <v>0.92457285932977074</v>
      </c>
      <c r="AB23" s="900">
        <v>0.9241679907624557</v>
      </c>
      <c r="AC23" s="900">
        <v>0.92858796750115047</v>
      </c>
      <c r="AD23" s="900">
        <v>0.92352932016879297</v>
      </c>
      <c r="AE23" s="900">
        <v>0.92451555412861697</v>
      </c>
      <c r="AF23" s="900">
        <v>0.92505759135271726</v>
      </c>
      <c r="AG23" s="900">
        <v>0.92521097062011382</v>
      </c>
      <c r="AH23" s="900">
        <v>0.92490897446967724</v>
      </c>
    </row>
    <row r="24" spans="1:34">
      <c r="A24" s="899" t="s">
        <v>932</v>
      </c>
      <c r="B24" s="899" t="s">
        <v>933</v>
      </c>
      <c r="C24" s="899" t="s">
        <v>828</v>
      </c>
      <c r="D24" s="899"/>
      <c r="E24" s="899"/>
      <c r="F24" s="899" t="s">
        <v>945</v>
      </c>
      <c r="G24" s="900">
        <v>100</v>
      </c>
      <c r="H24" s="900">
        <v>102.25700000000001</v>
      </c>
      <c r="I24" s="900">
        <v>104.51381199000001</v>
      </c>
      <c r="J24" s="900">
        <v>106.8434248592571</v>
      </c>
      <c r="K24" s="900">
        <v>109.00700421265707</v>
      </c>
      <c r="L24" s="900">
        <v>112.81352879976306</v>
      </c>
      <c r="M24" s="900">
        <v>113.67655229508124</v>
      </c>
      <c r="N24" s="900">
        <v>115.51811244226155</v>
      </c>
      <c r="O24" s="900">
        <v>118.90856904244193</v>
      </c>
      <c r="P24" s="900">
        <v>122.85038810619888</v>
      </c>
      <c r="Q24" s="900">
        <v>124.37987543812106</v>
      </c>
      <c r="R24" s="900">
        <v>124.67092434664626</v>
      </c>
      <c r="S24" s="900">
        <v>124.80556894494063</v>
      </c>
      <c r="T24" s="900">
        <v>124.74316616046816</v>
      </c>
      <c r="U24" s="900">
        <v>126.39726054375598</v>
      </c>
      <c r="V24" s="900">
        <v>127.96837849231486</v>
      </c>
      <c r="W24" s="900">
        <v>128.77969801195613</v>
      </c>
      <c r="X24" s="900">
        <v>128.5929674498388</v>
      </c>
      <c r="Y24" s="900">
        <v>131.08895694804016</v>
      </c>
      <c r="Z24" s="900">
        <v>142.54088822702096</v>
      </c>
      <c r="AA24" s="900">
        <v>150.95507685906199</v>
      </c>
      <c r="AB24" s="900">
        <v>152.59897764605719</v>
      </c>
      <c r="AC24" s="900">
        <v>155.20384219447538</v>
      </c>
      <c r="AD24" s="900">
        <v>158.24428546306515</v>
      </c>
      <c r="AE24" s="900">
        <v>161.40917117232647</v>
      </c>
      <c r="AF24" s="900">
        <v>164.63735459577299</v>
      </c>
      <c r="AG24" s="900">
        <v>167.93010168768845</v>
      </c>
      <c r="AH24" s="900">
        <v>171.28870372144223</v>
      </c>
    </row>
    <row r="25" spans="1:34">
      <c r="A25" s="899"/>
      <c r="B25" s="899"/>
      <c r="C25" s="899"/>
      <c r="D25" s="899"/>
      <c r="E25" s="899"/>
      <c r="F25" s="899"/>
      <c r="G25" s="900"/>
      <c r="H25" s="900"/>
      <c r="I25" s="900"/>
      <c r="J25" s="900"/>
      <c r="K25" s="900"/>
      <c r="L25" s="900"/>
      <c r="M25" s="900"/>
      <c r="N25" s="900"/>
      <c r="O25" s="900"/>
      <c r="P25" s="900"/>
      <c r="Q25" s="900"/>
      <c r="R25" s="900"/>
      <c r="S25" s="900"/>
      <c r="T25" s="900"/>
      <c r="U25" s="900"/>
      <c r="V25" s="900"/>
      <c r="W25" s="900"/>
      <c r="X25" s="900"/>
      <c r="Y25" s="900"/>
      <c r="Z25" s="900"/>
      <c r="AA25" s="900"/>
      <c r="AB25" s="900"/>
      <c r="AC25" s="900"/>
      <c r="AD25" s="900"/>
      <c r="AE25" s="900"/>
      <c r="AF25" s="900"/>
      <c r="AG25" s="900"/>
      <c r="AH25" s="900"/>
    </row>
    <row r="26" spans="1:34">
      <c r="A26" s="902"/>
      <c r="B26" s="902"/>
      <c r="C26" s="902"/>
      <c r="D26" s="902"/>
      <c r="E26" s="902"/>
      <c r="F26" s="902"/>
      <c r="G26" s="902"/>
      <c r="H26" s="902"/>
      <c r="I26" s="902"/>
      <c r="J26" s="902"/>
      <c r="K26" s="902"/>
      <c r="L26" s="902"/>
      <c r="M26" s="902"/>
      <c r="N26" s="902"/>
      <c r="O26" s="902"/>
      <c r="P26" s="902"/>
      <c r="Q26" s="902"/>
      <c r="R26" s="902"/>
      <c r="S26" s="902"/>
      <c r="T26" s="902"/>
      <c r="U26" s="902"/>
      <c r="V26" s="902"/>
      <c r="W26" s="902"/>
      <c r="X26" s="902"/>
      <c r="Y26" s="902"/>
      <c r="Z26" s="902"/>
      <c r="AA26" s="902"/>
      <c r="AB26" s="902"/>
      <c r="AC26" s="902"/>
      <c r="AD26" s="902"/>
      <c r="AE26" s="902"/>
      <c r="AF26" s="902"/>
      <c r="AG26" s="902"/>
      <c r="AH26" s="902"/>
    </row>
    <row r="27" spans="1:34">
      <c r="A27" s="899"/>
      <c r="B27" s="899"/>
      <c r="C27" s="899"/>
      <c r="D27" s="899"/>
      <c r="E27" s="899"/>
      <c r="F27" s="899"/>
      <c r="G27" s="899"/>
      <c r="H27" s="899"/>
      <c r="I27" s="899"/>
      <c r="J27" s="899"/>
      <c r="K27" s="899"/>
      <c r="L27" s="899"/>
      <c r="M27" s="899"/>
      <c r="N27" s="899"/>
      <c r="O27" s="899"/>
      <c r="P27" s="899"/>
      <c r="Q27" s="899"/>
      <c r="R27" s="899"/>
      <c r="S27" s="899"/>
      <c r="T27" s="899"/>
      <c r="U27" s="899"/>
      <c r="V27" s="899"/>
      <c r="W27" s="899"/>
      <c r="X27" s="899"/>
      <c r="Y27" s="899"/>
      <c r="Z27" s="899"/>
      <c r="AA27" s="899"/>
      <c r="AB27" s="899"/>
      <c r="AC27" s="899"/>
      <c r="AD27" s="899"/>
      <c r="AE27" s="899"/>
      <c r="AF27" s="899"/>
      <c r="AG27" s="899"/>
      <c r="AH27" s="899"/>
    </row>
    <row r="28" spans="1:34" ht="17" thickBot="1">
      <c r="A28" s="899"/>
      <c r="B28" s="899"/>
      <c r="C28" s="899"/>
      <c r="D28" s="899"/>
      <c r="E28" s="899"/>
      <c r="F28" s="899"/>
      <c r="G28" s="899"/>
      <c r="H28" s="899"/>
      <c r="I28" s="899"/>
      <c r="J28" s="899"/>
      <c r="K28" s="899"/>
      <c r="L28" s="899"/>
      <c r="M28" s="899"/>
      <c r="N28" s="899"/>
      <c r="O28" s="899"/>
      <c r="P28" s="899"/>
      <c r="Q28" s="899"/>
      <c r="R28" s="899"/>
      <c r="S28" s="899"/>
      <c r="T28" s="899"/>
      <c r="U28" s="899"/>
      <c r="V28" s="899"/>
      <c r="W28" s="899"/>
      <c r="X28" s="899"/>
      <c r="Y28" s="899"/>
      <c r="Z28" s="899"/>
      <c r="AA28" s="899"/>
      <c r="AB28" s="899"/>
      <c r="AC28" s="899"/>
      <c r="AD28" s="899"/>
      <c r="AE28" s="899"/>
      <c r="AF28" s="899"/>
      <c r="AG28" s="899"/>
      <c r="AH28" s="899"/>
    </row>
    <row r="29" spans="1:34" s="893" customFormat="1" ht="26">
      <c r="A29" s="891" t="s">
        <v>902</v>
      </c>
      <c r="B29" s="892"/>
      <c r="C29" s="892"/>
      <c r="D29" s="892"/>
      <c r="E29" s="892"/>
      <c r="F29" s="892"/>
      <c r="G29" s="892"/>
      <c r="H29" s="892"/>
      <c r="I29" s="892"/>
      <c r="J29" s="892"/>
      <c r="K29" s="892"/>
      <c r="L29" s="892"/>
      <c r="M29" s="892"/>
      <c r="N29" s="892"/>
      <c r="O29" s="892"/>
      <c r="P29" s="892"/>
      <c r="Q29" s="892"/>
      <c r="R29" s="892"/>
      <c r="S29" s="892"/>
      <c r="T29" s="892"/>
      <c r="U29" s="892"/>
      <c r="V29" s="892"/>
      <c r="W29" s="892"/>
      <c r="X29" s="892"/>
      <c r="Y29" s="892"/>
      <c r="Z29" s="892"/>
      <c r="AA29" s="892"/>
      <c r="AB29" s="892"/>
      <c r="AC29" s="892"/>
      <c r="AD29" s="892"/>
      <c r="AE29" s="892"/>
      <c r="AF29" s="892"/>
      <c r="AG29" s="892"/>
      <c r="AH29" s="892"/>
    </row>
    <row r="30" spans="1:34">
      <c r="A30" s="899"/>
      <c r="B30" s="899"/>
      <c r="C30" s="899"/>
      <c r="D30" s="899"/>
      <c r="E30" s="899"/>
      <c r="F30" s="899"/>
      <c r="G30" s="899"/>
      <c r="H30" s="899"/>
      <c r="I30" s="899"/>
      <c r="J30" s="899"/>
      <c r="K30" s="899"/>
      <c r="L30" s="899"/>
      <c r="M30" s="899"/>
      <c r="N30" s="899"/>
      <c r="O30" s="899"/>
      <c r="P30" s="899"/>
      <c r="Q30" s="899"/>
      <c r="R30" s="899"/>
      <c r="S30" s="899"/>
      <c r="T30" s="899"/>
      <c r="U30" s="899"/>
      <c r="V30" s="899"/>
      <c r="W30" s="899"/>
      <c r="X30" s="899"/>
      <c r="Y30" s="899"/>
      <c r="Z30" s="899"/>
      <c r="AA30" s="899"/>
      <c r="AB30" s="899"/>
      <c r="AC30" s="899"/>
      <c r="AD30" s="899"/>
      <c r="AE30" s="899"/>
      <c r="AF30" s="899"/>
      <c r="AG30" s="899"/>
      <c r="AH30" s="899"/>
    </row>
    <row r="31" spans="1:34" s="893" customFormat="1" ht="15">
      <c r="A31" s="896" t="s">
        <v>946</v>
      </c>
      <c r="B31" s="896" t="s">
        <v>947</v>
      </c>
      <c r="C31" s="896" t="s">
        <v>948</v>
      </c>
      <c r="D31" s="896" t="s">
        <v>892</v>
      </c>
      <c r="E31" s="896" t="s">
        <v>949</v>
      </c>
      <c r="F31" s="896" t="str">
        <f>F67</f>
        <v>FX</v>
      </c>
      <c r="G31" s="897">
        <v>2003</v>
      </c>
      <c r="H31" s="897">
        <v>2004</v>
      </c>
      <c r="I31" s="897">
        <v>2005</v>
      </c>
      <c r="J31" s="897">
        <v>2006</v>
      </c>
      <c r="K31" s="897">
        <v>2007</v>
      </c>
      <c r="L31" s="897">
        <v>2008</v>
      </c>
      <c r="M31" s="897">
        <v>2009</v>
      </c>
      <c r="N31" s="897">
        <v>2010</v>
      </c>
      <c r="O31" s="897">
        <v>2011</v>
      </c>
      <c r="P31" s="897">
        <v>2012</v>
      </c>
      <c r="Q31" s="897">
        <v>2013</v>
      </c>
      <c r="R31" s="897">
        <v>2014</v>
      </c>
      <c r="S31" s="897">
        <v>2015</v>
      </c>
      <c r="T31" s="897">
        <v>2016</v>
      </c>
      <c r="U31" s="897">
        <v>2017</v>
      </c>
      <c r="V31" s="897">
        <v>2018</v>
      </c>
      <c r="W31" s="897">
        <v>2019</v>
      </c>
      <c r="X31" s="897">
        <v>2020</v>
      </c>
      <c r="Y31" s="897">
        <v>2021</v>
      </c>
      <c r="Z31" s="897">
        <v>2022</v>
      </c>
      <c r="AA31" s="897">
        <v>2023</v>
      </c>
      <c r="AB31" s="897">
        <v>2024</v>
      </c>
      <c r="AC31" s="897">
        <v>2025</v>
      </c>
      <c r="AD31" s="897">
        <v>2026</v>
      </c>
      <c r="AE31" s="897">
        <v>2027</v>
      </c>
      <c r="AF31" s="897">
        <v>2028</v>
      </c>
      <c r="AG31" s="897">
        <v>2029</v>
      </c>
      <c r="AH31" s="897">
        <v>2030</v>
      </c>
    </row>
    <row r="32" spans="1:34" s="906" customFormat="1" ht="15">
      <c r="A32" s="903" t="s">
        <v>932</v>
      </c>
      <c r="B32" s="904" t="s">
        <v>933</v>
      </c>
      <c r="C32" s="904" t="s">
        <v>110</v>
      </c>
      <c r="D32" s="904" t="s">
        <v>950</v>
      </c>
      <c r="E32" s="904" t="s">
        <v>951</v>
      </c>
      <c r="F32" s="903" t="str">
        <f>F68</f>
        <v>EUR (m)</v>
      </c>
      <c r="G32" s="905">
        <v>2962.0000000000005</v>
      </c>
      <c r="H32" s="905">
        <v>2904</v>
      </c>
      <c r="I32" s="905">
        <v>2775</v>
      </c>
      <c r="J32" s="905">
        <v>2909</v>
      </c>
      <c r="K32" s="905">
        <v>2748</v>
      </c>
      <c r="L32" s="905">
        <v>2179.568011733124</v>
      </c>
      <c r="M32" s="905">
        <v>1872.3997548142213</v>
      </c>
      <c r="N32" s="905">
        <v>1637.0303397619925</v>
      </c>
      <c r="O32" s="905">
        <v>1303.2744447930518</v>
      </c>
      <c r="P32" s="905">
        <v>953.51839464882949</v>
      </c>
      <c r="Q32" s="905">
        <v>762.21078838174287</v>
      </c>
      <c r="R32" s="905">
        <v>633.77777777777771</v>
      </c>
      <c r="S32" s="905">
        <v>583.29281767955808</v>
      </c>
      <c r="T32" s="905">
        <v>551.11111111111109</v>
      </c>
      <c r="U32" s="905">
        <v>491.15131578947364</v>
      </c>
      <c r="V32" s="905">
        <v>473.86391304347825</v>
      </c>
      <c r="W32" s="905">
        <v>433.13600000000002</v>
      </c>
      <c r="X32" s="905">
        <v>213.91709002133331</v>
      </c>
      <c r="Y32" s="905">
        <v>162.2040111325301</v>
      </c>
      <c r="Z32" s="905">
        <v>273.00553932283452</v>
      </c>
      <c r="AA32" s="905">
        <v>257.20000038663966</v>
      </c>
      <c r="AB32" s="905">
        <v>237.16182531434666</v>
      </c>
      <c r="AC32" s="905">
        <v>227.72006256192168</v>
      </c>
      <c r="AD32" s="905">
        <v>219.12866452445428</v>
      </c>
      <c r="AE32" s="905">
        <v>210.31453170335388</v>
      </c>
      <c r="AF32" s="905">
        <v>201.89059492482014</v>
      </c>
      <c r="AG32" s="905">
        <v>193.52924999999996</v>
      </c>
      <c r="AH32" s="905">
        <v>197.11549999999994</v>
      </c>
    </row>
    <row r="33" spans="1:34" s="906" customFormat="1" ht="15">
      <c r="A33" s="904" t="s">
        <v>932</v>
      </c>
      <c r="B33" s="904" t="s">
        <v>933</v>
      </c>
      <c r="C33" s="904" t="s">
        <v>110</v>
      </c>
      <c r="D33" s="904" t="s">
        <v>952</v>
      </c>
      <c r="E33" s="904" t="s">
        <v>951</v>
      </c>
      <c r="F33" s="903" t="str">
        <f t="shared" ref="F33:F60" si="2">F69</f>
        <v>EUR (m)</v>
      </c>
      <c r="G33" s="905">
        <v>1621</v>
      </c>
      <c r="H33" s="905">
        <v>1747</v>
      </c>
      <c r="I33" s="905">
        <v>1847</v>
      </c>
      <c r="J33" s="905">
        <v>2586</v>
      </c>
      <c r="K33" s="905">
        <v>2540.7404114544688</v>
      </c>
      <c r="L33" s="905">
        <v>3429.0106118266344</v>
      </c>
      <c r="M33" s="905">
        <v>3387.0743649320952</v>
      </c>
      <c r="N33" s="905">
        <v>3499.1804578699002</v>
      </c>
      <c r="O33" s="905">
        <v>3026.4453513778753</v>
      </c>
      <c r="P33" s="905">
        <v>3036.2000000000003</v>
      </c>
      <c r="Q33" s="905">
        <v>2898.8297579617829</v>
      </c>
      <c r="R33" s="905">
        <v>4337.9870129870133</v>
      </c>
      <c r="S33" s="905">
        <v>5124.7933884297518</v>
      </c>
      <c r="T33" s="905">
        <v>6406.0748898678412</v>
      </c>
      <c r="U33" s="905">
        <v>8067.570347003154</v>
      </c>
      <c r="V33" s="905">
        <v>8787.5100021357157</v>
      </c>
      <c r="W33" s="905">
        <v>9721.7904637043903</v>
      </c>
      <c r="X33" s="905">
        <v>6573.425424020299</v>
      </c>
      <c r="Y33" s="905">
        <v>4855.3769402928128</v>
      </c>
      <c r="Z33" s="905">
        <v>10028.102790259836</v>
      </c>
      <c r="AA33" s="905">
        <v>11109.140815403824</v>
      </c>
      <c r="AB33" s="905">
        <v>11797.512793974674</v>
      </c>
      <c r="AC33" s="905">
        <v>13080.518379450627</v>
      </c>
      <c r="AD33" s="905">
        <v>13157.274669720442</v>
      </c>
      <c r="AE33" s="905">
        <v>13578.417236852934</v>
      </c>
      <c r="AF33" s="905">
        <v>13950.51187507491</v>
      </c>
      <c r="AG33" s="905">
        <v>14259.369641662517</v>
      </c>
      <c r="AH33" s="905">
        <v>15310.988242933838</v>
      </c>
    </row>
    <row r="34" spans="1:34" s="906" customFormat="1" ht="15">
      <c r="A34" s="904" t="s">
        <v>932</v>
      </c>
      <c r="B34" s="904" t="s">
        <v>933</v>
      </c>
      <c r="C34" s="904" t="s">
        <v>512</v>
      </c>
      <c r="D34" s="904" t="s">
        <v>953</v>
      </c>
      <c r="E34" s="904" t="s">
        <v>951</v>
      </c>
      <c r="F34" s="903" t="str">
        <f t="shared" si="2"/>
        <v>EUR (m)</v>
      </c>
      <c r="G34" s="905">
        <v>628.98542766943422</v>
      </c>
      <c r="H34" s="905">
        <v>657.84590539633643</v>
      </c>
      <c r="I34" s="905">
        <v>736.96918630200196</v>
      </c>
      <c r="J34" s="905">
        <v>752.44063471985794</v>
      </c>
      <c r="K34" s="905">
        <v>797.01835172444828</v>
      </c>
      <c r="L34" s="905">
        <v>799.02293331819203</v>
      </c>
      <c r="M34" s="905">
        <v>756.06323784349888</v>
      </c>
      <c r="N34" s="905">
        <v>708.32922449205466</v>
      </c>
      <c r="O34" s="905">
        <v>618.0623279289839</v>
      </c>
      <c r="P34" s="905">
        <v>495.69422021749233</v>
      </c>
      <c r="Q34" s="905">
        <v>474.96598868057112</v>
      </c>
      <c r="R34" s="905">
        <v>481.64340856892028</v>
      </c>
      <c r="S34" s="905">
        <v>528.01447884936158</v>
      </c>
      <c r="T34" s="905">
        <v>509.5208728712584</v>
      </c>
      <c r="U34" s="905">
        <v>515.20746907761031</v>
      </c>
      <c r="V34" s="905">
        <v>449.83473295020627</v>
      </c>
      <c r="W34" s="905">
        <v>368.85723908641182</v>
      </c>
      <c r="X34" s="905">
        <v>150.80979588613138</v>
      </c>
      <c r="Y34" s="905">
        <v>113.8005986967852</v>
      </c>
      <c r="Z34" s="905">
        <v>231.36885720063816</v>
      </c>
      <c r="AA34" s="905">
        <v>234.15305184034537</v>
      </c>
      <c r="AB34" s="905">
        <v>232.54138807526104</v>
      </c>
      <c r="AC34" s="905">
        <v>225.22783651318068</v>
      </c>
      <c r="AD34" s="905">
        <v>220.8890635325412</v>
      </c>
      <c r="AE34" s="905">
        <v>216.8682167701825</v>
      </c>
      <c r="AF34" s="905">
        <v>212.99828377805193</v>
      </c>
      <c r="AG34" s="905">
        <v>210.29673091851848</v>
      </c>
      <c r="AH34" s="905">
        <v>207.89617935151603</v>
      </c>
    </row>
    <row r="35" spans="1:34" s="906" customFormat="1" ht="15">
      <c r="A35" s="904" t="s">
        <v>932</v>
      </c>
      <c r="B35" s="904" t="s">
        <v>933</v>
      </c>
      <c r="C35" s="904" t="s">
        <v>512</v>
      </c>
      <c r="D35" s="904" t="s">
        <v>954</v>
      </c>
      <c r="E35" s="904" t="s">
        <v>951</v>
      </c>
      <c r="F35" s="903" t="str">
        <f t="shared" si="2"/>
        <v>EUR (m)</v>
      </c>
      <c r="G35" s="905">
        <v>2326.5701278861216</v>
      </c>
      <c r="H35" s="905">
        <v>2386.3763168258861</v>
      </c>
      <c r="I35" s="905">
        <v>2398.579702586886</v>
      </c>
      <c r="J35" s="905">
        <v>2280.8926986134757</v>
      </c>
      <c r="K35" s="905">
        <v>2296.9816482755509</v>
      </c>
      <c r="L35" s="905">
        <v>2233.9543762117996</v>
      </c>
      <c r="M35" s="905">
        <v>2157.275781084033</v>
      </c>
      <c r="N35" s="905">
        <v>2089.3286901755396</v>
      </c>
      <c r="O35" s="905">
        <v>1901.3242917890298</v>
      </c>
      <c r="P35" s="905">
        <v>1566.3872558323292</v>
      </c>
      <c r="Q35" s="905">
        <v>1531.682549248341</v>
      </c>
      <c r="R35" s="905">
        <v>1503.1077443846325</v>
      </c>
      <c r="S35" s="905">
        <v>1407.1999687325665</v>
      </c>
      <c r="T35" s="905">
        <v>1375.7140681290036</v>
      </c>
      <c r="U35" s="905">
        <v>1356.1596747172509</v>
      </c>
      <c r="V35" s="905">
        <v>1133.1145704468393</v>
      </c>
      <c r="W35" s="905">
        <v>916.70895169206051</v>
      </c>
      <c r="X35" s="905">
        <v>464.89020411386861</v>
      </c>
      <c r="Y35" s="905">
        <v>274.69940130321481</v>
      </c>
      <c r="Z35" s="905">
        <v>623.1311427993619</v>
      </c>
      <c r="AA35" s="905">
        <v>610.14694815965447</v>
      </c>
      <c r="AB35" s="905">
        <v>594.50179829701472</v>
      </c>
      <c r="AC35" s="905">
        <v>585.31633433470495</v>
      </c>
      <c r="AD35" s="905">
        <v>576.03985523054769</v>
      </c>
      <c r="AE35" s="905">
        <v>566.93464949678309</v>
      </c>
      <c r="AF35" s="905">
        <v>559.67512111769872</v>
      </c>
      <c r="AG35" s="905">
        <v>552.57651028832333</v>
      </c>
      <c r="AH35" s="905">
        <v>546.26881162906386</v>
      </c>
    </row>
    <row r="36" spans="1:34" s="906" customFormat="1" ht="15">
      <c r="A36" s="904" t="s">
        <v>932</v>
      </c>
      <c r="B36" s="904" t="s">
        <v>933</v>
      </c>
      <c r="C36" s="904" t="s">
        <v>512</v>
      </c>
      <c r="D36" s="904" t="s">
        <v>955</v>
      </c>
      <c r="E36" s="904" t="s">
        <v>951</v>
      </c>
      <c r="F36" s="903" t="str">
        <f t="shared" si="2"/>
        <v>EUR (m)</v>
      </c>
      <c r="G36" s="905">
        <v>367</v>
      </c>
      <c r="H36" s="905">
        <v>4474</v>
      </c>
      <c r="I36" s="905">
        <v>11470</v>
      </c>
      <c r="J36" s="905">
        <v>15436</v>
      </c>
      <c r="K36" s="905">
        <v>18827</v>
      </c>
      <c r="L36" s="905">
        <v>21685</v>
      </c>
      <c r="M36" s="905">
        <v>24951.200000000001</v>
      </c>
      <c r="N36" s="905">
        <v>31534</v>
      </c>
      <c r="O36" s="905">
        <v>44896</v>
      </c>
      <c r="P36" s="905">
        <v>50066</v>
      </c>
      <c r="Q36" s="905">
        <v>47694</v>
      </c>
      <c r="R36" s="905">
        <v>46975</v>
      </c>
      <c r="S36" s="905">
        <v>48279</v>
      </c>
      <c r="T36" s="905">
        <v>49693</v>
      </c>
      <c r="U36" s="905">
        <v>49086</v>
      </c>
      <c r="V36" s="905">
        <v>48756</v>
      </c>
      <c r="W36" s="905">
        <v>46607.479999999996</v>
      </c>
      <c r="X36" s="905">
        <v>20629.800000000003</v>
      </c>
      <c r="Y36" s="905">
        <v>20728.395065789475</v>
      </c>
      <c r="Z36" s="905">
        <v>33676.589999999997</v>
      </c>
      <c r="AA36" s="905">
        <v>33760.549999999996</v>
      </c>
      <c r="AB36" s="905">
        <v>32647.249999999996</v>
      </c>
      <c r="AC36" s="905">
        <v>31228.466115358511</v>
      </c>
      <c r="AD36" s="905">
        <v>30267.305000651719</v>
      </c>
      <c r="AE36" s="905">
        <v>29536.543257019155</v>
      </c>
      <c r="AF36" s="905">
        <v>29073.649407178647</v>
      </c>
      <c r="AG36" s="905">
        <v>28801.961979453503</v>
      </c>
      <c r="AH36" s="905">
        <v>28680.378802742012</v>
      </c>
    </row>
    <row r="37" spans="1:34" s="906" customFormat="1" ht="15">
      <c r="A37" s="904" t="s">
        <v>932</v>
      </c>
      <c r="B37" s="904" t="s">
        <v>933</v>
      </c>
      <c r="C37" s="904" t="s">
        <v>512</v>
      </c>
      <c r="D37" s="904" t="s">
        <v>956</v>
      </c>
      <c r="E37" s="904" t="s">
        <v>951</v>
      </c>
      <c r="F37" s="903" t="str">
        <f t="shared" si="2"/>
        <v>EUR (m)</v>
      </c>
      <c r="G37" s="905">
        <v>1257</v>
      </c>
      <c r="H37" s="905">
        <v>1542</v>
      </c>
      <c r="I37" s="905">
        <v>1553</v>
      </c>
      <c r="J37" s="905">
        <v>1755</v>
      </c>
      <c r="K37" s="905">
        <v>1726</v>
      </c>
      <c r="L37" s="905">
        <v>1636</v>
      </c>
      <c r="M37" s="905">
        <v>1454.4047214607483</v>
      </c>
      <c r="N37" s="905">
        <v>1771.2661406835546</v>
      </c>
      <c r="O37" s="905">
        <v>1653.7807818938065</v>
      </c>
      <c r="P37" s="905">
        <v>1632.5924496839939</v>
      </c>
      <c r="Q37" s="905">
        <v>1576.4701149425289</v>
      </c>
      <c r="R37" s="905">
        <v>1544.9945945945944</v>
      </c>
      <c r="S37" s="905">
        <v>1513.7172995780591</v>
      </c>
      <c r="T37" s="905">
        <v>1509.3790149892934</v>
      </c>
      <c r="U37" s="905">
        <v>1524.5696234309623</v>
      </c>
      <c r="V37" s="905">
        <v>1542.3355981695095</v>
      </c>
      <c r="W37" s="905">
        <v>1523.872866414966</v>
      </c>
      <c r="X37" s="905">
        <v>621.08387708451096</v>
      </c>
      <c r="Y37" s="905">
        <v>761.85588969984326</v>
      </c>
      <c r="Z37" s="905">
        <v>1310.6096260677425</v>
      </c>
      <c r="AA37" s="905">
        <v>1353.3409377802684</v>
      </c>
      <c r="AB37" s="905">
        <v>1350.49677621059</v>
      </c>
      <c r="AC37" s="905">
        <v>1360.8622081803892</v>
      </c>
      <c r="AD37" s="905">
        <v>1351.2497068647542</v>
      </c>
      <c r="AE37" s="905">
        <v>1340.0967727254099</v>
      </c>
      <c r="AF37" s="905">
        <v>1332.0649745081969</v>
      </c>
      <c r="AG37" s="905">
        <v>1325.8859174180327</v>
      </c>
      <c r="AH37" s="905">
        <v>1321.2844525204916</v>
      </c>
    </row>
    <row r="38" spans="1:34" s="906" customFormat="1" ht="15">
      <c r="A38" s="904" t="s">
        <v>932</v>
      </c>
      <c r="B38" s="904" t="s">
        <v>933</v>
      </c>
      <c r="C38" s="904" t="s">
        <v>514</v>
      </c>
      <c r="D38" s="904" t="s">
        <v>957</v>
      </c>
      <c r="E38" s="904" t="s">
        <v>951</v>
      </c>
      <c r="F38" s="903" t="str">
        <f t="shared" si="2"/>
        <v>EUR (m)</v>
      </c>
      <c r="G38" s="905">
        <v>9103</v>
      </c>
      <c r="H38" s="905">
        <v>13523.000000000002</v>
      </c>
      <c r="I38" s="905">
        <v>9296</v>
      </c>
      <c r="J38" s="905">
        <v>8588</v>
      </c>
      <c r="K38" s="905">
        <v>8117.0000000000009</v>
      </c>
      <c r="L38" s="905">
        <v>8141.0000000000009</v>
      </c>
      <c r="M38" s="905">
        <v>9432.6704911865745</v>
      </c>
      <c r="N38" s="905">
        <v>8733.8493371434961</v>
      </c>
      <c r="O38" s="905">
        <v>9189.5122371873294</v>
      </c>
      <c r="P38" s="905">
        <v>7982.2222222222226</v>
      </c>
      <c r="Q38" s="905">
        <v>7683.2122292569138</v>
      </c>
      <c r="R38" s="905">
        <v>7781.0534135125572</v>
      </c>
      <c r="S38" s="905">
        <v>8088.0283879689086</v>
      </c>
      <c r="T38" s="905">
        <v>9605.7883096366513</v>
      </c>
      <c r="U38" s="905">
        <v>8909.5870151216313</v>
      </c>
      <c r="V38" s="905">
        <v>9423.5506853419793</v>
      </c>
      <c r="W38" s="905">
        <v>9791.8951791435502</v>
      </c>
      <c r="X38" s="905">
        <v>7459.3619413847118</v>
      </c>
      <c r="Y38" s="905">
        <v>9723.3699577588104</v>
      </c>
      <c r="Z38" s="905">
        <v>9452.8994689883311</v>
      </c>
      <c r="AA38" s="905">
        <v>9526.0463197198678</v>
      </c>
      <c r="AB38" s="905">
        <v>9516.3505265054646</v>
      </c>
      <c r="AC38" s="905">
        <v>9505.7455320759291</v>
      </c>
      <c r="AD38" s="905">
        <v>9531.89012552235</v>
      </c>
      <c r="AE38" s="905">
        <v>9554.8276723690888</v>
      </c>
      <c r="AF38" s="905">
        <v>9604.1454565814875</v>
      </c>
      <c r="AG38" s="905">
        <v>9669.83993844012</v>
      </c>
      <c r="AH38" s="905">
        <v>9748.726083213478</v>
      </c>
    </row>
    <row r="39" spans="1:34" s="906" customFormat="1" ht="15">
      <c r="A39" s="904" t="s">
        <v>932</v>
      </c>
      <c r="B39" s="904" t="s">
        <v>933</v>
      </c>
      <c r="C39" s="904" t="s">
        <v>514</v>
      </c>
      <c r="D39" s="904" t="s">
        <v>958</v>
      </c>
      <c r="E39" s="904" t="s">
        <v>951</v>
      </c>
      <c r="F39" s="903" t="str">
        <f t="shared" si="2"/>
        <v>EUR (m)</v>
      </c>
      <c r="G39" s="905">
        <v>282</v>
      </c>
      <c r="H39" s="905">
        <v>594</v>
      </c>
      <c r="I39" s="905">
        <v>1220</v>
      </c>
      <c r="J39" s="905">
        <v>3970</v>
      </c>
      <c r="K39" s="905">
        <v>7954.9999999999991</v>
      </c>
      <c r="L39" s="905">
        <v>10150</v>
      </c>
      <c r="M39" s="905">
        <v>9435.3200000000015</v>
      </c>
      <c r="N39" s="905">
        <v>9347</v>
      </c>
      <c r="O39" s="905">
        <v>10151</v>
      </c>
      <c r="P39" s="905">
        <v>9742.9720028715001</v>
      </c>
      <c r="Q39" s="905">
        <v>9601.3428463855435</v>
      </c>
      <c r="R39" s="905">
        <v>9427.5239555385215</v>
      </c>
      <c r="S39" s="905">
        <v>9055.6317073170721</v>
      </c>
      <c r="T39" s="905">
        <v>8966.2225421637177</v>
      </c>
      <c r="U39" s="905">
        <v>9091.3166529942573</v>
      </c>
      <c r="V39" s="905">
        <v>9218.3276866329816</v>
      </c>
      <c r="W39" s="905">
        <v>9201.2339338617294</v>
      </c>
      <c r="X39" s="905">
        <v>8125.2191348682336</v>
      </c>
      <c r="Y39" s="905">
        <v>12056.846971790912</v>
      </c>
      <c r="Z39" s="905">
        <v>11039.685289793068</v>
      </c>
      <c r="AA39" s="905">
        <v>12093.465744405607</v>
      </c>
      <c r="AB39" s="905">
        <v>12703.743062378117</v>
      </c>
      <c r="AC39" s="905">
        <v>13366.085803196003</v>
      </c>
      <c r="AD39" s="905">
        <v>14072.620734938215</v>
      </c>
      <c r="AE39" s="905">
        <v>14768.407383984388</v>
      </c>
      <c r="AF39" s="905">
        <v>15498.306085360231</v>
      </c>
      <c r="AG39" s="905">
        <v>16248.800426252072</v>
      </c>
      <c r="AH39" s="905">
        <v>17015.086232583879</v>
      </c>
    </row>
    <row r="40" spans="1:34" s="906" customFormat="1" ht="15">
      <c r="A40" s="907" t="s">
        <v>932</v>
      </c>
      <c r="B40" s="907" t="s">
        <v>933</v>
      </c>
      <c r="C40" s="907" t="s">
        <v>514</v>
      </c>
      <c r="D40" s="907" t="s">
        <v>959</v>
      </c>
      <c r="E40" s="907" t="s">
        <v>951</v>
      </c>
      <c r="F40" s="908" t="str">
        <f t="shared" si="2"/>
        <v>EUR (m)</v>
      </c>
      <c r="G40" s="909">
        <v>0</v>
      </c>
      <c r="H40" s="909">
        <v>0</v>
      </c>
      <c r="I40" s="909">
        <v>0</v>
      </c>
      <c r="J40" s="909">
        <v>0</v>
      </c>
      <c r="K40" s="909">
        <v>0</v>
      </c>
      <c r="L40" s="909">
        <v>0</v>
      </c>
      <c r="M40" s="909">
        <v>0</v>
      </c>
      <c r="N40" s="909">
        <v>0</v>
      </c>
      <c r="O40" s="909">
        <v>0</v>
      </c>
      <c r="P40" s="909">
        <v>0</v>
      </c>
      <c r="Q40" s="909">
        <v>0</v>
      </c>
      <c r="R40" s="909">
        <v>0</v>
      </c>
      <c r="S40" s="909">
        <v>0</v>
      </c>
      <c r="T40" s="909">
        <v>0</v>
      </c>
      <c r="U40" s="909">
        <v>0</v>
      </c>
      <c r="V40" s="909">
        <v>0</v>
      </c>
      <c r="W40" s="909">
        <v>0</v>
      </c>
      <c r="X40" s="909">
        <v>0</v>
      </c>
      <c r="Y40" s="909">
        <v>0</v>
      </c>
      <c r="Z40" s="909">
        <v>0</v>
      </c>
      <c r="AA40" s="909">
        <v>0</v>
      </c>
      <c r="AB40" s="909">
        <v>0</v>
      </c>
      <c r="AC40" s="909">
        <v>0</v>
      </c>
      <c r="AD40" s="909">
        <v>0</v>
      </c>
      <c r="AE40" s="909">
        <v>0</v>
      </c>
      <c r="AF40" s="909">
        <v>0</v>
      </c>
      <c r="AG40" s="909">
        <v>0</v>
      </c>
      <c r="AH40" s="909">
        <v>0</v>
      </c>
    </row>
    <row r="41" spans="1:34" s="906" customFormat="1" ht="15">
      <c r="A41" s="904" t="s">
        <v>932</v>
      </c>
      <c r="B41" s="904" t="s">
        <v>933</v>
      </c>
      <c r="C41" s="904" t="s">
        <v>110</v>
      </c>
      <c r="D41" s="904" t="s">
        <v>950</v>
      </c>
      <c r="E41" s="904" t="s">
        <v>960</v>
      </c>
      <c r="F41" s="903" t="str">
        <f t="shared" si="2"/>
        <v>EUR (m)</v>
      </c>
      <c r="G41" s="905">
        <v>0</v>
      </c>
      <c r="H41" s="905">
        <v>0</v>
      </c>
      <c r="I41" s="905">
        <v>0</v>
      </c>
      <c r="J41" s="905">
        <v>0</v>
      </c>
      <c r="K41" s="905">
        <v>0</v>
      </c>
      <c r="L41" s="905">
        <v>92.431988266875763</v>
      </c>
      <c r="M41" s="905">
        <v>105.97024518577875</v>
      </c>
      <c r="N41" s="905">
        <v>91.969660238007364</v>
      </c>
      <c r="O41" s="905">
        <v>69.163701206948176</v>
      </c>
      <c r="P41" s="905">
        <v>57.481605351170586</v>
      </c>
      <c r="Q41" s="905">
        <v>50.589211618257274</v>
      </c>
      <c r="R41" s="905">
        <v>48.222222222222221</v>
      </c>
      <c r="S41" s="905">
        <v>52.707182320442001</v>
      </c>
      <c r="T41" s="905">
        <v>56.888888888888886</v>
      </c>
      <c r="U41" s="905">
        <v>61.848684210526315</v>
      </c>
      <c r="V41" s="905">
        <v>62.146086956521735</v>
      </c>
      <c r="W41" s="905">
        <v>72.864000000000004</v>
      </c>
      <c r="X41" s="905">
        <v>115.48290997866667</v>
      </c>
      <c r="Y41" s="905">
        <v>173.79598886746987</v>
      </c>
      <c r="Z41" s="905">
        <v>129.7800442906788</v>
      </c>
      <c r="AA41" s="905">
        <v>139.20999961336031</v>
      </c>
      <c r="AB41" s="905">
        <v>145.44817468565333</v>
      </c>
      <c r="AC41" s="905">
        <v>157.66993743807836</v>
      </c>
      <c r="AD41" s="905">
        <v>170.84133547554572</v>
      </c>
      <c r="AE41" s="905">
        <v>184.31546829664609</v>
      </c>
      <c r="AF41" s="905">
        <v>198.7094050751798</v>
      </c>
      <c r="AG41" s="905">
        <v>213.90074999999999</v>
      </c>
      <c r="AH41" s="905">
        <v>217.86449999999999</v>
      </c>
    </row>
    <row r="42" spans="1:34" s="906" customFormat="1" ht="15">
      <c r="A42" s="904" t="s">
        <v>932</v>
      </c>
      <c r="B42" s="904" t="s">
        <v>933</v>
      </c>
      <c r="C42" s="904" t="s">
        <v>110</v>
      </c>
      <c r="D42" s="904" t="s">
        <v>952</v>
      </c>
      <c r="E42" s="904" t="s">
        <v>960</v>
      </c>
      <c r="F42" s="903" t="str">
        <f t="shared" si="2"/>
        <v>EUR (m)</v>
      </c>
      <c r="G42" s="905">
        <v>0</v>
      </c>
      <c r="H42" s="905">
        <v>0</v>
      </c>
      <c r="I42" s="905">
        <v>0</v>
      </c>
      <c r="J42" s="905">
        <v>0</v>
      </c>
      <c r="K42" s="905">
        <v>279.25958854553102</v>
      </c>
      <c r="L42" s="905">
        <v>580.84868266628166</v>
      </c>
      <c r="M42" s="905">
        <v>780.15563506790454</v>
      </c>
      <c r="N42" s="905">
        <v>988.84842613009926</v>
      </c>
      <c r="O42" s="905">
        <v>897.55464862212477</v>
      </c>
      <c r="P42" s="905">
        <v>958.80000000000007</v>
      </c>
      <c r="Q42" s="905">
        <v>939.87024203821636</v>
      </c>
      <c r="R42" s="905">
        <v>1265.012987012987</v>
      </c>
      <c r="S42" s="905">
        <v>2075.2066115702478</v>
      </c>
      <c r="T42" s="905">
        <v>3048.9251101321584</v>
      </c>
      <c r="U42" s="905">
        <v>4555.4296529968451</v>
      </c>
      <c r="V42" s="905">
        <v>5366.4899978642852</v>
      </c>
      <c r="W42" s="905">
        <v>6469.2095362956115</v>
      </c>
      <c r="X42" s="905">
        <v>9452.9745759797024</v>
      </c>
      <c r="Y42" s="905">
        <v>13676.423059707187</v>
      </c>
      <c r="Z42" s="905">
        <v>12150.411626126648</v>
      </c>
      <c r="AA42" s="905">
        <v>13507.199184596175</v>
      </c>
      <c r="AB42" s="905">
        <v>15067.950873558888</v>
      </c>
      <c r="AC42" s="905">
        <v>16913.00014534096</v>
      </c>
      <c r="AD42" s="905">
        <v>19216.877190048337</v>
      </c>
      <c r="AE42" s="905">
        <v>21154.785533670231</v>
      </c>
      <c r="AF42" s="905">
        <v>23226.980646758246</v>
      </c>
      <c r="AG42" s="905">
        <v>25424.547158636909</v>
      </c>
      <c r="AH42" s="905">
        <v>26938.378729535612</v>
      </c>
    </row>
    <row r="43" spans="1:34" s="906" customFormat="1" ht="15">
      <c r="A43" s="904" t="s">
        <v>932</v>
      </c>
      <c r="B43" s="904" t="s">
        <v>933</v>
      </c>
      <c r="C43" s="904" t="s">
        <v>512</v>
      </c>
      <c r="D43" s="904" t="s">
        <v>961</v>
      </c>
      <c r="E43" s="904" t="s">
        <v>960</v>
      </c>
      <c r="F43" s="903" t="str">
        <f t="shared" si="2"/>
        <v>EUR (m)</v>
      </c>
      <c r="G43" s="905">
        <v>0</v>
      </c>
      <c r="H43" s="905">
        <v>0</v>
      </c>
      <c r="I43" s="905">
        <v>0</v>
      </c>
      <c r="J43" s="905">
        <v>0</v>
      </c>
      <c r="K43" s="905">
        <v>0</v>
      </c>
      <c r="L43" s="905">
        <v>0</v>
      </c>
      <c r="M43" s="905">
        <v>0</v>
      </c>
      <c r="N43" s="905">
        <v>0</v>
      </c>
      <c r="O43" s="905">
        <v>0</v>
      </c>
      <c r="P43" s="905">
        <v>276.51796007237414</v>
      </c>
      <c r="Q43" s="905">
        <v>5356.2377310881257</v>
      </c>
      <c r="R43" s="905">
        <v>5428.0976939638449</v>
      </c>
      <c r="S43" s="905">
        <v>6895.9313038631863</v>
      </c>
      <c r="T43" s="905">
        <v>7004.0482871814038</v>
      </c>
      <c r="U43" s="905">
        <v>11311.230036524297</v>
      </c>
      <c r="V43" s="905">
        <v>14126.171906465584</v>
      </c>
      <c r="W43" s="905">
        <v>17232.884785763326</v>
      </c>
      <c r="X43" s="905">
        <v>25333.545461098773</v>
      </c>
      <c r="Y43" s="905">
        <v>38435.656346049276</v>
      </c>
      <c r="Z43" s="905">
        <v>45519.178486196266</v>
      </c>
      <c r="AA43" s="905">
        <v>54013.690536055692</v>
      </c>
      <c r="AB43" s="905">
        <v>63804.87457833637</v>
      </c>
      <c r="AC43" s="905">
        <v>71994.665062834931</v>
      </c>
      <c r="AD43" s="905">
        <v>80048.549373620466</v>
      </c>
      <c r="AE43" s="905">
        <v>88118.399546083485</v>
      </c>
      <c r="AF43" s="905">
        <v>96411.529721226907</v>
      </c>
      <c r="AG43" s="905">
        <v>104828.43319305536</v>
      </c>
      <c r="AH43" s="905">
        <v>113321.55747887339</v>
      </c>
    </row>
    <row r="44" spans="1:34" s="906" customFormat="1" ht="15">
      <c r="A44" s="904" t="s">
        <v>932</v>
      </c>
      <c r="B44" s="904" t="s">
        <v>933</v>
      </c>
      <c r="C44" s="904" t="s">
        <v>512</v>
      </c>
      <c r="D44" s="904" t="s">
        <v>962</v>
      </c>
      <c r="E44" s="904" t="s">
        <v>960</v>
      </c>
      <c r="F44" s="903" t="str">
        <f t="shared" si="2"/>
        <v>EUR (m)</v>
      </c>
      <c r="G44" s="905">
        <v>0</v>
      </c>
      <c r="H44" s="905">
        <v>0</v>
      </c>
      <c r="I44" s="905">
        <v>0</v>
      </c>
      <c r="J44" s="905">
        <v>0</v>
      </c>
      <c r="K44" s="905">
        <v>0</v>
      </c>
      <c r="L44" s="905">
        <v>0</v>
      </c>
      <c r="M44" s="905">
        <v>0</v>
      </c>
      <c r="N44" s="905">
        <v>0</v>
      </c>
      <c r="O44" s="905">
        <v>1017.735545326846</v>
      </c>
      <c r="P44" s="905">
        <v>3090.806968654786</v>
      </c>
      <c r="Q44" s="905">
        <v>1217.8194197546143</v>
      </c>
      <c r="R44" s="905">
        <v>1215.2593101408906</v>
      </c>
      <c r="S44" s="905">
        <v>1399.6434940848665</v>
      </c>
      <c r="T44" s="905">
        <v>1265.9608988581538</v>
      </c>
      <c r="U44" s="905">
        <v>1663.1896968737165</v>
      </c>
      <c r="V44" s="905">
        <v>1607.3396179525623</v>
      </c>
      <c r="W44" s="905">
        <v>1979.2812120322178</v>
      </c>
      <c r="X44" s="905">
        <v>2123.1011279618283</v>
      </c>
      <c r="Y44" s="905">
        <v>2270.6092464562585</v>
      </c>
      <c r="Z44" s="905">
        <v>1962.062871112036</v>
      </c>
      <c r="AA44" s="905">
        <v>2216.3272674889677</v>
      </c>
      <c r="AB44" s="905">
        <v>2457.0021759630258</v>
      </c>
      <c r="AC44" s="905">
        <v>2590.6151959093222</v>
      </c>
      <c r="AD44" s="905">
        <v>2678.3285623497909</v>
      </c>
      <c r="AE44" s="905">
        <v>2725.8696495788931</v>
      </c>
      <c r="AF44" s="905">
        <v>2860.7089953840527</v>
      </c>
      <c r="AG44" s="905">
        <v>2978.1275911932521</v>
      </c>
      <c r="AH44" s="905">
        <v>3076.3657962401439</v>
      </c>
    </row>
    <row r="45" spans="1:34" s="906" customFormat="1" ht="15">
      <c r="A45" s="904" t="s">
        <v>932</v>
      </c>
      <c r="B45" s="904" t="s">
        <v>933</v>
      </c>
      <c r="C45" s="904" t="s">
        <v>512</v>
      </c>
      <c r="D45" s="904" t="s">
        <v>963</v>
      </c>
      <c r="E45" s="904" t="s">
        <v>960</v>
      </c>
      <c r="F45" s="903" t="str">
        <f t="shared" si="2"/>
        <v>EUR (m)</v>
      </c>
      <c r="G45" s="905">
        <v>0</v>
      </c>
      <c r="H45" s="905">
        <v>0</v>
      </c>
      <c r="I45" s="905">
        <v>0</v>
      </c>
      <c r="J45" s="905">
        <v>0</v>
      </c>
      <c r="K45" s="905">
        <v>0</v>
      </c>
      <c r="L45" s="905">
        <v>0</v>
      </c>
      <c r="M45" s="905">
        <v>0</v>
      </c>
      <c r="N45" s="905">
        <v>0</v>
      </c>
      <c r="O45" s="905">
        <v>539.64320167315395</v>
      </c>
      <c r="P45" s="905">
        <v>2163.0342727203229</v>
      </c>
      <c r="Q45" s="905">
        <v>1496.8604146164525</v>
      </c>
      <c r="R45" s="905">
        <v>1490.1506256660359</v>
      </c>
      <c r="S45" s="905">
        <v>1979.6257105199929</v>
      </c>
      <c r="T45" s="905">
        <v>2107.9908139604427</v>
      </c>
      <c r="U45" s="905">
        <v>3335.5802666019863</v>
      </c>
      <c r="V45" s="905">
        <v>4025.4884755818539</v>
      </c>
      <c r="W45" s="905">
        <v>4102.8340022044558</v>
      </c>
      <c r="X45" s="905">
        <v>6694.553410939393</v>
      </c>
      <c r="Y45" s="905">
        <v>9213.4970739515575</v>
      </c>
      <c r="Z45" s="905">
        <v>8792.7614058902618</v>
      </c>
      <c r="AA45" s="905">
        <v>9971.123195815182</v>
      </c>
      <c r="AB45" s="905">
        <v>11939.695041416076</v>
      </c>
      <c r="AC45" s="905">
        <v>13653.996223296779</v>
      </c>
      <c r="AD45" s="905">
        <v>15383.531689526964</v>
      </c>
      <c r="AE45" s="905">
        <v>17156.84191327295</v>
      </c>
      <c r="AF45" s="905">
        <v>18893.233956995318</v>
      </c>
      <c r="AG45" s="905">
        <v>20674.974502123663</v>
      </c>
      <c r="AH45" s="905">
        <v>22493.093622133041</v>
      </c>
    </row>
    <row r="46" spans="1:34" s="906" customFormat="1" ht="15">
      <c r="A46" s="904" t="s">
        <v>932</v>
      </c>
      <c r="B46" s="904" t="s">
        <v>933</v>
      </c>
      <c r="C46" s="904" t="s">
        <v>512</v>
      </c>
      <c r="D46" s="904" t="s">
        <v>109</v>
      </c>
      <c r="E46" s="904" t="s">
        <v>960</v>
      </c>
      <c r="F46" s="903" t="str">
        <f t="shared" si="2"/>
        <v>EUR (m)</v>
      </c>
      <c r="G46" s="905">
        <v>0</v>
      </c>
      <c r="H46" s="905">
        <v>0</v>
      </c>
      <c r="I46" s="905">
        <v>0</v>
      </c>
      <c r="J46" s="905">
        <v>0</v>
      </c>
      <c r="K46" s="905">
        <v>0</v>
      </c>
      <c r="L46" s="905">
        <v>242.422236</v>
      </c>
      <c r="M46" s="905">
        <v>2347.5192439999996</v>
      </c>
      <c r="N46" s="905">
        <v>3145.8448280000007</v>
      </c>
      <c r="O46" s="905">
        <v>6860.548490000001</v>
      </c>
      <c r="P46" s="905">
        <v>8441.6407985525166</v>
      </c>
      <c r="Q46" s="905">
        <v>5209.6824345408077</v>
      </c>
      <c r="R46" s="905">
        <v>4184.492370229229</v>
      </c>
      <c r="S46" s="905">
        <v>5484</v>
      </c>
      <c r="T46" s="905">
        <v>5784</v>
      </c>
      <c r="U46" s="905">
        <v>3444</v>
      </c>
      <c r="V46" s="905">
        <v>3207</v>
      </c>
      <c r="W46" s="905">
        <v>3014</v>
      </c>
      <c r="X46" s="905">
        <v>4345.4964356647279</v>
      </c>
      <c r="Y46" s="905">
        <v>2630.2165477014987</v>
      </c>
      <c r="Z46" s="905">
        <v>3866.4643673379187</v>
      </c>
      <c r="AA46" s="905">
        <v>3922.3273700204791</v>
      </c>
      <c r="AB46" s="905">
        <v>3761.3869741256526</v>
      </c>
      <c r="AC46" s="905">
        <v>3782.4661810040561</v>
      </c>
      <c r="AD46" s="905">
        <v>3770.2483451959461</v>
      </c>
      <c r="AE46" s="905">
        <v>3782.7058666459229</v>
      </c>
      <c r="AF46" s="905">
        <v>3822.4912925870367</v>
      </c>
      <c r="AG46" s="905">
        <v>3879.7147116789215</v>
      </c>
      <c r="AH46" s="905">
        <v>3949.5427824421849</v>
      </c>
    </row>
    <row r="47" spans="1:34" s="906" customFormat="1" ht="15">
      <c r="A47" s="904" t="s">
        <v>932</v>
      </c>
      <c r="B47" s="904" t="s">
        <v>933</v>
      </c>
      <c r="C47" s="904" t="s">
        <v>512</v>
      </c>
      <c r="D47" s="904" t="s">
        <v>956</v>
      </c>
      <c r="E47" s="904" t="s">
        <v>960</v>
      </c>
      <c r="F47" s="903" t="str">
        <f t="shared" si="2"/>
        <v>EUR (m)</v>
      </c>
      <c r="G47" s="905">
        <v>0</v>
      </c>
      <c r="H47" s="905">
        <v>0</v>
      </c>
      <c r="I47" s="905">
        <v>0</v>
      </c>
      <c r="J47" s="905">
        <v>0</v>
      </c>
      <c r="K47" s="905">
        <v>0</v>
      </c>
      <c r="L47" s="905">
        <v>0</v>
      </c>
      <c r="M47" s="905">
        <v>7.5278539251763268E-2</v>
      </c>
      <c r="N47" s="905">
        <v>144.73385931644569</v>
      </c>
      <c r="O47" s="905">
        <v>196.21921810619321</v>
      </c>
      <c r="P47" s="905">
        <v>130.40755031600611</v>
      </c>
      <c r="Q47" s="905">
        <v>87.429885057471267</v>
      </c>
      <c r="R47" s="905">
        <v>79.005405405405398</v>
      </c>
      <c r="S47" s="905">
        <v>84.28270042194093</v>
      </c>
      <c r="T47" s="905">
        <v>92.620985010706647</v>
      </c>
      <c r="U47" s="905">
        <v>94.430376569037662</v>
      </c>
      <c r="V47" s="905">
        <v>104.6644018304908</v>
      </c>
      <c r="W47" s="905">
        <v>127.12713358503393</v>
      </c>
      <c r="X47" s="905">
        <v>197.62188423236148</v>
      </c>
      <c r="Y47" s="905">
        <v>230.1029580367823</v>
      </c>
      <c r="Z47" s="905">
        <v>187.14405673007974</v>
      </c>
      <c r="AA47" s="905">
        <v>203.52906221973151</v>
      </c>
      <c r="AB47" s="905">
        <v>214.43322378941005</v>
      </c>
      <c r="AC47" s="905">
        <v>211.11779181961074</v>
      </c>
      <c r="AD47" s="905">
        <v>232.94029313524587</v>
      </c>
      <c r="AE47" s="905">
        <v>254.88322727459013</v>
      </c>
      <c r="AF47" s="905">
        <v>277.59502549180326</v>
      </c>
      <c r="AG47" s="905">
        <v>300.81408258196723</v>
      </c>
      <c r="AH47" s="905">
        <v>324.42554747950817</v>
      </c>
    </row>
    <row r="48" spans="1:34" s="906" customFormat="1" ht="15">
      <c r="A48" s="904" t="s">
        <v>932</v>
      </c>
      <c r="B48" s="904" t="s">
        <v>933</v>
      </c>
      <c r="C48" s="904" t="s">
        <v>514</v>
      </c>
      <c r="D48" s="904" t="s">
        <v>957</v>
      </c>
      <c r="E48" s="904" t="s">
        <v>960</v>
      </c>
      <c r="F48" s="903" t="str">
        <f t="shared" si="2"/>
        <v>EUR (m)</v>
      </c>
      <c r="G48" s="905">
        <v>0</v>
      </c>
      <c r="H48" s="905">
        <v>0</v>
      </c>
      <c r="I48" s="905">
        <v>0</v>
      </c>
      <c r="J48" s="905">
        <v>0</v>
      </c>
      <c r="K48" s="905">
        <v>0</v>
      </c>
      <c r="L48" s="905">
        <v>0</v>
      </c>
      <c r="M48" s="905">
        <v>6.9995088134250212</v>
      </c>
      <c r="N48" s="905">
        <v>20.150662856502493</v>
      </c>
      <c r="O48" s="905">
        <v>16.487762812669459</v>
      </c>
      <c r="P48" s="905">
        <v>17.777777777777779</v>
      </c>
      <c r="Q48" s="905">
        <v>25.687770743085636</v>
      </c>
      <c r="R48" s="905">
        <v>35.946586487442516</v>
      </c>
      <c r="S48" s="905">
        <v>43.971612031091588</v>
      </c>
      <c r="T48" s="905">
        <v>66.211690363349135</v>
      </c>
      <c r="U48" s="905">
        <v>97.412984878369429</v>
      </c>
      <c r="V48" s="905">
        <v>137.37931465801995</v>
      </c>
      <c r="W48" s="905">
        <v>165.01482085645074</v>
      </c>
      <c r="X48" s="905">
        <v>206.70805861528783</v>
      </c>
      <c r="Y48" s="905">
        <v>255.11004224118849</v>
      </c>
      <c r="Z48" s="905">
        <v>291.87053101166936</v>
      </c>
      <c r="AA48" s="905">
        <v>292.59475259233773</v>
      </c>
      <c r="AB48" s="905">
        <v>330.73171729866323</v>
      </c>
      <c r="AC48" s="905">
        <v>354.13446792407086</v>
      </c>
      <c r="AD48" s="905">
        <v>381.28987447765059</v>
      </c>
      <c r="AE48" s="905">
        <v>409.70232763090991</v>
      </c>
      <c r="AF48" s="905">
        <v>442.14454341851388</v>
      </c>
      <c r="AG48" s="905">
        <v>478.16006155988015</v>
      </c>
      <c r="AH48" s="905">
        <v>517.83391678652424</v>
      </c>
    </row>
    <row r="49" spans="1:34" s="906" customFormat="1" ht="15">
      <c r="A49" s="904" t="s">
        <v>932</v>
      </c>
      <c r="B49" s="904" t="s">
        <v>933</v>
      </c>
      <c r="C49" s="904" t="s">
        <v>514</v>
      </c>
      <c r="D49" s="904" t="s">
        <v>958</v>
      </c>
      <c r="E49" s="904" t="s">
        <v>960</v>
      </c>
      <c r="F49" s="903" t="str">
        <f t="shared" si="2"/>
        <v>EUR (m)</v>
      </c>
      <c r="G49" s="905">
        <v>0</v>
      </c>
      <c r="H49" s="905">
        <v>0</v>
      </c>
      <c r="I49" s="905">
        <v>0</v>
      </c>
      <c r="J49" s="905">
        <v>0</v>
      </c>
      <c r="K49" s="905">
        <v>0</v>
      </c>
      <c r="L49" s="905">
        <v>0</v>
      </c>
      <c r="M49" s="905">
        <v>0</v>
      </c>
      <c r="N49" s="905">
        <v>0</v>
      </c>
      <c r="O49" s="905">
        <v>0</v>
      </c>
      <c r="P49" s="905">
        <v>21.027997128499639</v>
      </c>
      <c r="Q49" s="905">
        <v>10.857153614457832</v>
      </c>
      <c r="R49" s="905">
        <v>14.476044461479495</v>
      </c>
      <c r="S49" s="905">
        <v>7.3682926829268292</v>
      </c>
      <c r="T49" s="905">
        <v>14.777457836281364</v>
      </c>
      <c r="U49" s="905">
        <v>18.683347005742412</v>
      </c>
      <c r="V49" s="905">
        <v>23.462313367018073</v>
      </c>
      <c r="W49" s="905">
        <v>26.796066138269335</v>
      </c>
      <c r="X49" s="905">
        <v>43.890865131765636</v>
      </c>
      <c r="Y49" s="905">
        <v>63.553028209088694</v>
      </c>
      <c r="Z49" s="905">
        <v>81.214710206932679</v>
      </c>
      <c r="AA49" s="905">
        <v>104.72318328218778</v>
      </c>
      <c r="AB49" s="905">
        <v>128.56469381775423</v>
      </c>
      <c r="AC49" s="905">
        <v>158.12419680399688</v>
      </c>
      <c r="AD49" s="905">
        <v>194.66926506178822</v>
      </c>
      <c r="AE49" s="905">
        <v>238.9626160156138</v>
      </c>
      <c r="AF49" s="905">
        <v>293.44391463976848</v>
      </c>
      <c r="AG49" s="905">
        <v>360.16957374793071</v>
      </c>
      <c r="AH49" s="905">
        <v>441.77376741612102</v>
      </c>
    </row>
    <row r="50" spans="1:34" s="906" customFormat="1" ht="15">
      <c r="A50" s="907" t="s">
        <v>932</v>
      </c>
      <c r="B50" s="907" t="s">
        <v>933</v>
      </c>
      <c r="C50" s="907" t="s">
        <v>514</v>
      </c>
      <c r="D50" s="907" t="s">
        <v>959</v>
      </c>
      <c r="E50" s="907" t="s">
        <v>960</v>
      </c>
      <c r="F50" s="908" t="str">
        <f t="shared" si="2"/>
        <v>EUR (m)</v>
      </c>
      <c r="G50" s="909">
        <v>0</v>
      </c>
      <c r="H50" s="909">
        <v>0</v>
      </c>
      <c r="I50" s="909">
        <v>0</v>
      </c>
      <c r="J50" s="909">
        <v>0</v>
      </c>
      <c r="K50" s="909">
        <v>0</v>
      </c>
      <c r="L50" s="909">
        <v>0</v>
      </c>
      <c r="M50" s="909">
        <v>0</v>
      </c>
      <c r="N50" s="909">
        <v>0</v>
      </c>
      <c r="O50" s="909">
        <v>0</v>
      </c>
      <c r="P50" s="909">
        <v>0</v>
      </c>
      <c r="Q50" s="909">
        <v>0</v>
      </c>
      <c r="R50" s="909">
        <v>0</v>
      </c>
      <c r="S50" s="909">
        <v>0</v>
      </c>
      <c r="T50" s="909">
        <v>0</v>
      </c>
      <c r="U50" s="909">
        <v>0</v>
      </c>
      <c r="V50" s="909">
        <v>0</v>
      </c>
      <c r="W50" s="909">
        <v>0</v>
      </c>
      <c r="X50" s="909">
        <v>0</v>
      </c>
      <c r="Y50" s="909">
        <v>0</v>
      </c>
      <c r="Z50" s="909">
        <v>0</v>
      </c>
      <c r="AA50" s="909">
        <v>0</v>
      </c>
      <c r="AB50" s="909">
        <v>0</v>
      </c>
      <c r="AC50" s="909">
        <v>0</v>
      </c>
      <c r="AD50" s="909">
        <v>0</v>
      </c>
      <c r="AE50" s="909">
        <v>0</v>
      </c>
      <c r="AF50" s="909">
        <v>0</v>
      </c>
      <c r="AG50" s="909">
        <v>0</v>
      </c>
      <c r="AH50" s="909">
        <v>0</v>
      </c>
    </row>
    <row r="51" spans="1:34" s="906" customFormat="1" ht="15">
      <c r="A51" s="904" t="s">
        <v>932</v>
      </c>
      <c r="B51" s="904" t="s">
        <v>933</v>
      </c>
      <c r="C51" s="904" t="s">
        <v>110</v>
      </c>
      <c r="D51" s="904" t="s">
        <v>950</v>
      </c>
      <c r="E51" s="904" t="s">
        <v>964</v>
      </c>
      <c r="F51" s="903" t="str">
        <f t="shared" si="2"/>
        <v>EUR (m)</v>
      </c>
      <c r="G51" s="905">
        <v>183.7053571428572</v>
      </c>
      <c r="H51" s="905">
        <v>208.71577000126442</v>
      </c>
      <c r="I51" s="905">
        <v>267.66068796293945</v>
      </c>
      <c r="J51" s="905">
        <v>296.15435539151457</v>
      </c>
      <c r="K51" s="905">
        <v>269.53528328044735</v>
      </c>
      <c r="L51" s="905">
        <v>107.01334361148514</v>
      </c>
      <c r="M51" s="905">
        <v>84.799657770045073</v>
      </c>
      <c r="N51" s="905">
        <v>80.70939560399232</v>
      </c>
      <c r="O51" s="905">
        <v>74.188275463141792</v>
      </c>
      <c r="P51" s="905">
        <v>67.499062984654032</v>
      </c>
      <c r="Q51" s="905">
        <v>78.892009262270633</v>
      </c>
      <c r="R51" s="905">
        <v>79.278986607890005</v>
      </c>
      <c r="S51" s="905">
        <v>73.415974463961916</v>
      </c>
      <c r="T51" s="905">
        <v>68.44697102220718</v>
      </c>
      <c r="U51" s="905">
        <v>59.058820444690944</v>
      </c>
      <c r="V51" s="905">
        <v>60.19623487485152</v>
      </c>
      <c r="W51" s="905">
        <v>51.998795024535241</v>
      </c>
      <c r="X51" s="905">
        <v>27.867999999999974</v>
      </c>
      <c r="Y51" s="905">
        <v>28.290666666666631</v>
      </c>
      <c r="Z51" s="905">
        <v>26.267460664231216</v>
      </c>
      <c r="AA51" s="905">
        <v>25.650332187203933</v>
      </c>
      <c r="AB51" s="905">
        <v>24.772874460394728</v>
      </c>
      <c r="AC51" s="905">
        <v>22.272831237032861</v>
      </c>
      <c r="AD51" s="905">
        <v>18.268272546477103</v>
      </c>
      <c r="AE51" s="905">
        <v>16.386230806472724</v>
      </c>
      <c r="AF51" s="905">
        <v>14.358070690508015</v>
      </c>
      <c r="AG51" s="905">
        <v>12.199890007112392</v>
      </c>
      <c r="AH51" s="905">
        <v>12.443393437120879</v>
      </c>
    </row>
    <row r="52" spans="1:34" s="906" customFormat="1" ht="15">
      <c r="A52" s="904" t="s">
        <v>932</v>
      </c>
      <c r="B52" s="904" t="s">
        <v>933</v>
      </c>
      <c r="C52" s="904" t="s">
        <v>110</v>
      </c>
      <c r="D52" s="904" t="s">
        <v>952</v>
      </c>
      <c r="E52" s="904" t="s">
        <v>964</v>
      </c>
      <c r="F52" s="903" t="str">
        <f t="shared" si="2"/>
        <v>EUR (m)</v>
      </c>
      <c r="G52" s="905">
        <v>581.73363095238085</v>
      </c>
      <c r="H52" s="905">
        <v>698.7440995694501</v>
      </c>
      <c r="I52" s="905">
        <v>948.97880277769389</v>
      </c>
      <c r="J52" s="905">
        <v>1114.1044798061735</v>
      </c>
      <c r="K52" s="905">
        <v>1078.1411331217889</v>
      </c>
      <c r="L52" s="905">
        <v>456.21478065948907</v>
      </c>
      <c r="M52" s="905">
        <v>386.30955206353855</v>
      </c>
      <c r="N52" s="905">
        <v>423.72432692095964</v>
      </c>
      <c r="O52" s="905">
        <v>420.40022762447006</v>
      </c>
      <c r="P52" s="905">
        <v>414.63710119144616</v>
      </c>
      <c r="Q52" s="905">
        <v>527.96960044750347</v>
      </c>
      <c r="R52" s="905">
        <v>581.37923512452676</v>
      </c>
      <c r="S52" s="905">
        <v>594.00197520841925</v>
      </c>
      <c r="T52" s="905">
        <v>616.02273919986476</v>
      </c>
      <c r="U52" s="905">
        <v>597.15029560743085</v>
      </c>
      <c r="V52" s="905">
        <v>692.25670106079292</v>
      </c>
      <c r="W52" s="905">
        <v>690.8411338973973</v>
      </c>
      <c r="X52" s="905">
        <v>436.5986666666667</v>
      </c>
      <c r="Y52" s="905">
        <v>537.52266666666674</v>
      </c>
      <c r="Z52" s="905">
        <v>499.08175262039259</v>
      </c>
      <c r="AA52" s="905">
        <v>508.73158837954418</v>
      </c>
      <c r="AB52" s="905">
        <v>513.76787467862061</v>
      </c>
      <c r="AC52" s="905">
        <v>483.92787869553172</v>
      </c>
      <c r="AD52" s="905">
        <v>416.69059760773928</v>
      </c>
      <c r="AE52" s="905">
        <v>393.26953935534499</v>
      </c>
      <c r="AF52" s="905">
        <v>363.48589484917625</v>
      </c>
      <c r="AG52" s="905">
        <v>326.6859435237871</v>
      </c>
      <c r="AH52" s="905">
        <v>353.53876647819868</v>
      </c>
    </row>
    <row r="53" spans="1:34" s="906" customFormat="1" ht="15">
      <c r="A53" s="904" t="s">
        <v>932</v>
      </c>
      <c r="B53" s="904" t="s">
        <v>933</v>
      </c>
      <c r="C53" s="904" t="s">
        <v>512</v>
      </c>
      <c r="D53" s="904" t="s">
        <v>961</v>
      </c>
      <c r="E53" s="904" t="s">
        <v>964</v>
      </c>
      <c r="F53" s="903" t="str">
        <f t="shared" si="2"/>
        <v>EUR (m)</v>
      </c>
      <c r="G53" s="905">
        <v>210.63880325614721</v>
      </c>
      <c r="H53" s="905">
        <v>349.34131930956607</v>
      </c>
      <c r="I53" s="905">
        <v>520.35343435368588</v>
      </c>
      <c r="J53" s="905">
        <v>727.08983572625812</v>
      </c>
      <c r="K53" s="905">
        <v>1795.1199075117863</v>
      </c>
      <c r="L53" s="905">
        <v>2532.6868229156889</v>
      </c>
      <c r="M53" s="905">
        <v>3228.512357026987</v>
      </c>
      <c r="N53" s="905">
        <v>3642.3874670509485</v>
      </c>
      <c r="O53" s="905">
        <v>3940.4217901327197</v>
      </c>
      <c r="P53" s="905">
        <v>3473.8510197120609</v>
      </c>
      <c r="Q53" s="905">
        <v>3173.7575439045359</v>
      </c>
      <c r="R53" s="905">
        <v>2796.1323562855205</v>
      </c>
      <c r="S53" s="905">
        <v>2243.9294756619229</v>
      </c>
      <c r="T53" s="905">
        <v>1925.7783392245999</v>
      </c>
      <c r="U53" s="905">
        <v>1748.389879159196</v>
      </c>
      <c r="V53" s="905">
        <v>1673.8130808337462</v>
      </c>
      <c r="W53" s="905">
        <v>1630.3212967192117</v>
      </c>
      <c r="X53" s="905">
        <v>1581.5938664836392</v>
      </c>
      <c r="Y53" s="905">
        <v>1626.1320702018868</v>
      </c>
      <c r="Z53" s="905">
        <v>1674.506087194568</v>
      </c>
      <c r="AA53" s="905">
        <v>1659.6048177553989</v>
      </c>
      <c r="AB53" s="905">
        <v>1341.1294322232204</v>
      </c>
      <c r="AC53" s="905">
        <v>1150.9513838028961</v>
      </c>
      <c r="AD53" s="905">
        <v>1017.2381045868215</v>
      </c>
      <c r="AE53" s="905">
        <v>787.61338642126873</v>
      </c>
      <c r="AF53" s="905">
        <v>552.92270401449082</v>
      </c>
      <c r="AG53" s="905">
        <v>290.31091664285481</v>
      </c>
      <c r="AH53" s="905">
        <v>32.978114679595066</v>
      </c>
    </row>
    <row r="54" spans="1:34" s="906" customFormat="1" ht="15">
      <c r="A54" s="904" t="s">
        <v>932</v>
      </c>
      <c r="B54" s="904" t="s">
        <v>933</v>
      </c>
      <c r="C54" s="904" t="s">
        <v>512</v>
      </c>
      <c r="D54" s="904" t="s">
        <v>962</v>
      </c>
      <c r="E54" s="904" t="s">
        <v>964</v>
      </c>
      <c r="F54" s="903" t="str">
        <f t="shared" si="2"/>
        <v>EUR (m)</v>
      </c>
      <c r="G54" s="905">
        <v>162.7606438050978</v>
      </c>
      <c r="H54" s="905">
        <v>261.59544156924835</v>
      </c>
      <c r="I54" s="905">
        <v>376.735942433189</v>
      </c>
      <c r="J54" s="905">
        <v>507.60523273070203</v>
      </c>
      <c r="K54" s="905">
        <v>1204.7430249949814</v>
      </c>
      <c r="L54" s="905">
        <v>1628.1504486051508</v>
      </c>
      <c r="M54" s="905">
        <v>1979.7697386223758</v>
      </c>
      <c r="N54" s="905">
        <v>2120.1188472464887</v>
      </c>
      <c r="O54" s="905">
        <v>2164.379400828981</v>
      </c>
      <c r="P54" s="905">
        <v>1787.933211264678</v>
      </c>
      <c r="Q54" s="905">
        <v>1517.4476119789099</v>
      </c>
      <c r="R54" s="905">
        <v>1228.6628097088367</v>
      </c>
      <c r="S54" s="905">
        <v>893.8968213369742</v>
      </c>
      <c r="T54" s="905">
        <v>683.17370826561182</v>
      </c>
      <c r="U54" s="905">
        <v>504.57289995819201</v>
      </c>
      <c r="V54" s="905">
        <v>373.80388105081562</v>
      </c>
      <c r="W54" s="905">
        <v>262.51152207499854</v>
      </c>
      <c r="X54" s="905">
        <v>185.82122964591795</v>
      </c>
      <c r="Y54" s="905">
        <v>134.67580058821446</v>
      </c>
      <c r="Z54" s="905">
        <v>101.1884364441737</v>
      </c>
      <c r="AA54" s="905">
        <v>95.468560722869654</v>
      </c>
      <c r="AB54" s="905">
        <v>72.401577025303666</v>
      </c>
      <c r="AC54" s="905">
        <v>58.061095124224607</v>
      </c>
      <c r="AD54" s="905">
        <v>47.715409704573055</v>
      </c>
      <c r="AE54" s="905">
        <v>34.156803629769669</v>
      </c>
      <c r="AF54" s="905">
        <v>23.000367843859284</v>
      </c>
      <c r="AG54" s="905">
        <v>11.562539332481091</v>
      </c>
      <c r="AH54" s="905">
        <v>1.2550959085288054</v>
      </c>
    </row>
    <row r="55" spans="1:34" s="906" customFormat="1" ht="15">
      <c r="A55" s="904" t="s">
        <v>932</v>
      </c>
      <c r="B55" s="904" t="s">
        <v>933</v>
      </c>
      <c r="C55" s="904" t="s">
        <v>512</v>
      </c>
      <c r="D55" s="904" t="s">
        <v>963</v>
      </c>
      <c r="E55" s="904" t="s">
        <v>964</v>
      </c>
      <c r="F55" s="903" t="str">
        <f t="shared" si="2"/>
        <v>EUR (m)</v>
      </c>
      <c r="G55" s="905">
        <v>46.16979525847254</v>
      </c>
      <c r="H55" s="905">
        <v>79.073968954542977</v>
      </c>
      <c r="I55" s="905">
        <v>122.05225631841924</v>
      </c>
      <c r="J55" s="905">
        <v>177.33488744327607</v>
      </c>
      <c r="K55" s="905">
        <v>456.81078313631173</v>
      </c>
      <c r="L55" s="905">
        <v>674.70015645697515</v>
      </c>
      <c r="M55" s="905">
        <v>903.2932271436357</v>
      </c>
      <c r="N55" s="905">
        <v>1073.670913080661</v>
      </c>
      <c r="O55" s="905">
        <v>1227.4140683731359</v>
      </c>
      <c r="P55" s="905">
        <v>1146.7358232857248</v>
      </c>
      <c r="Q55" s="905">
        <v>1113.2702627174178</v>
      </c>
      <c r="R55" s="905">
        <v>1044.856272939428</v>
      </c>
      <c r="S55" s="905">
        <v>895.36723283738104</v>
      </c>
      <c r="T55" s="905">
        <v>822.30961328518731</v>
      </c>
      <c r="U55" s="905">
        <v>731.64693300740259</v>
      </c>
      <c r="V55" s="905">
        <v>674.00117701860518</v>
      </c>
      <c r="W55" s="905">
        <v>617.84076777275766</v>
      </c>
      <c r="X55" s="905">
        <v>653.74617172354726</v>
      </c>
      <c r="Y55" s="905">
        <v>578.10470674253133</v>
      </c>
      <c r="Z55" s="905">
        <v>436.25918602817569</v>
      </c>
      <c r="AA55" s="905">
        <v>404.06423268111854</v>
      </c>
      <c r="AB55" s="905">
        <v>331.27170978815326</v>
      </c>
      <c r="AC55" s="905">
        <v>288.36954527415958</v>
      </c>
      <c r="AD55" s="905">
        <v>258.46819888996771</v>
      </c>
      <c r="AE55" s="905">
        <v>202.91090720847293</v>
      </c>
      <c r="AF55" s="905">
        <v>143.42661520527849</v>
      </c>
      <c r="AG55" s="905">
        <v>75.819602244099585</v>
      </c>
      <c r="AH55" s="905">
        <v>8.6711525398070215</v>
      </c>
    </row>
    <row r="56" spans="1:34" s="906" customFormat="1" ht="15">
      <c r="A56" s="904" t="s">
        <v>932</v>
      </c>
      <c r="B56" s="904" t="s">
        <v>933</v>
      </c>
      <c r="C56" s="904" t="s">
        <v>512</v>
      </c>
      <c r="D56" s="904" t="s">
        <v>109</v>
      </c>
      <c r="E56" s="904" t="s">
        <v>964</v>
      </c>
      <c r="F56" s="903" t="str">
        <f t="shared" si="2"/>
        <v>EUR (m)</v>
      </c>
      <c r="G56" s="905">
        <v>84.72123085722086</v>
      </c>
      <c r="H56" s="905">
        <v>1189.9545563037937</v>
      </c>
      <c r="I56" s="905">
        <v>2772.8469663071633</v>
      </c>
      <c r="J56" s="905">
        <v>3315.5545078297637</v>
      </c>
      <c r="K56" s="905">
        <v>3367.1063310809695</v>
      </c>
      <c r="L56" s="905">
        <v>3487.438602124605</v>
      </c>
      <c r="M56" s="905">
        <v>2565.1534780753186</v>
      </c>
      <c r="N56" s="905">
        <v>1634.7903951687758</v>
      </c>
      <c r="O56" s="905">
        <v>1010.5630985034363</v>
      </c>
      <c r="P56" s="905">
        <v>781.38646961734514</v>
      </c>
      <c r="Q56" s="905">
        <v>751.85394312986148</v>
      </c>
      <c r="R56" s="905">
        <v>564.10675063881865</v>
      </c>
      <c r="S56" s="905">
        <v>458.13365758020365</v>
      </c>
      <c r="T56" s="905">
        <v>455.46303407776833</v>
      </c>
      <c r="U56" s="905">
        <v>476.06193173076787</v>
      </c>
      <c r="V56" s="905">
        <v>401.3087287514133</v>
      </c>
      <c r="W56" s="905">
        <v>367.94298412551848</v>
      </c>
      <c r="X56" s="905">
        <v>495.14285714285705</v>
      </c>
      <c r="Y56" s="905">
        <v>397.71428571428567</v>
      </c>
      <c r="Z56" s="905">
        <v>359.35683249919975</v>
      </c>
      <c r="AA56" s="905">
        <v>320.9993792841139</v>
      </c>
      <c r="AB56" s="905">
        <v>335.94288078622981</v>
      </c>
      <c r="AC56" s="905">
        <v>351.67751633287531</v>
      </c>
      <c r="AD56" s="905">
        <v>370.54164104496363</v>
      </c>
      <c r="AE56" s="905">
        <v>386.52190821424693</v>
      </c>
      <c r="AF56" s="905">
        <v>404.99199680970617</v>
      </c>
      <c r="AG56" s="905">
        <v>424.87117056395715</v>
      </c>
      <c r="AH56" s="905">
        <v>446.02341096775513</v>
      </c>
    </row>
    <row r="57" spans="1:34" s="906" customFormat="1" ht="15">
      <c r="A57" s="904" t="s">
        <v>932</v>
      </c>
      <c r="B57" s="904" t="s">
        <v>933</v>
      </c>
      <c r="C57" s="904" t="s">
        <v>512</v>
      </c>
      <c r="D57" s="904" t="s">
        <v>956</v>
      </c>
      <c r="E57" s="904" t="s">
        <v>964</v>
      </c>
      <c r="F57" s="903" t="str">
        <f t="shared" si="2"/>
        <v>EUR (m)</v>
      </c>
      <c r="G57" s="905">
        <v>18.736746158552336</v>
      </c>
      <c r="H57" s="905">
        <v>60.383523306474714</v>
      </c>
      <c r="I57" s="905">
        <v>78.335733566340508</v>
      </c>
      <c r="J57" s="905">
        <v>121.94195931649847</v>
      </c>
      <c r="K57" s="905">
        <v>209.44987915369353</v>
      </c>
      <c r="L57" s="905">
        <v>270.01161650015223</v>
      </c>
      <c r="M57" s="905">
        <v>328.54782385823728</v>
      </c>
      <c r="N57" s="905">
        <v>581.67422017392028</v>
      </c>
      <c r="O57" s="905">
        <v>470.48134885056368</v>
      </c>
      <c r="P57" s="905">
        <v>288.35788473198772</v>
      </c>
      <c r="Q57" s="905">
        <v>372.40926169865685</v>
      </c>
      <c r="R57" s="905">
        <v>351.81678956505596</v>
      </c>
      <c r="S57" s="905">
        <v>353.21058342893053</v>
      </c>
      <c r="T57" s="905">
        <v>351.83927168158021</v>
      </c>
      <c r="U57" s="905">
        <v>373.01844339984035</v>
      </c>
      <c r="V57" s="905">
        <v>400.48867249634168</v>
      </c>
      <c r="W57" s="905">
        <v>361.74052429007378</v>
      </c>
      <c r="X57" s="905">
        <v>419.09999999999997</v>
      </c>
      <c r="Y57" s="905">
        <v>260.47999999999996</v>
      </c>
      <c r="Z57" s="905">
        <v>307.37993311465561</v>
      </c>
      <c r="AA57" s="905">
        <v>348.54091338209741</v>
      </c>
      <c r="AB57" s="905">
        <v>362.83912441064649</v>
      </c>
      <c r="AC57" s="905">
        <v>373.47249940598078</v>
      </c>
      <c r="AD57" s="905">
        <v>391.51460546123349</v>
      </c>
      <c r="AE57" s="905">
        <v>407.60440059121441</v>
      </c>
      <c r="AF57" s="905">
        <v>424.10908497143453</v>
      </c>
      <c r="AG57" s="905">
        <v>440.80364680157516</v>
      </c>
      <c r="AH57" s="905">
        <v>457.73484772140506</v>
      </c>
    </row>
    <row r="58" spans="1:34" s="906" customFormat="1" ht="15">
      <c r="A58" s="904" t="s">
        <v>932</v>
      </c>
      <c r="B58" s="904" t="s">
        <v>933</v>
      </c>
      <c r="C58" s="904" t="s">
        <v>514</v>
      </c>
      <c r="D58" s="904" t="s">
        <v>957</v>
      </c>
      <c r="E58" s="904" t="s">
        <v>964</v>
      </c>
      <c r="F58" s="903" t="str">
        <f t="shared" si="2"/>
        <v>EUR (m)</v>
      </c>
      <c r="G58" s="905">
        <v>0</v>
      </c>
      <c r="H58" s="905">
        <v>0</v>
      </c>
      <c r="I58" s="905">
        <v>0</v>
      </c>
      <c r="J58" s="905">
        <v>0</v>
      </c>
      <c r="K58" s="905">
        <v>0</v>
      </c>
      <c r="L58" s="905">
        <v>0</v>
      </c>
      <c r="M58" s="905">
        <v>0</v>
      </c>
      <c r="N58" s="905">
        <v>0</v>
      </c>
      <c r="O58" s="905">
        <v>0</v>
      </c>
      <c r="P58" s="905">
        <v>0</v>
      </c>
      <c r="Q58" s="905">
        <v>0</v>
      </c>
      <c r="R58" s="905">
        <v>0</v>
      </c>
      <c r="S58" s="905">
        <v>0</v>
      </c>
      <c r="T58" s="905">
        <v>0</v>
      </c>
      <c r="U58" s="905">
        <v>0</v>
      </c>
      <c r="V58" s="905">
        <v>0</v>
      </c>
      <c r="W58" s="905">
        <v>0</v>
      </c>
      <c r="X58" s="905">
        <v>0</v>
      </c>
      <c r="Y58" s="905">
        <v>0</v>
      </c>
      <c r="Z58" s="905">
        <v>0</v>
      </c>
      <c r="AA58" s="905">
        <v>0</v>
      </c>
      <c r="AB58" s="905">
        <v>0</v>
      </c>
      <c r="AC58" s="905">
        <v>0</v>
      </c>
      <c r="AD58" s="905">
        <v>0</v>
      </c>
      <c r="AE58" s="905">
        <v>0</v>
      </c>
      <c r="AF58" s="905">
        <v>0</v>
      </c>
      <c r="AG58" s="905">
        <v>0</v>
      </c>
      <c r="AH58" s="905">
        <v>0</v>
      </c>
    </row>
    <row r="59" spans="1:34" s="906" customFormat="1" ht="15">
      <c r="A59" s="904" t="s">
        <v>932</v>
      </c>
      <c r="B59" s="904" t="s">
        <v>933</v>
      </c>
      <c r="C59" s="904" t="s">
        <v>514</v>
      </c>
      <c r="D59" s="904" t="s">
        <v>958</v>
      </c>
      <c r="E59" s="904" t="s">
        <v>964</v>
      </c>
      <c r="F59" s="903" t="str">
        <f t="shared" si="2"/>
        <v>EUR (m)</v>
      </c>
      <c r="G59" s="905">
        <v>0</v>
      </c>
      <c r="H59" s="905">
        <v>0</v>
      </c>
      <c r="I59" s="905">
        <v>0</v>
      </c>
      <c r="J59" s="905">
        <v>0</v>
      </c>
      <c r="K59" s="905">
        <v>0</v>
      </c>
      <c r="L59" s="905">
        <v>0</v>
      </c>
      <c r="M59" s="905">
        <v>0</v>
      </c>
      <c r="N59" s="905">
        <v>0</v>
      </c>
      <c r="O59" s="905">
        <v>0</v>
      </c>
      <c r="P59" s="905">
        <v>0</v>
      </c>
      <c r="Q59" s="905">
        <v>0</v>
      </c>
      <c r="R59" s="905">
        <v>0</v>
      </c>
      <c r="S59" s="905">
        <v>0</v>
      </c>
      <c r="T59" s="905">
        <v>0</v>
      </c>
      <c r="U59" s="905">
        <v>0</v>
      </c>
      <c r="V59" s="905">
        <v>0</v>
      </c>
      <c r="W59" s="905">
        <v>0</v>
      </c>
      <c r="X59" s="905">
        <v>0</v>
      </c>
      <c r="Y59" s="905">
        <v>0</v>
      </c>
      <c r="Z59" s="905">
        <v>0</v>
      </c>
      <c r="AA59" s="905">
        <v>0</v>
      </c>
      <c r="AB59" s="905">
        <v>0</v>
      </c>
      <c r="AC59" s="905">
        <v>0</v>
      </c>
      <c r="AD59" s="905">
        <v>0</v>
      </c>
      <c r="AE59" s="905">
        <v>0</v>
      </c>
      <c r="AF59" s="905">
        <v>0</v>
      </c>
      <c r="AG59" s="905">
        <v>0</v>
      </c>
      <c r="AH59" s="905">
        <v>0</v>
      </c>
    </row>
    <row r="60" spans="1:34" s="906" customFormat="1" ht="15">
      <c r="A60" s="904" t="s">
        <v>932</v>
      </c>
      <c r="B60" s="904" t="s">
        <v>933</v>
      </c>
      <c r="C60" s="904" t="s">
        <v>514</v>
      </c>
      <c r="D60" s="904" t="s">
        <v>959</v>
      </c>
      <c r="E60" s="904" t="s">
        <v>964</v>
      </c>
      <c r="F60" s="903" t="str">
        <f t="shared" si="2"/>
        <v>EUR (m)</v>
      </c>
      <c r="G60" s="905">
        <v>0</v>
      </c>
      <c r="H60" s="905">
        <v>0</v>
      </c>
      <c r="I60" s="905">
        <v>0</v>
      </c>
      <c r="J60" s="905">
        <v>0</v>
      </c>
      <c r="K60" s="905">
        <v>0</v>
      </c>
      <c r="L60" s="905">
        <v>0</v>
      </c>
      <c r="M60" s="905">
        <v>0</v>
      </c>
      <c r="N60" s="905">
        <v>0</v>
      </c>
      <c r="O60" s="905">
        <v>0</v>
      </c>
      <c r="P60" s="905">
        <v>0</v>
      </c>
      <c r="Q60" s="905">
        <v>0</v>
      </c>
      <c r="R60" s="905">
        <v>0</v>
      </c>
      <c r="S60" s="905">
        <v>0</v>
      </c>
      <c r="T60" s="905">
        <v>0</v>
      </c>
      <c r="U60" s="905">
        <v>0</v>
      </c>
      <c r="V60" s="905">
        <v>0</v>
      </c>
      <c r="W60" s="905">
        <v>0</v>
      </c>
      <c r="X60" s="905">
        <v>0</v>
      </c>
      <c r="Y60" s="905">
        <v>0</v>
      </c>
      <c r="Z60" s="905">
        <v>0</v>
      </c>
      <c r="AA60" s="905">
        <v>0</v>
      </c>
      <c r="AB60" s="905">
        <v>0</v>
      </c>
      <c r="AC60" s="905">
        <v>0</v>
      </c>
      <c r="AD60" s="905">
        <v>0</v>
      </c>
      <c r="AE60" s="905">
        <v>0</v>
      </c>
      <c r="AF60" s="905">
        <v>0</v>
      </c>
      <c r="AG60" s="905">
        <v>0</v>
      </c>
      <c r="AH60" s="905">
        <v>0</v>
      </c>
    </row>
    <row r="61" spans="1:34" s="893" customFormat="1" ht="15">
      <c r="A61" s="910"/>
      <c r="B61" s="910"/>
      <c r="C61" s="910"/>
      <c r="D61" s="910"/>
      <c r="E61" s="910"/>
      <c r="F61" s="873"/>
      <c r="G61" s="911"/>
      <c r="H61" s="911"/>
      <c r="I61" s="911"/>
      <c r="J61" s="911"/>
      <c r="K61" s="911"/>
      <c r="L61" s="911"/>
      <c r="M61" s="911"/>
      <c r="N61" s="911"/>
      <c r="O61" s="911"/>
      <c r="P61" s="911"/>
      <c r="Q61" s="911"/>
      <c r="R61" s="911"/>
      <c r="S61" s="911"/>
      <c r="T61" s="911"/>
      <c r="U61" s="911"/>
      <c r="V61" s="911"/>
      <c r="W61" s="911"/>
      <c r="X61" s="911"/>
      <c r="Y61" s="911"/>
      <c r="Z61" s="911"/>
      <c r="AA61" s="911"/>
      <c r="AB61" s="911"/>
      <c r="AC61" s="911"/>
      <c r="AD61" s="911"/>
      <c r="AE61" s="911"/>
      <c r="AF61" s="911"/>
      <c r="AG61" s="911"/>
      <c r="AH61" s="911"/>
    </row>
    <row r="62" spans="1:34" s="893" customFormat="1" ht="15">
      <c r="A62" s="912"/>
      <c r="B62" s="912"/>
      <c r="C62" s="912"/>
      <c r="D62" s="912"/>
      <c r="E62" s="912"/>
      <c r="F62" s="912"/>
      <c r="G62" s="912"/>
      <c r="H62" s="912"/>
      <c r="I62" s="912"/>
      <c r="J62" s="912"/>
      <c r="K62" s="912"/>
      <c r="L62" s="912"/>
      <c r="M62" s="912"/>
      <c r="N62" s="912"/>
      <c r="O62" s="912"/>
      <c r="P62" s="912"/>
      <c r="Q62" s="912"/>
      <c r="R62" s="912"/>
      <c r="S62" s="912"/>
      <c r="T62" s="912"/>
      <c r="U62" s="912"/>
      <c r="V62" s="912"/>
      <c r="W62" s="912"/>
      <c r="X62" s="912"/>
      <c r="Y62" s="912"/>
      <c r="Z62" s="912"/>
      <c r="AA62" s="912"/>
      <c r="AB62" s="912"/>
      <c r="AC62" s="912"/>
      <c r="AD62" s="912"/>
      <c r="AE62" s="912"/>
      <c r="AF62" s="912"/>
      <c r="AG62" s="912"/>
      <c r="AH62" s="912"/>
    </row>
    <row r="63" spans="1:34" s="893" customFormat="1" ht="15">
      <c r="A63" s="910"/>
      <c r="B63" s="910"/>
      <c r="C63" s="910"/>
      <c r="D63" s="910"/>
      <c r="E63" s="910"/>
      <c r="F63" s="873"/>
      <c r="G63" s="911"/>
      <c r="H63" s="911"/>
      <c r="I63" s="911"/>
      <c r="J63" s="911"/>
      <c r="K63" s="911"/>
      <c r="L63" s="911"/>
      <c r="M63" s="911"/>
      <c r="N63" s="911"/>
      <c r="O63" s="911"/>
      <c r="P63" s="911"/>
      <c r="Q63" s="911"/>
      <c r="R63" s="911"/>
      <c r="S63" s="911"/>
      <c r="T63" s="911"/>
      <c r="U63" s="911"/>
      <c r="V63" s="911"/>
      <c r="W63" s="911"/>
      <c r="X63" s="911"/>
      <c r="Y63" s="911"/>
      <c r="Z63" s="911"/>
      <c r="AA63" s="911"/>
      <c r="AB63" s="911"/>
      <c r="AC63" s="911"/>
      <c r="AD63" s="911"/>
      <c r="AE63" s="911"/>
      <c r="AF63" s="911"/>
      <c r="AG63" s="911"/>
      <c r="AH63" s="911"/>
    </row>
    <row r="64" spans="1:34" s="893" customFormat="1" thickBot="1">
      <c r="A64" s="910"/>
      <c r="B64" s="910"/>
      <c r="C64" s="910"/>
      <c r="D64" s="910"/>
      <c r="E64" s="910"/>
      <c r="F64" s="873"/>
      <c r="G64" s="911"/>
      <c r="H64" s="911"/>
      <c r="I64" s="911"/>
      <c r="J64" s="911"/>
      <c r="K64" s="911"/>
      <c r="L64" s="911"/>
      <c r="M64" s="911"/>
      <c r="N64" s="911"/>
      <c r="O64" s="911"/>
      <c r="P64" s="911"/>
      <c r="Q64" s="911"/>
      <c r="R64" s="911"/>
      <c r="S64" s="911"/>
      <c r="T64" s="911"/>
      <c r="U64" s="911"/>
      <c r="V64" s="911"/>
      <c r="W64" s="911"/>
      <c r="X64" s="911"/>
      <c r="Y64" s="911"/>
      <c r="Z64" s="911"/>
      <c r="AA64" s="911"/>
      <c r="AB64" s="911"/>
      <c r="AC64" s="911"/>
      <c r="AD64" s="911"/>
      <c r="AE64" s="911"/>
      <c r="AF64" s="911"/>
      <c r="AG64" s="911"/>
      <c r="AH64" s="911"/>
    </row>
    <row r="65" spans="1:34" s="893" customFormat="1" ht="26">
      <c r="A65" s="891" t="s">
        <v>893</v>
      </c>
      <c r="B65" s="892"/>
      <c r="C65" s="892"/>
      <c r="D65" s="892"/>
      <c r="E65" s="892"/>
      <c r="F65" s="892"/>
      <c r="G65" s="892"/>
      <c r="H65" s="892"/>
      <c r="I65" s="892"/>
      <c r="J65" s="892"/>
      <c r="K65" s="892"/>
      <c r="L65" s="892"/>
      <c r="M65" s="892"/>
      <c r="N65" s="892"/>
      <c r="O65" s="892"/>
      <c r="P65" s="892"/>
      <c r="Q65" s="892"/>
      <c r="R65" s="892"/>
      <c r="S65" s="892"/>
      <c r="T65" s="892"/>
      <c r="U65" s="892"/>
      <c r="V65" s="892"/>
      <c r="W65" s="892"/>
      <c r="X65" s="892"/>
      <c r="Y65" s="892"/>
      <c r="Z65" s="892"/>
      <c r="AA65" s="892"/>
      <c r="AB65" s="892"/>
      <c r="AC65" s="892"/>
      <c r="AD65" s="892"/>
      <c r="AE65" s="892"/>
      <c r="AF65" s="892"/>
      <c r="AG65" s="892"/>
      <c r="AH65" s="892"/>
    </row>
    <row r="66" spans="1:34">
      <c r="A66" s="899"/>
      <c r="B66" s="899"/>
      <c r="C66" s="899"/>
      <c r="D66" s="899"/>
      <c r="E66" s="899"/>
      <c r="F66" s="899"/>
      <c r="G66" s="899"/>
      <c r="H66" s="899"/>
      <c r="I66" s="899"/>
      <c r="J66" s="899"/>
      <c r="K66" s="899"/>
      <c r="L66" s="899"/>
      <c r="M66" s="899"/>
      <c r="N66" s="899"/>
      <c r="O66" s="899"/>
      <c r="P66" s="899"/>
      <c r="Q66" s="899"/>
      <c r="R66" s="899"/>
      <c r="S66" s="899"/>
      <c r="T66" s="899"/>
      <c r="U66" s="899"/>
      <c r="V66" s="899"/>
      <c r="W66" s="899"/>
      <c r="X66" s="899"/>
      <c r="Y66" s="899"/>
      <c r="Z66" s="899"/>
      <c r="AA66" s="899"/>
      <c r="AB66" s="899"/>
      <c r="AC66" s="899"/>
      <c r="AD66" s="899"/>
      <c r="AE66" s="899"/>
      <c r="AF66" s="899"/>
      <c r="AG66" s="899"/>
      <c r="AH66" s="899"/>
    </row>
    <row r="67" spans="1:34" s="893" customFormat="1" ht="15">
      <c r="A67" s="896" t="s">
        <v>946</v>
      </c>
      <c r="B67" s="896" t="s">
        <v>947</v>
      </c>
      <c r="C67" s="896" t="s">
        <v>948</v>
      </c>
      <c r="D67" s="896" t="s">
        <v>892</v>
      </c>
      <c r="E67" s="896" t="s">
        <v>949</v>
      </c>
      <c r="F67" s="896" t="s">
        <v>965</v>
      </c>
      <c r="G67" s="897">
        <v>2003</v>
      </c>
      <c r="H67" s="897">
        <v>2004</v>
      </c>
      <c r="I67" s="897">
        <v>2005</v>
      </c>
      <c r="J67" s="897">
        <v>2006</v>
      </c>
      <c r="K67" s="897">
        <v>2007</v>
      </c>
      <c r="L67" s="897">
        <v>2008</v>
      </c>
      <c r="M67" s="897">
        <v>2009</v>
      </c>
      <c r="N67" s="897">
        <v>2010</v>
      </c>
      <c r="O67" s="897">
        <v>2011</v>
      </c>
      <c r="P67" s="897">
        <v>2012</v>
      </c>
      <c r="Q67" s="897">
        <v>2013</v>
      </c>
      <c r="R67" s="897">
        <v>2014</v>
      </c>
      <c r="S67" s="897">
        <v>2015</v>
      </c>
      <c r="T67" s="897">
        <v>2016</v>
      </c>
      <c r="U67" s="897">
        <v>2017</v>
      </c>
      <c r="V67" s="897">
        <v>2018</v>
      </c>
      <c r="W67" s="897">
        <v>2019</v>
      </c>
      <c r="X67" s="897">
        <v>2020</v>
      </c>
      <c r="Y67" s="897">
        <v>2021</v>
      </c>
      <c r="Z67" s="897">
        <v>2022</v>
      </c>
      <c r="AA67" s="897">
        <v>2023</v>
      </c>
      <c r="AB67" s="897">
        <v>2024</v>
      </c>
      <c r="AC67" s="897">
        <v>2025</v>
      </c>
      <c r="AD67" s="897">
        <v>2026</v>
      </c>
      <c r="AE67" s="897">
        <v>2027</v>
      </c>
      <c r="AF67" s="897">
        <v>2028</v>
      </c>
      <c r="AG67" s="897">
        <v>2029</v>
      </c>
      <c r="AH67" s="897">
        <v>2030</v>
      </c>
    </row>
    <row r="68" spans="1:34" s="906" customFormat="1" ht="15">
      <c r="A68" s="903" t="s">
        <v>932</v>
      </c>
      <c r="B68" s="904" t="s">
        <v>933</v>
      </c>
      <c r="C68" s="904" t="s">
        <v>110</v>
      </c>
      <c r="D68" s="904" t="s">
        <v>950</v>
      </c>
      <c r="E68" s="904" t="s">
        <v>951</v>
      </c>
      <c r="F68" s="903" t="s">
        <v>900</v>
      </c>
      <c r="G68" s="911">
        <v>895.11378743417322</v>
      </c>
      <c r="H68" s="911">
        <v>880.05471076157426</v>
      </c>
      <c r="I68" s="911">
        <v>847.00308050421336</v>
      </c>
      <c r="J68" s="911">
        <v>890.19925550955327</v>
      </c>
      <c r="K68" s="911">
        <v>844</v>
      </c>
      <c r="L68" s="911">
        <v>675.35910222716518</v>
      </c>
      <c r="M68" s="911">
        <v>588.68292963118404</v>
      </c>
      <c r="N68" s="911">
        <v>513.16971899999999</v>
      </c>
      <c r="O68" s="911">
        <v>387.84087969999996</v>
      </c>
      <c r="P68" s="911">
        <v>281.99999999999994</v>
      </c>
      <c r="Q68" s="911">
        <v>225.99999999999997</v>
      </c>
      <c r="R68" s="911">
        <v>184</v>
      </c>
      <c r="S68" s="911">
        <v>166</v>
      </c>
      <c r="T68" s="911">
        <v>155</v>
      </c>
      <c r="U68" s="911">
        <v>135</v>
      </c>
      <c r="V68" s="911">
        <v>122</v>
      </c>
      <c r="W68" s="911">
        <v>107</v>
      </c>
      <c r="X68" s="911">
        <v>52.602563119999985</v>
      </c>
      <c r="Y68" s="911">
        <v>40.068252749999999</v>
      </c>
      <c r="Z68" s="911">
        <v>78.62407159</v>
      </c>
      <c r="AA68" s="911">
        <v>73.829620442448615</v>
      </c>
      <c r="AB68" s="911">
        <v>67.87420859632266</v>
      </c>
      <c r="AC68" s="911">
        <v>65.125775061241825</v>
      </c>
      <c r="AD68" s="911">
        <v>62.630620053685789</v>
      </c>
      <c r="AE68" s="911">
        <v>60.080368522130641</v>
      </c>
      <c r="AF68" s="911">
        <v>57.649094318322199</v>
      </c>
      <c r="AG68" s="911">
        <v>55.240891669695387</v>
      </c>
      <c r="AH68" s="911">
        <v>56.247039602639589</v>
      </c>
    </row>
    <row r="69" spans="1:34" s="906" customFormat="1" ht="15">
      <c r="A69" s="904" t="s">
        <v>932</v>
      </c>
      <c r="B69" s="904" t="s">
        <v>933</v>
      </c>
      <c r="C69" s="904" t="s">
        <v>110</v>
      </c>
      <c r="D69" s="904" t="s">
        <v>952</v>
      </c>
      <c r="E69" s="904" t="s">
        <v>951</v>
      </c>
      <c r="F69" s="903" t="s">
        <v>900</v>
      </c>
      <c r="G69" s="911">
        <v>422.49468085106378</v>
      </c>
      <c r="H69" s="911">
        <v>455.33510638297867</v>
      </c>
      <c r="I69" s="911">
        <v>481.39893617021272</v>
      </c>
      <c r="J69" s="911">
        <v>674.01063829787233</v>
      </c>
      <c r="K69" s="911">
        <v>662.21425617696264</v>
      </c>
      <c r="L69" s="911">
        <v>882.50950756929069</v>
      </c>
      <c r="M69" s="911">
        <v>741.26261829034422</v>
      </c>
      <c r="N69" s="911">
        <v>753.16100000000006</v>
      </c>
      <c r="O69" s="911">
        <v>704.16529200000002</v>
      </c>
      <c r="P69" s="911">
        <v>532</v>
      </c>
      <c r="Q69" s="911">
        <v>592.79999999999995</v>
      </c>
      <c r="R69" s="911">
        <v>775</v>
      </c>
      <c r="S69" s="911">
        <v>689</v>
      </c>
      <c r="T69" s="911">
        <v>769</v>
      </c>
      <c r="U69" s="911">
        <v>1013</v>
      </c>
      <c r="V69" s="911">
        <v>1095.1792881000001</v>
      </c>
      <c r="W69" s="911">
        <v>1149.2500122000001</v>
      </c>
      <c r="X69" s="911">
        <v>753.05802167057277</v>
      </c>
      <c r="Y69" s="911">
        <v>554.05718266637518</v>
      </c>
      <c r="Z69" s="911">
        <v>1219.8096232800001</v>
      </c>
      <c r="AA69" s="911">
        <v>1343.3137725239017</v>
      </c>
      <c r="AB69" s="911">
        <v>1422.5142361908372</v>
      </c>
      <c r="AC69" s="911">
        <v>1581.8779472170497</v>
      </c>
      <c r="AD69" s="911">
        <v>1593.9239295293237</v>
      </c>
      <c r="AE69" s="911">
        <v>1650.2588366539039</v>
      </c>
      <c r="AF69" s="911">
        <v>1702.7098965015598</v>
      </c>
      <c r="AG69" s="911">
        <v>1748.979729622667</v>
      </c>
      <c r="AH69" s="911">
        <v>1887.9186008795491</v>
      </c>
    </row>
    <row r="70" spans="1:34" s="906" customFormat="1" ht="15">
      <c r="A70" s="904" t="s">
        <v>932</v>
      </c>
      <c r="B70" s="904" t="s">
        <v>933</v>
      </c>
      <c r="C70" s="904" t="s">
        <v>512</v>
      </c>
      <c r="D70" s="904" t="s">
        <v>953</v>
      </c>
      <c r="E70" s="904" t="s">
        <v>951</v>
      </c>
      <c r="F70" s="903" t="s">
        <v>900</v>
      </c>
      <c r="G70" s="911">
        <v>113.21737698049816</v>
      </c>
      <c r="H70" s="911">
        <v>122.06429458718048</v>
      </c>
      <c r="I70" s="911">
        <v>114.58769647642809</v>
      </c>
      <c r="J70" s="911">
        <v>135.99595494769903</v>
      </c>
      <c r="K70" s="911">
        <v>142.1070325858276</v>
      </c>
      <c r="L70" s="911">
        <v>139.51945768402618</v>
      </c>
      <c r="M70" s="911">
        <v>126.12044459640117</v>
      </c>
      <c r="N70" s="911">
        <v>118.15783686080216</v>
      </c>
      <c r="O70" s="911">
        <v>103.1002324739739</v>
      </c>
      <c r="P70" s="911">
        <v>82.687759844021485</v>
      </c>
      <c r="Q70" s="911">
        <v>73.139111173785324</v>
      </c>
      <c r="R70" s="911">
        <v>74.167354389525272</v>
      </c>
      <c r="S70" s="911">
        <v>81.307947495802452</v>
      </c>
      <c r="T70" s="911">
        <v>78.460152209672316</v>
      </c>
      <c r="U70" s="911">
        <v>79.335820367074874</v>
      </c>
      <c r="V70" s="911">
        <v>69.26919679969285</v>
      </c>
      <c r="W70" s="911">
        <v>56.799626204267071</v>
      </c>
      <c r="X70" s="911">
        <v>23.223307262513828</v>
      </c>
      <c r="Y70" s="911">
        <v>17.525292199304921</v>
      </c>
      <c r="Z70" s="911">
        <v>35.628908652549065</v>
      </c>
      <c r="AA70" s="911">
        <v>36.056617148097388</v>
      </c>
      <c r="AB70" s="911">
        <v>35.80844125249245</v>
      </c>
      <c r="AC70" s="911">
        <v>34.682246540981268</v>
      </c>
      <c r="AD70" s="911">
        <v>34.014130216953617</v>
      </c>
      <c r="AE70" s="911">
        <v>33.394970521267112</v>
      </c>
      <c r="AF70" s="911">
        <v>32.799049643066539</v>
      </c>
      <c r="AG70" s="911">
        <v>32.383044571187476</v>
      </c>
      <c r="AH70" s="911">
        <v>32.01338990251935</v>
      </c>
    </row>
    <row r="71" spans="1:34" s="906" customFormat="1" ht="15">
      <c r="A71" s="904" t="s">
        <v>932</v>
      </c>
      <c r="B71" s="904" t="s">
        <v>933</v>
      </c>
      <c r="C71" s="904" t="s">
        <v>512</v>
      </c>
      <c r="D71" s="904" t="s">
        <v>954</v>
      </c>
      <c r="E71" s="904" t="s">
        <v>951</v>
      </c>
      <c r="F71" s="903" t="s">
        <v>900</v>
      </c>
      <c r="G71" s="911">
        <v>418.78262301950184</v>
      </c>
      <c r="H71" s="911">
        <v>442.79570541281953</v>
      </c>
      <c r="I71" s="911">
        <v>372.94330352357184</v>
      </c>
      <c r="J71" s="911">
        <v>412.24804505230088</v>
      </c>
      <c r="K71" s="911">
        <v>409.54796741417238</v>
      </c>
      <c r="L71" s="911">
        <v>390.07654231597382</v>
      </c>
      <c r="M71" s="911">
        <v>359.85955540359879</v>
      </c>
      <c r="N71" s="911">
        <v>348.52516313919784</v>
      </c>
      <c r="O71" s="911">
        <v>317.16376752602611</v>
      </c>
      <c r="P71" s="911">
        <v>261.29224015597845</v>
      </c>
      <c r="Q71" s="911">
        <v>235.86088882621468</v>
      </c>
      <c r="R71" s="911">
        <v>231.46070885648311</v>
      </c>
      <c r="S71" s="911">
        <v>216.69205250419753</v>
      </c>
      <c r="T71" s="911">
        <v>211.84359842636363</v>
      </c>
      <c r="U71" s="911">
        <v>208.83245449656118</v>
      </c>
      <c r="V71" s="911">
        <v>174.48616220030715</v>
      </c>
      <c r="W71" s="911">
        <v>141.16227167773292</v>
      </c>
      <c r="X71" s="911">
        <v>71.588771737486169</v>
      </c>
      <c r="Y71" s="911">
        <v>42.303707800695079</v>
      </c>
      <c r="Z71" s="911">
        <v>95.957091347450955</v>
      </c>
      <c r="AA71" s="911">
        <v>93.954935632754541</v>
      </c>
      <c r="AB71" s="911">
        <v>91.545779850294593</v>
      </c>
      <c r="AC71" s="911">
        <v>90.131334235285181</v>
      </c>
      <c r="AD71" s="911">
        <v>88.702873436196455</v>
      </c>
      <c r="AE71" s="911">
        <v>87.30078657627007</v>
      </c>
      <c r="AF71" s="911">
        <v>86.182910753669773</v>
      </c>
      <c r="AG71" s="911">
        <v>85.089814204440756</v>
      </c>
      <c r="AH71" s="911">
        <v>84.118508155448666</v>
      </c>
    </row>
    <row r="72" spans="1:34" s="906" customFormat="1" ht="15">
      <c r="A72" s="904" t="s">
        <v>932</v>
      </c>
      <c r="B72" s="904" t="s">
        <v>933</v>
      </c>
      <c r="C72" s="904" t="s">
        <v>512</v>
      </c>
      <c r="D72" s="904" t="s">
        <v>955</v>
      </c>
      <c r="E72" s="904" t="s">
        <v>951</v>
      </c>
      <c r="F72" s="903" t="s">
        <v>900</v>
      </c>
      <c r="G72" s="911">
        <v>91.75</v>
      </c>
      <c r="H72" s="911">
        <v>1118.5</v>
      </c>
      <c r="I72" s="911">
        <v>2867.5</v>
      </c>
      <c r="J72" s="911">
        <v>3859</v>
      </c>
      <c r="K72" s="911">
        <v>4706.75</v>
      </c>
      <c r="L72" s="911">
        <v>5421.25</v>
      </c>
      <c r="M72" s="911">
        <v>6237.8</v>
      </c>
      <c r="N72" s="911">
        <v>7752.5334782608697</v>
      </c>
      <c r="O72" s="911">
        <v>9208</v>
      </c>
      <c r="P72" s="911">
        <v>10287</v>
      </c>
      <c r="Q72" s="911">
        <v>9421</v>
      </c>
      <c r="R72" s="911">
        <v>9254</v>
      </c>
      <c r="S72" s="911">
        <v>9577</v>
      </c>
      <c r="T72" s="911">
        <v>10521</v>
      </c>
      <c r="U72" s="911">
        <v>10572</v>
      </c>
      <c r="V72" s="911">
        <v>10343</v>
      </c>
      <c r="W72" s="911">
        <v>10429</v>
      </c>
      <c r="X72" s="911">
        <v>4891</v>
      </c>
      <c r="Y72" s="911">
        <v>4747</v>
      </c>
      <c r="Z72" s="911">
        <v>8647</v>
      </c>
      <c r="AA72" s="911">
        <v>8607</v>
      </c>
      <c r="AB72" s="911">
        <v>8219</v>
      </c>
      <c r="AC72" s="911">
        <v>7772.09</v>
      </c>
      <c r="AD72" s="911">
        <v>7466.4599999999991</v>
      </c>
      <c r="AE72" s="911">
        <v>7236.49</v>
      </c>
      <c r="AF72" s="911">
        <v>7086.380000000001</v>
      </c>
      <c r="AG72" s="911">
        <v>6993.2</v>
      </c>
      <c r="AH72" s="911">
        <v>6944.2699999999995</v>
      </c>
    </row>
    <row r="73" spans="1:34" s="906" customFormat="1" ht="15">
      <c r="A73" s="904" t="s">
        <v>932</v>
      </c>
      <c r="B73" s="904" t="s">
        <v>933</v>
      </c>
      <c r="C73" s="904" t="s">
        <v>512</v>
      </c>
      <c r="D73" s="904" t="s">
        <v>956</v>
      </c>
      <c r="E73" s="904" t="s">
        <v>951</v>
      </c>
      <c r="F73" s="903" t="s">
        <v>900</v>
      </c>
      <c r="G73" s="911">
        <v>536.00926998841248</v>
      </c>
      <c r="H73" s="911">
        <v>657.53881807647747</v>
      </c>
      <c r="I73" s="911">
        <v>662.22943221320975</v>
      </c>
      <c r="J73" s="911">
        <v>748.36616454229431</v>
      </c>
      <c r="K73" s="911">
        <v>736</v>
      </c>
      <c r="L73" s="911">
        <v>687</v>
      </c>
      <c r="M73" s="911">
        <v>454</v>
      </c>
      <c r="N73" s="911">
        <v>541</v>
      </c>
      <c r="O73" s="911">
        <v>463</v>
      </c>
      <c r="P73" s="911">
        <v>535.2458513427955</v>
      </c>
      <c r="Q73" s="911">
        <v>577</v>
      </c>
      <c r="R73" s="911">
        <v>528</v>
      </c>
      <c r="S73" s="911">
        <v>449</v>
      </c>
      <c r="T73" s="911">
        <v>440</v>
      </c>
      <c r="U73" s="911">
        <v>450.12</v>
      </c>
      <c r="V73" s="911">
        <v>457.92477687000002</v>
      </c>
      <c r="W73" s="911">
        <v>448.57796067696762</v>
      </c>
      <c r="X73" s="911">
        <v>182.82662886921401</v>
      </c>
      <c r="Y73" s="911">
        <v>220.42511223400001</v>
      </c>
      <c r="Z73" s="911">
        <v>427.89953682499998</v>
      </c>
      <c r="AA73" s="911">
        <v>424.20393330000002</v>
      </c>
      <c r="AB73" s="911">
        <v>423.31243250288594</v>
      </c>
      <c r="AC73" s="911">
        <v>426.56147115175321</v>
      </c>
      <c r="AD73" s="911">
        <v>423.54843818045191</v>
      </c>
      <c r="AE73" s="911">
        <v>420.05255743254099</v>
      </c>
      <c r="AF73" s="911">
        <v>417.53499493213957</v>
      </c>
      <c r="AG73" s="911">
        <v>415.59817306518852</v>
      </c>
      <c r="AH73" s="911">
        <v>414.15584655751604</v>
      </c>
    </row>
    <row r="74" spans="1:34" s="906" customFormat="1" ht="15">
      <c r="A74" s="904" t="s">
        <v>932</v>
      </c>
      <c r="B74" s="904" t="s">
        <v>933</v>
      </c>
      <c r="C74" s="904" t="s">
        <v>514</v>
      </c>
      <c r="D74" s="904" t="s">
        <v>957</v>
      </c>
      <c r="E74" s="904" t="s">
        <v>951</v>
      </c>
      <c r="F74" s="903" t="s">
        <v>900</v>
      </c>
      <c r="G74" s="911">
        <v>4763.5367093134519</v>
      </c>
      <c r="H74" s="911">
        <v>6816.3409073218236</v>
      </c>
      <c r="I74" s="911">
        <v>4837.3595100283292</v>
      </c>
      <c r="J74" s="911">
        <v>4504.7753514527594</v>
      </c>
      <c r="K74" s="911">
        <v>4268.1979528557531</v>
      </c>
      <c r="L74" s="911">
        <v>4332.7972555911538</v>
      </c>
      <c r="M74" s="911">
        <v>5132.9183943683665</v>
      </c>
      <c r="N74" s="911">
        <v>4580.965667817848</v>
      </c>
      <c r="O74" s="911">
        <v>4229.4942788229582</v>
      </c>
      <c r="P74" s="911">
        <v>3143</v>
      </c>
      <c r="Q74" s="911">
        <v>2991</v>
      </c>
      <c r="R74" s="911">
        <v>2814</v>
      </c>
      <c r="S74" s="911">
        <v>2943</v>
      </c>
      <c r="T74" s="911">
        <v>3772</v>
      </c>
      <c r="U74" s="911">
        <v>3009.1</v>
      </c>
      <c r="V74" s="911">
        <v>2924.21</v>
      </c>
      <c r="W74" s="911">
        <v>3020.3799999999997</v>
      </c>
      <c r="X74" s="911">
        <v>2366.5499999999997</v>
      </c>
      <c r="Y74" s="911">
        <v>3038.1</v>
      </c>
      <c r="Z74" s="911">
        <v>3234.52</v>
      </c>
      <c r="AA74" s="911">
        <v>2714.6198141144018</v>
      </c>
      <c r="AB74" s="911">
        <v>3042.8703632919128</v>
      </c>
      <c r="AC74" s="911">
        <v>3033.5996343354786</v>
      </c>
      <c r="AD74" s="911">
        <v>3024.9521618192739</v>
      </c>
      <c r="AE74" s="911">
        <v>3045.2189594241995</v>
      </c>
      <c r="AF74" s="911">
        <v>3058.2818870276178</v>
      </c>
      <c r="AG74" s="911">
        <v>3077.2452771459848</v>
      </c>
      <c r="AH74" s="911">
        <v>3105.3220646673867</v>
      </c>
    </row>
    <row r="75" spans="1:34" s="906" customFormat="1" ht="15">
      <c r="A75" s="904" t="s">
        <v>932</v>
      </c>
      <c r="B75" s="904" t="s">
        <v>933</v>
      </c>
      <c r="C75" s="904" t="s">
        <v>514</v>
      </c>
      <c r="D75" s="904" t="s">
        <v>958</v>
      </c>
      <c r="E75" s="904" t="s">
        <v>951</v>
      </c>
      <c r="F75" s="903" t="s">
        <v>900</v>
      </c>
      <c r="G75" s="911">
        <v>74.046785329312073</v>
      </c>
      <c r="H75" s="911">
        <v>155.97088824684886</v>
      </c>
      <c r="I75" s="911">
        <v>320.34424858780403</v>
      </c>
      <c r="J75" s="911">
        <v>1042.4316941750674</v>
      </c>
      <c r="K75" s="911">
        <v>2088.8020471442469</v>
      </c>
      <c r="L75" s="911">
        <v>2629.2027444088458</v>
      </c>
      <c r="M75" s="911">
        <v>2408.2727258903606</v>
      </c>
      <c r="N75" s="911">
        <v>2297.4651671821516</v>
      </c>
      <c r="O75" s="911">
        <v>2748.9171901770419</v>
      </c>
      <c r="P75" s="911">
        <v>2780</v>
      </c>
      <c r="Q75" s="911">
        <v>2653</v>
      </c>
      <c r="R75" s="911">
        <v>2605</v>
      </c>
      <c r="S75" s="911">
        <v>2458</v>
      </c>
      <c r="T75" s="911">
        <v>2427</v>
      </c>
      <c r="U75" s="911">
        <v>2433</v>
      </c>
      <c r="V75" s="911">
        <v>2420.2600000000002</v>
      </c>
      <c r="W75" s="911">
        <v>2475.77</v>
      </c>
      <c r="X75" s="911">
        <v>2103</v>
      </c>
      <c r="Y75" s="911">
        <v>3181.49</v>
      </c>
      <c r="Z75" s="911">
        <v>2842.34</v>
      </c>
      <c r="AA75" s="911">
        <v>3110.0684097529802</v>
      </c>
      <c r="AB75" s="911">
        <v>3303.0499720856019</v>
      </c>
      <c r="AC75" s="911">
        <v>3468.5399267353414</v>
      </c>
      <c r="AD75" s="911">
        <v>3651.8878908637107</v>
      </c>
      <c r="AE75" s="911">
        <v>3832.4466429352392</v>
      </c>
      <c r="AF75" s="911">
        <v>4021.8575763581734</v>
      </c>
      <c r="AG75" s="911">
        <v>4216.6131408892525</v>
      </c>
      <c r="AH75" s="911">
        <v>4415.4666387410271</v>
      </c>
    </row>
    <row r="76" spans="1:34" s="906" customFormat="1" ht="15">
      <c r="A76" s="907" t="s">
        <v>932</v>
      </c>
      <c r="B76" s="907" t="s">
        <v>933</v>
      </c>
      <c r="C76" s="907" t="s">
        <v>514</v>
      </c>
      <c r="D76" s="907" t="s">
        <v>959</v>
      </c>
      <c r="E76" s="907" t="s">
        <v>951</v>
      </c>
      <c r="F76" s="908" t="s">
        <v>900</v>
      </c>
      <c r="G76" s="913">
        <v>0</v>
      </c>
      <c r="H76" s="913">
        <v>0</v>
      </c>
      <c r="I76" s="913">
        <v>0</v>
      </c>
      <c r="J76" s="913">
        <v>0</v>
      </c>
      <c r="K76" s="913">
        <v>0</v>
      </c>
      <c r="L76" s="913">
        <v>0</v>
      </c>
      <c r="M76" s="913">
        <v>0</v>
      </c>
      <c r="N76" s="913">
        <v>0</v>
      </c>
      <c r="O76" s="913">
        <v>0</v>
      </c>
      <c r="P76" s="913">
        <v>0</v>
      </c>
      <c r="Q76" s="913">
        <v>0</v>
      </c>
      <c r="R76" s="913">
        <v>0</v>
      </c>
      <c r="S76" s="913">
        <v>0</v>
      </c>
      <c r="T76" s="913">
        <v>0</v>
      </c>
      <c r="U76" s="913">
        <v>0</v>
      </c>
      <c r="V76" s="913">
        <v>0</v>
      </c>
      <c r="W76" s="913">
        <v>0</v>
      </c>
      <c r="X76" s="913">
        <v>0</v>
      </c>
      <c r="Y76" s="913">
        <v>0</v>
      </c>
      <c r="Z76" s="913">
        <v>0</v>
      </c>
      <c r="AA76" s="913">
        <v>0</v>
      </c>
      <c r="AB76" s="913">
        <v>0</v>
      </c>
      <c r="AC76" s="913">
        <v>0</v>
      </c>
      <c r="AD76" s="913">
        <v>0</v>
      </c>
      <c r="AE76" s="913">
        <v>0</v>
      </c>
      <c r="AF76" s="913">
        <v>0</v>
      </c>
      <c r="AG76" s="913">
        <v>0</v>
      </c>
      <c r="AH76" s="913">
        <v>0</v>
      </c>
    </row>
    <row r="77" spans="1:34" s="906" customFormat="1" ht="15">
      <c r="A77" s="904" t="s">
        <v>932</v>
      </c>
      <c r="B77" s="904" t="s">
        <v>933</v>
      </c>
      <c r="C77" s="904" t="s">
        <v>110</v>
      </c>
      <c r="D77" s="904" t="s">
        <v>950</v>
      </c>
      <c r="E77" s="904" t="s">
        <v>960</v>
      </c>
      <c r="F77" s="903" t="s">
        <v>900</v>
      </c>
      <c r="G77" s="911">
        <v>0</v>
      </c>
      <c r="H77" s="911">
        <v>0</v>
      </c>
      <c r="I77" s="911">
        <v>0</v>
      </c>
      <c r="J77" s="911">
        <v>0</v>
      </c>
      <c r="K77" s="911">
        <v>0</v>
      </c>
      <c r="L77" s="911">
        <v>28.640897772834748</v>
      </c>
      <c r="M77" s="911">
        <v>33.317070368815934</v>
      </c>
      <c r="N77" s="911">
        <v>28.830280999999996</v>
      </c>
      <c r="O77" s="911">
        <v>20.582395999999999</v>
      </c>
      <c r="P77" s="911">
        <v>17</v>
      </c>
      <c r="Q77" s="911">
        <v>15</v>
      </c>
      <c r="R77" s="911">
        <v>14</v>
      </c>
      <c r="S77" s="911">
        <v>15</v>
      </c>
      <c r="T77" s="911">
        <v>16</v>
      </c>
      <c r="U77" s="911">
        <v>17</v>
      </c>
      <c r="V77" s="911">
        <v>16</v>
      </c>
      <c r="W77" s="911">
        <v>18</v>
      </c>
      <c r="X77" s="911">
        <v>28.397436879999997</v>
      </c>
      <c r="Y77" s="911">
        <v>42.931747250000001</v>
      </c>
      <c r="Z77" s="911">
        <v>37.375928409999993</v>
      </c>
      <c r="AA77" s="911">
        <v>39.96042541911946</v>
      </c>
      <c r="AB77" s="911">
        <v>41.626344102737903</v>
      </c>
      <c r="AC77" s="911">
        <v>45.0921045953963</v>
      </c>
      <c r="AD77" s="911">
        <v>48.829297594879876</v>
      </c>
      <c r="AE77" s="911">
        <v>52.653238793841226</v>
      </c>
      <c r="AF77" s="911">
        <v>56.740717611845625</v>
      </c>
      <c r="AG77" s="911">
        <v>61.055722371768596</v>
      </c>
      <c r="AH77" s="911">
        <v>62.167780613443767</v>
      </c>
    </row>
    <row r="78" spans="1:34" s="906" customFormat="1" ht="15">
      <c r="A78" s="904" t="s">
        <v>932</v>
      </c>
      <c r="B78" s="904" t="s">
        <v>933</v>
      </c>
      <c r="C78" s="904" t="s">
        <v>110</v>
      </c>
      <c r="D78" s="904" t="s">
        <v>952</v>
      </c>
      <c r="E78" s="904" t="s">
        <v>960</v>
      </c>
      <c r="F78" s="903" t="s">
        <v>900</v>
      </c>
      <c r="G78" s="911">
        <v>0</v>
      </c>
      <c r="H78" s="911">
        <v>0</v>
      </c>
      <c r="I78" s="911">
        <v>0</v>
      </c>
      <c r="J78" s="911">
        <v>0</v>
      </c>
      <c r="K78" s="911">
        <v>72.78574382303735</v>
      </c>
      <c r="L78" s="911">
        <v>149.49049243070931</v>
      </c>
      <c r="M78" s="911">
        <v>170.73738170965581</v>
      </c>
      <c r="N78" s="911">
        <v>212.839</v>
      </c>
      <c r="O78" s="911">
        <v>208.83470799999998</v>
      </c>
      <c r="P78" s="911">
        <v>168</v>
      </c>
      <c r="Q78" s="911">
        <v>192.2</v>
      </c>
      <c r="R78" s="911">
        <v>226</v>
      </c>
      <c r="S78" s="911">
        <v>279</v>
      </c>
      <c r="T78" s="911">
        <v>366</v>
      </c>
      <c r="U78" s="911">
        <v>572</v>
      </c>
      <c r="V78" s="911">
        <v>668.82071189999999</v>
      </c>
      <c r="W78" s="911">
        <v>764.74998779999999</v>
      </c>
      <c r="X78" s="911">
        <v>1082.9419783294272</v>
      </c>
      <c r="Y78" s="911">
        <v>1560.645140963625</v>
      </c>
      <c r="Z78" s="911">
        <v>1477.9654076499999</v>
      </c>
      <c r="AA78" s="911">
        <v>1633.2862274760982</v>
      </c>
      <c r="AB78" s="911">
        <v>1816.8553831794804</v>
      </c>
      <c r="AC78" s="911">
        <v>2045.3548685978978</v>
      </c>
      <c r="AD78" s="911">
        <v>2328.0079783190454</v>
      </c>
      <c r="AE78" s="911">
        <v>2571.0560483961644</v>
      </c>
      <c r="AF78" s="911">
        <v>2834.9361060898777</v>
      </c>
      <c r="AG78" s="911">
        <v>3118.4420302401995</v>
      </c>
      <c r="AH78" s="911">
        <v>3321.6318551155223</v>
      </c>
    </row>
    <row r="79" spans="1:34" s="906" customFormat="1" ht="15">
      <c r="A79" s="904" t="s">
        <v>932</v>
      </c>
      <c r="B79" s="904" t="s">
        <v>933</v>
      </c>
      <c r="C79" s="904" t="s">
        <v>512</v>
      </c>
      <c r="D79" s="904" t="s">
        <v>961</v>
      </c>
      <c r="E79" s="904" t="s">
        <v>960</v>
      </c>
      <c r="F79" s="903" t="s">
        <v>900</v>
      </c>
      <c r="G79" s="911">
        <v>0</v>
      </c>
      <c r="H79" s="911">
        <v>0</v>
      </c>
      <c r="I79" s="911">
        <v>0</v>
      </c>
      <c r="J79" s="911">
        <v>0</v>
      </c>
      <c r="K79" s="911">
        <v>0</v>
      </c>
      <c r="L79" s="911">
        <v>0</v>
      </c>
      <c r="M79" s="911">
        <v>0</v>
      </c>
      <c r="N79" s="911">
        <v>0</v>
      </c>
      <c r="O79" s="911">
        <v>0</v>
      </c>
      <c r="P79" s="911">
        <v>7.3387534020027871</v>
      </c>
      <c r="Q79" s="911">
        <v>162.09680095036637</v>
      </c>
      <c r="R79" s="911">
        <v>170.48568093964332</v>
      </c>
      <c r="S79" s="911">
        <v>193.28364579122936</v>
      </c>
      <c r="T79" s="911">
        <v>261.85881050552945</v>
      </c>
      <c r="U79" s="911">
        <v>394.61004848450801</v>
      </c>
      <c r="V79" s="911">
        <v>507.62269910249012</v>
      </c>
      <c r="W79" s="911">
        <v>614.34492266462144</v>
      </c>
      <c r="X79" s="911">
        <v>903.42409961186172</v>
      </c>
      <c r="Y79" s="911">
        <v>1365.5857466440862</v>
      </c>
      <c r="Z79" s="911">
        <v>1628.4171055284544</v>
      </c>
      <c r="AA79" s="911">
        <v>1932.3023948753041</v>
      </c>
      <c r="AB79" s="911">
        <v>2282.5752272960867</v>
      </c>
      <c r="AC79" s="911">
        <v>2575.5593135465865</v>
      </c>
      <c r="AD79" s="911">
        <v>2863.6814504961271</v>
      </c>
      <c r="AE79" s="911">
        <v>3152.3747550968587</v>
      </c>
      <c r="AF79" s="911">
        <v>3449.055747256527</v>
      </c>
      <c r="AG79" s="911">
        <v>3750.1646434389072</v>
      </c>
      <c r="AH79" s="911">
        <v>4054.0002864876778</v>
      </c>
    </row>
    <row r="80" spans="1:34" s="906" customFormat="1" ht="15">
      <c r="A80" s="904" t="s">
        <v>932</v>
      </c>
      <c r="B80" s="904" t="s">
        <v>933</v>
      </c>
      <c r="C80" s="904" t="s">
        <v>512</v>
      </c>
      <c r="D80" s="904" t="s">
        <v>962</v>
      </c>
      <c r="E80" s="904" t="s">
        <v>960</v>
      </c>
      <c r="F80" s="903" t="s">
        <v>900</v>
      </c>
      <c r="G80" s="911">
        <v>0</v>
      </c>
      <c r="H80" s="911">
        <v>0</v>
      </c>
      <c r="I80" s="911">
        <v>0</v>
      </c>
      <c r="J80" s="911">
        <v>0</v>
      </c>
      <c r="K80" s="911">
        <v>0</v>
      </c>
      <c r="L80" s="911">
        <v>0</v>
      </c>
      <c r="M80" s="911">
        <v>0</v>
      </c>
      <c r="N80" s="911">
        <v>0</v>
      </c>
      <c r="O80" s="911">
        <v>32.125054380721949</v>
      </c>
      <c r="P80" s="911">
        <v>82.029645199944355</v>
      </c>
      <c r="Q80" s="911">
        <v>36.855091575136527</v>
      </c>
      <c r="R80" s="911">
        <v>38.16886185339002</v>
      </c>
      <c r="S80" s="911">
        <v>39.230117793247842</v>
      </c>
      <c r="T80" s="911">
        <v>47.330201267774491</v>
      </c>
      <c r="U80" s="911">
        <v>58.022988198721322</v>
      </c>
      <c r="V80" s="911">
        <v>57.75960257612293</v>
      </c>
      <c r="W80" s="911">
        <v>70.560522991601403</v>
      </c>
      <c r="X80" s="911">
        <v>75.712289377700543</v>
      </c>
      <c r="Y80" s="911">
        <v>80.672789746119463</v>
      </c>
      <c r="Z80" s="911">
        <v>70.191441227569925</v>
      </c>
      <c r="AA80" s="911">
        <v>79.287574026025908</v>
      </c>
      <c r="AB80" s="911">
        <v>87.897552300337296</v>
      </c>
      <c r="AC80" s="911">
        <v>92.67746561243375</v>
      </c>
      <c r="AD80" s="911">
        <v>95.815350588509475</v>
      </c>
      <c r="AE80" s="911">
        <v>97.516100079908298</v>
      </c>
      <c r="AF80" s="911">
        <v>102.33988435083873</v>
      </c>
      <c r="AG80" s="911">
        <v>106.54045334794434</v>
      </c>
      <c r="AH80" s="911">
        <v>110.05485714069472</v>
      </c>
    </row>
    <row r="81" spans="1:34" s="906" customFormat="1" ht="15">
      <c r="A81" s="904" t="s">
        <v>932</v>
      </c>
      <c r="B81" s="904" t="s">
        <v>933</v>
      </c>
      <c r="C81" s="904" t="s">
        <v>512</v>
      </c>
      <c r="D81" s="904" t="s">
        <v>963</v>
      </c>
      <c r="E81" s="904" t="s">
        <v>960</v>
      </c>
      <c r="F81" s="903" t="s">
        <v>900</v>
      </c>
      <c r="G81" s="911">
        <v>0</v>
      </c>
      <c r="H81" s="911">
        <v>0</v>
      </c>
      <c r="I81" s="911">
        <v>0</v>
      </c>
      <c r="J81" s="911">
        <v>0</v>
      </c>
      <c r="K81" s="911">
        <v>0</v>
      </c>
      <c r="L81" s="911">
        <v>0</v>
      </c>
      <c r="M81" s="911">
        <v>0</v>
      </c>
      <c r="N81" s="911">
        <v>0</v>
      </c>
      <c r="O81" s="911">
        <v>17.033960619278055</v>
      </c>
      <c r="P81" s="911">
        <v>57.406669438108594</v>
      </c>
      <c r="Q81" s="911">
        <v>45.299760178731674</v>
      </c>
      <c r="R81" s="911">
        <v>46.802647712442194</v>
      </c>
      <c r="S81" s="911">
        <v>55.486236415522789</v>
      </c>
      <c r="T81" s="911">
        <v>78.810988226696068</v>
      </c>
      <c r="U81" s="911">
        <v>116.36696331677071</v>
      </c>
      <c r="V81" s="911">
        <v>144.65556123138686</v>
      </c>
      <c r="W81" s="911">
        <v>146.26426562500973</v>
      </c>
      <c r="X81" s="911">
        <v>238.73566757043736</v>
      </c>
      <c r="Y81" s="911">
        <v>327.34761096979423</v>
      </c>
      <c r="Z81" s="911">
        <v>314.55495363397557</v>
      </c>
      <c r="AA81" s="911">
        <v>356.71003109867019</v>
      </c>
      <c r="AB81" s="911">
        <v>427.13432638357602</v>
      </c>
      <c r="AC81" s="911">
        <v>488.46226466015844</v>
      </c>
      <c r="AD81" s="911">
        <v>550.33519891536343</v>
      </c>
      <c r="AE81" s="911">
        <v>613.77414482323275</v>
      </c>
      <c r="AF81" s="911">
        <v>675.8923683926339</v>
      </c>
      <c r="AG81" s="911">
        <v>739.63290321314821</v>
      </c>
      <c r="AH81" s="911">
        <v>804.67485637162679</v>
      </c>
    </row>
    <row r="82" spans="1:34" s="906" customFormat="1" ht="15">
      <c r="A82" s="904" t="s">
        <v>932</v>
      </c>
      <c r="B82" s="904" t="s">
        <v>933</v>
      </c>
      <c r="C82" s="904" t="s">
        <v>512</v>
      </c>
      <c r="D82" s="904" t="s">
        <v>109</v>
      </c>
      <c r="E82" s="904" t="s">
        <v>960</v>
      </c>
      <c r="F82" s="903" t="s">
        <v>900</v>
      </c>
      <c r="G82" s="911">
        <v>0</v>
      </c>
      <c r="H82" s="911">
        <v>0</v>
      </c>
      <c r="I82" s="911">
        <v>0</v>
      </c>
      <c r="J82" s="911">
        <v>0</v>
      </c>
      <c r="K82" s="911">
        <v>0</v>
      </c>
      <c r="L82" s="911">
        <v>29.639246485482197</v>
      </c>
      <c r="M82" s="911">
        <v>287.01451917277438</v>
      </c>
      <c r="N82" s="911">
        <v>376.48407700000001</v>
      </c>
      <c r="O82" s="911">
        <v>384.37030100000004</v>
      </c>
      <c r="P82" s="911">
        <v>356.22493195994423</v>
      </c>
      <c r="Q82" s="911">
        <v>229.74834729576543</v>
      </c>
      <c r="R82" s="911">
        <v>188.54280949452448</v>
      </c>
      <c r="S82" s="911">
        <v>197</v>
      </c>
      <c r="T82" s="911">
        <v>193</v>
      </c>
      <c r="U82" s="911">
        <v>153</v>
      </c>
      <c r="V82" s="911">
        <v>146.99616877</v>
      </c>
      <c r="W82" s="911">
        <v>137.76038955649599</v>
      </c>
      <c r="X82" s="911">
        <v>206.935153318495</v>
      </c>
      <c r="Y82" s="911">
        <v>177.18353522000001</v>
      </c>
      <c r="Z82" s="911">
        <v>169.78227893999997</v>
      </c>
      <c r="AA82" s="911">
        <v>177.49882953584907</v>
      </c>
      <c r="AB82" s="911">
        <v>174.91625307999999</v>
      </c>
      <c r="AC82" s="911">
        <v>176.29163503849381</v>
      </c>
      <c r="AD82" s="911">
        <v>175.95099999999999</v>
      </c>
      <c r="AE82" s="911">
        <v>176.72</v>
      </c>
      <c r="AF82" s="911">
        <v>178.73099999999999</v>
      </c>
      <c r="AG82" s="911">
        <v>181.53</v>
      </c>
      <c r="AH82" s="911">
        <v>184.89699999999999</v>
      </c>
    </row>
    <row r="83" spans="1:34" s="906" customFormat="1" ht="15">
      <c r="A83" s="904" t="s">
        <v>932</v>
      </c>
      <c r="B83" s="904" t="s">
        <v>933</v>
      </c>
      <c r="C83" s="904" t="s">
        <v>512</v>
      </c>
      <c r="D83" s="904" t="s">
        <v>956</v>
      </c>
      <c r="E83" s="904" t="s">
        <v>960</v>
      </c>
      <c r="F83" s="903" t="s">
        <v>900</v>
      </c>
      <c r="G83" s="911">
        <v>0</v>
      </c>
      <c r="H83" s="911">
        <v>0</v>
      </c>
      <c r="I83" s="911">
        <v>0</v>
      </c>
      <c r="J83" s="911">
        <v>0</v>
      </c>
      <c r="K83" s="911">
        <v>0</v>
      </c>
      <c r="L83" s="911">
        <v>0</v>
      </c>
      <c r="M83" s="911">
        <v>2.3498587646205524E-2</v>
      </c>
      <c r="N83" s="911">
        <v>44.206241000000006</v>
      </c>
      <c r="O83" s="911">
        <v>54.934426000000002</v>
      </c>
      <c r="P83" s="911">
        <v>42.754148657204496</v>
      </c>
      <c r="Q83" s="911">
        <v>32</v>
      </c>
      <c r="R83" s="911">
        <v>27</v>
      </c>
      <c r="S83" s="911">
        <v>25</v>
      </c>
      <c r="T83" s="911">
        <v>27</v>
      </c>
      <c r="U83" s="911">
        <v>27.88</v>
      </c>
      <c r="V83" s="911">
        <v>31.075223130000001</v>
      </c>
      <c r="W83" s="911">
        <v>37.422039323032401</v>
      </c>
      <c r="X83" s="911">
        <v>58.173371130786002</v>
      </c>
      <c r="Y83" s="911">
        <v>66.574887765999989</v>
      </c>
      <c r="Z83" s="911">
        <v>61.100463175000009</v>
      </c>
      <c r="AA83" s="911">
        <v>63.79606669999999</v>
      </c>
      <c r="AB83" s="911">
        <v>67.213969830000011</v>
      </c>
      <c r="AC83" s="911">
        <v>66.174749598855428</v>
      </c>
      <c r="AD83" s="911">
        <v>73.015000000000001</v>
      </c>
      <c r="AE83" s="911">
        <v>79.893000000000001</v>
      </c>
      <c r="AF83" s="911">
        <v>87.012</v>
      </c>
      <c r="AG83" s="911">
        <v>94.29</v>
      </c>
      <c r="AH83" s="911">
        <v>101.691</v>
      </c>
    </row>
    <row r="84" spans="1:34" s="906" customFormat="1" ht="15">
      <c r="A84" s="904" t="s">
        <v>932</v>
      </c>
      <c r="B84" s="904" t="s">
        <v>933</v>
      </c>
      <c r="C84" s="904" t="s">
        <v>514</v>
      </c>
      <c r="D84" s="904" t="s">
        <v>957</v>
      </c>
      <c r="E84" s="904" t="s">
        <v>960</v>
      </c>
      <c r="F84" s="903" t="s">
        <v>900</v>
      </c>
      <c r="G84" s="911">
        <v>0</v>
      </c>
      <c r="H84" s="911">
        <v>0</v>
      </c>
      <c r="I84" s="911">
        <v>0</v>
      </c>
      <c r="J84" s="911">
        <v>0</v>
      </c>
      <c r="K84" s="911">
        <v>0</v>
      </c>
      <c r="L84" s="911">
        <v>0</v>
      </c>
      <c r="M84" s="911">
        <v>3.8088797412717925</v>
      </c>
      <c r="N84" s="911">
        <v>10.569165</v>
      </c>
      <c r="O84" s="911">
        <v>7.5885309999999997</v>
      </c>
      <c r="P84" s="911">
        <v>7</v>
      </c>
      <c r="Q84" s="911">
        <v>10</v>
      </c>
      <c r="R84" s="911">
        <v>13</v>
      </c>
      <c r="S84" s="911">
        <v>16</v>
      </c>
      <c r="T84" s="911">
        <v>26</v>
      </c>
      <c r="U84" s="911">
        <v>32.899999999999977</v>
      </c>
      <c r="V84" s="911">
        <v>42.629999999999995</v>
      </c>
      <c r="W84" s="911">
        <v>50.9</v>
      </c>
      <c r="X84" s="911">
        <v>65.58</v>
      </c>
      <c r="Y84" s="911">
        <v>79.709999999999994</v>
      </c>
      <c r="Z84" s="911">
        <v>99.87</v>
      </c>
      <c r="AA84" s="911">
        <v>83.380185885598195</v>
      </c>
      <c r="AB84" s="911">
        <v>105.75206724108511</v>
      </c>
      <c r="AC84" s="911">
        <v>113.01608998210131</v>
      </c>
      <c r="AD84" s="911">
        <v>121.00261489509805</v>
      </c>
      <c r="AE84" s="911">
        <v>130.57622163399262</v>
      </c>
      <c r="AF84" s="911">
        <v>140.79364527515622</v>
      </c>
      <c r="AG84" s="911">
        <v>152.1654753876241</v>
      </c>
      <c r="AH84" s="911">
        <v>164.94884294669504</v>
      </c>
    </row>
    <row r="85" spans="1:34" s="906" customFormat="1" ht="15">
      <c r="A85" s="904" t="s">
        <v>932</v>
      </c>
      <c r="B85" s="904" t="s">
        <v>933</v>
      </c>
      <c r="C85" s="904" t="s">
        <v>514</v>
      </c>
      <c r="D85" s="904" t="s">
        <v>958</v>
      </c>
      <c r="E85" s="904" t="s">
        <v>960</v>
      </c>
      <c r="F85" s="903" t="s">
        <v>900</v>
      </c>
      <c r="G85" s="911">
        <v>0</v>
      </c>
      <c r="H85" s="911">
        <v>0</v>
      </c>
      <c r="I85" s="911">
        <v>0</v>
      </c>
      <c r="J85" s="911">
        <v>0</v>
      </c>
      <c r="K85" s="911">
        <v>0</v>
      </c>
      <c r="L85" s="911">
        <v>0</v>
      </c>
      <c r="M85" s="911">
        <v>0</v>
      </c>
      <c r="N85" s="911">
        <v>0</v>
      </c>
      <c r="O85" s="911">
        <v>0</v>
      </c>
      <c r="P85" s="911">
        <v>6</v>
      </c>
      <c r="Q85" s="911">
        <v>3</v>
      </c>
      <c r="R85" s="911">
        <v>4</v>
      </c>
      <c r="S85" s="911">
        <v>2</v>
      </c>
      <c r="T85" s="911">
        <v>4</v>
      </c>
      <c r="U85" s="911">
        <v>5</v>
      </c>
      <c r="V85" s="911">
        <v>6.16</v>
      </c>
      <c r="W85" s="911">
        <v>7.21</v>
      </c>
      <c r="X85" s="911">
        <v>11.36</v>
      </c>
      <c r="Y85" s="911">
        <v>16.77</v>
      </c>
      <c r="Z85" s="911">
        <v>20.91</v>
      </c>
      <c r="AA85" s="911">
        <v>26.931590247019926</v>
      </c>
      <c r="AB85" s="911">
        <v>33.427597381399835</v>
      </c>
      <c r="AC85" s="911">
        <v>41.033710098320341</v>
      </c>
      <c r="AD85" s="911">
        <v>50.517266484521919</v>
      </c>
      <c r="AE85" s="911">
        <v>62.011525801300301</v>
      </c>
      <c r="AF85" s="911">
        <v>76.149588531159964</v>
      </c>
      <c r="AG85" s="911">
        <v>93.465100055038704</v>
      </c>
      <c r="AH85" s="911">
        <v>114.64163655905257</v>
      </c>
    </row>
    <row r="86" spans="1:34" s="906" customFormat="1" ht="15">
      <c r="A86" s="907" t="s">
        <v>932</v>
      </c>
      <c r="B86" s="907" t="s">
        <v>933</v>
      </c>
      <c r="C86" s="907" t="s">
        <v>514</v>
      </c>
      <c r="D86" s="907" t="s">
        <v>959</v>
      </c>
      <c r="E86" s="907" t="s">
        <v>960</v>
      </c>
      <c r="F86" s="908" t="s">
        <v>900</v>
      </c>
      <c r="G86" s="913">
        <v>0</v>
      </c>
      <c r="H86" s="913">
        <v>0</v>
      </c>
      <c r="I86" s="913">
        <v>0</v>
      </c>
      <c r="J86" s="913">
        <v>0</v>
      </c>
      <c r="K86" s="913">
        <v>0</v>
      </c>
      <c r="L86" s="913">
        <v>0</v>
      </c>
      <c r="M86" s="913">
        <v>0</v>
      </c>
      <c r="N86" s="913">
        <v>0</v>
      </c>
      <c r="O86" s="913">
        <v>0</v>
      </c>
      <c r="P86" s="913">
        <v>0</v>
      </c>
      <c r="Q86" s="913">
        <v>0</v>
      </c>
      <c r="R86" s="913">
        <v>0</v>
      </c>
      <c r="S86" s="913">
        <v>0</v>
      </c>
      <c r="T86" s="913">
        <v>0</v>
      </c>
      <c r="U86" s="913">
        <v>0</v>
      </c>
      <c r="V86" s="913">
        <v>0</v>
      </c>
      <c r="W86" s="913">
        <v>0</v>
      </c>
      <c r="X86" s="913">
        <v>0</v>
      </c>
      <c r="Y86" s="913">
        <v>0</v>
      </c>
      <c r="Z86" s="913">
        <v>0</v>
      </c>
      <c r="AA86" s="913">
        <v>0</v>
      </c>
      <c r="AB86" s="913">
        <v>0</v>
      </c>
      <c r="AC86" s="913">
        <v>0</v>
      </c>
      <c r="AD86" s="913">
        <v>0</v>
      </c>
      <c r="AE86" s="913">
        <v>0</v>
      </c>
      <c r="AF86" s="913">
        <v>0</v>
      </c>
      <c r="AG86" s="913">
        <v>0</v>
      </c>
      <c r="AH86" s="913">
        <v>0</v>
      </c>
    </row>
    <row r="87" spans="1:34" s="906" customFormat="1" ht="15">
      <c r="A87" s="904" t="s">
        <v>932</v>
      </c>
      <c r="B87" s="904" t="s">
        <v>933</v>
      </c>
      <c r="C87" s="904" t="s">
        <v>110</v>
      </c>
      <c r="D87" s="904" t="s">
        <v>950</v>
      </c>
      <c r="E87" s="904" t="s">
        <v>964</v>
      </c>
      <c r="F87" s="903" t="s">
        <v>900</v>
      </c>
      <c r="G87" s="911">
        <v>13.77790178571429</v>
      </c>
      <c r="H87" s="911">
        <v>15.653682750094831</v>
      </c>
      <c r="I87" s="911">
        <v>20.074551597220456</v>
      </c>
      <c r="J87" s="911">
        <v>22.211576654363594</v>
      </c>
      <c r="K87" s="911">
        <v>20.215146246033552</v>
      </c>
      <c r="L87" s="911">
        <v>8.0260007708613852</v>
      </c>
      <c r="M87" s="911">
        <v>6.3599743327533806</v>
      </c>
      <c r="N87" s="911">
        <v>6.053204670299424</v>
      </c>
      <c r="O87" s="911">
        <v>5.5641206597356341</v>
      </c>
      <c r="P87" s="911">
        <v>5.0624297238490525</v>
      </c>
      <c r="Q87" s="911">
        <v>5.9169006946702973</v>
      </c>
      <c r="R87" s="911">
        <v>5.94592399559175</v>
      </c>
      <c r="S87" s="911">
        <v>5.5061980847971439</v>
      </c>
      <c r="T87" s="911">
        <v>5.1335228266655379</v>
      </c>
      <c r="U87" s="911">
        <v>4.4294115333518205</v>
      </c>
      <c r="V87" s="911">
        <v>4.514717615613864</v>
      </c>
      <c r="W87" s="911">
        <v>3.899909626840143</v>
      </c>
      <c r="X87" s="911">
        <v>2.0900999999999978</v>
      </c>
      <c r="Y87" s="911">
        <v>2.1217999999999972</v>
      </c>
      <c r="Z87" s="911">
        <v>1.970059549817341</v>
      </c>
      <c r="AA87" s="911">
        <v>1.9237749140402949</v>
      </c>
      <c r="AB87" s="911">
        <v>1.8579655845296046</v>
      </c>
      <c r="AC87" s="911">
        <v>1.6704623427774645</v>
      </c>
      <c r="AD87" s="911">
        <v>1.3701204409857828</v>
      </c>
      <c r="AE87" s="911">
        <v>1.2289673104854544</v>
      </c>
      <c r="AF87" s="911">
        <v>1.0768553017881011</v>
      </c>
      <c r="AG87" s="911">
        <v>0.9149917505334294</v>
      </c>
      <c r="AH87" s="911">
        <v>0.93325450778406582</v>
      </c>
    </row>
    <row r="88" spans="1:34" s="906" customFormat="1" ht="15">
      <c r="A88" s="904" t="s">
        <v>932</v>
      </c>
      <c r="B88" s="904" t="s">
        <v>933</v>
      </c>
      <c r="C88" s="904" t="s">
        <v>110</v>
      </c>
      <c r="D88" s="904" t="s">
        <v>952</v>
      </c>
      <c r="E88" s="904" t="s">
        <v>964</v>
      </c>
      <c r="F88" s="903" t="s">
        <v>900</v>
      </c>
      <c r="G88" s="911">
        <v>43.630022321428562</v>
      </c>
      <c r="H88" s="911">
        <v>52.405807467708755</v>
      </c>
      <c r="I88" s="911">
        <v>71.173410208327041</v>
      </c>
      <c r="J88" s="911">
        <v>83.557835985463001</v>
      </c>
      <c r="K88" s="911">
        <v>80.860584984134164</v>
      </c>
      <c r="L88" s="911">
        <v>34.21610854946168</v>
      </c>
      <c r="M88" s="911">
        <v>28.973216404765388</v>
      </c>
      <c r="N88" s="911">
        <v>31.77932451907197</v>
      </c>
      <c r="O88" s="911">
        <v>31.530017071835253</v>
      </c>
      <c r="P88" s="911">
        <v>31.097782589358463</v>
      </c>
      <c r="Q88" s="911">
        <v>39.597720033562759</v>
      </c>
      <c r="R88" s="911">
        <v>43.603442634339501</v>
      </c>
      <c r="S88" s="911">
        <v>44.550148140631443</v>
      </c>
      <c r="T88" s="911">
        <v>46.201705439989851</v>
      </c>
      <c r="U88" s="911">
        <v>44.786272170557311</v>
      </c>
      <c r="V88" s="911">
        <v>51.919252579559469</v>
      </c>
      <c r="W88" s="911">
        <v>51.813085042304799</v>
      </c>
      <c r="X88" s="911">
        <v>32.744900000000001</v>
      </c>
      <c r="Y88" s="911">
        <v>40.3142</v>
      </c>
      <c r="Z88" s="911">
        <v>37.431131446529442</v>
      </c>
      <c r="AA88" s="911">
        <v>38.154869128465812</v>
      </c>
      <c r="AB88" s="911">
        <v>38.532590600896548</v>
      </c>
      <c r="AC88" s="911">
        <v>36.294590902164877</v>
      </c>
      <c r="AD88" s="911">
        <v>31.251794820580447</v>
      </c>
      <c r="AE88" s="911">
        <v>29.495215451650875</v>
      </c>
      <c r="AF88" s="911">
        <v>27.261442113688219</v>
      </c>
      <c r="AG88" s="911">
        <v>24.501445764284032</v>
      </c>
      <c r="AH88" s="911">
        <v>26.515407485864902</v>
      </c>
    </row>
    <row r="89" spans="1:34" s="906" customFormat="1" ht="15">
      <c r="A89" s="904" t="s">
        <v>932</v>
      </c>
      <c r="B89" s="904" t="s">
        <v>933</v>
      </c>
      <c r="C89" s="904" t="s">
        <v>512</v>
      </c>
      <c r="D89" s="904" t="s">
        <v>961</v>
      </c>
      <c r="E89" s="904" t="s">
        <v>964</v>
      </c>
      <c r="F89" s="903" t="s">
        <v>900</v>
      </c>
      <c r="G89" s="911">
        <v>10.531940162807361</v>
      </c>
      <c r="H89" s="911">
        <v>17.467065965478305</v>
      </c>
      <c r="I89" s="911">
        <v>26.017671717684298</v>
      </c>
      <c r="J89" s="911">
        <v>36.354491786312906</v>
      </c>
      <c r="K89" s="911">
        <v>89.755995375589322</v>
      </c>
      <c r="L89" s="911">
        <v>126.63434114578445</v>
      </c>
      <c r="M89" s="911">
        <v>161.42561785134936</v>
      </c>
      <c r="N89" s="911">
        <v>182.11937335254743</v>
      </c>
      <c r="O89" s="911">
        <v>197.021089506636</v>
      </c>
      <c r="P89" s="911">
        <v>173.69255098560305</v>
      </c>
      <c r="Q89" s="911">
        <v>158.6878771952268</v>
      </c>
      <c r="R89" s="911">
        <v>139.80661781427602</v>
      </c>
      <c r="S89" s="911">
        <v>112.19647378309615</v>
      </c>
      <c r="T89" s="911">
        <v>96.288916961230001</v>
      </c>
      <c r="U89" s="911">
        <v>87.419493957959801</v>
      </c>
      <c r="V89" s="911">
        <v>83.69065404168731</v>
      </c>
      <c r="W89" s="911">
        <v>81.516064835960591</v>
      </c>
      <c r="X89" s="911">
        <v>79.07969332418196</v>
      </c>
      <c r="Y89" s="911">
        <v>81.306603510094348</v>
      </c>
      <c r="Z89" s="911">
        <v>83.725304359728398</v>
      </c>
      <c r="AA89" s="911">
        <v>82.980240887769952</v>
      </c>
      <c r="AB89" s="911">
        <v>67.05647161116103</v>
      </c>
      <c r="AC89" s="911">
        <v>57.547569190144813</v>
      </c>
      <c r="AD89" s="911">
        <v>50.861905229341076</v>
      </c>
      <c r="AE89" s="911">
        <v>39.380669321063436</v>
      </c>
      <c r="AF89" s="911">
        <v>27.646135200724544</v>
      </c>
      <c r="AG89" s="911">
        <v>14.51554583214274</v>
      </c>
      <c r="AH89" s="911">
        <v>1.6489057339797533</v>
      </c>
    </row>
    <row r="90" spans="1:34" s="906" customFormat="1" ht="15">
      <c r="A90" s="904" t="s">
        <v>932</v>
      </c>
      <c r="B90" s="904" t="s">
        <v>933</v>
      </c>
      <c r="C90" s="904" t="s">
        <v>512</v>
      </c>
      <c r="D90" s="904" t="s">
        <v>962</v>
      </c>
      <c r="E90" s="904" t="s">
        <v>964</v>
      </c>
      <c r="F90" s="903" t="s">
        <v>900</v>
      </c>
      <c r="G90" s="911">
        <v>4.069016095127445</v>
      </c>
      <c r="H90" s="911">
        <v>6.5398860392312095</v>
      </c>
      <c r="I90" s="911">
        <v>9.4183985608297256</v>
      </c>
      <c r="J90" s="911">
        <v>12.690130818267551</v>
      </c>
      <c r="K90" s="911">
        <v>30.118575624874538</v>
      </c>
      <c r="L90" s="911">
        <v>40.703761215128772</v>
      </c>
      <c r="M90" s="911">
        <v>49.4942434655594</v>
      </c>
      <c r="N90" s="911">
        <v>53.002971181162216</v>
      </c>
      <c r="O90" s="911">
        <v>54.109485020724534</v>
      </c>
      <c r="P90" s="911">
        <v>44.698330281616954</v>
      </c>
      <c r="Q90" s="911">
        <v>37.936190299472749</v>
      </c>
      <c r="R90" s="911">
        <v>30.716570242720916</v>
      </c>
      <c r="S90" s="911">
        <v>22.347420533424355</v>
      </c>
      <c r="T90" s="911">
        <v>17.079342706640297</v>
      </c>
      <c r="U90" s="911">
        <v>12.614322498954801</v>
      </c>
      <c r="V90" s="911">
        <v>9.3450970262703912</v>
      </c>
      <c r="W90" s="911">
        <v>6.5627880518749633</v>
      </c>
      <c r="X90" s="911">
        <v>4.6455307411479492</v>
      </c>
      <c r="Y90" s="911">
        <v>3.3668950147053618</v>
      </c>
      <c r="Z90" s="911">
        <v>2.5297109111043428</v>
      </c>
      <c r="AA90" s="911">
        <v>2.3867140180717414</v>
      </c>
      <c r="AB90" s="911">
        <v>1.8100394256325918</v>
      </c>
      <c r="AC90" s="911">
        <v>1.4515273781056153</v>
      </c>
      <c r="AD90" s="911">
        <v>1.1928852426143264</v>
      </c>
      <c r="AE90" s="911">
        <v>0.8539200907442418</v>
      </c>
      <c r="AF90" s="911">
        <v>0.57500919609648216</v>
      </c>
      <c r="AG90" s="911">
        <v>0.2890634833120273</v>
      </c>
      <c r="AH90" s="911">
        <v>3.1377397713220137E-2</v>
      </c>
    </row>
    <row r="91" spans="1:34" s="906" customFormat="1" ht="15">
      <c r="A91" s="904" t="s">
        <v>932</v>
      </c>
      <c r="B91" s="904" t="s">
        <v>933</v>
      </c>
      <c r="C91" s="904" t="s">
        <v>512</v>
      </c>
      <c r="D91" s="904" t="s">
        <v>963</v>
      </c>
      <c r="E91" s="904" t="s">
        <v>964</v>
      </c>
      <c r="F91" s="903" t="s">
        <v>900</v>
      </c>
      <c r="G91" s="911">
        <v>1.1542448814618136</v>
      </c>
      <c r="H91" s="911">
        <v>1.9768492238635744</v>
      </c>
      <c r="I91" s="911">
        <v>3.0513064079604812</v>
      </c>
      <c r="J91" s="911">
        <v>4.4333721860819022</v>
      </c>
      <c r="K91" s="911">
        <v>11.420269578407794</v>
      </c>
      <c r="L91" s="911">
        <v>16.867503911424379</v>
      </c>
      <c r="M91" s="911">
        <v>22.582330678590893</v>
      </c>
      <c r="N91" s="911">
        <v>26.841772827016527</v>
      </c>
      <c r="O91" s="911">
        <v>30.685351709328398</v>
      </c>
      <c r="P91" s="911">
        <v>28.66839558214312</v>
      </c>
      <c r="Q91" s="911">
        <v>27.83175656793545</v>
      </c>
      <c r="R91" s="911">
        <v>26.121406823485703</v>
      </c>
      <c r="S91" s="911">
        <v>22.384180820934528</v>
      </c>
      <c r="T91" s="911">
        <v>20.557740332129683</v>
      </c>
      <c r="U91" s="911">
        <v>18.291173325185067</v>
      </c>
      <c r="V91" s="911">
        <v>16.850029425465131</v>
      </c>
      <c r="W91" s="911">
        <v>15.446019194318943</v>
      </c>
      <c r="X91" s="911">
        <v>16.343654293088683</v>
      </c>
      <c r="Y91" s="911">
        <v>14.452617668563285</v>
      </c>
      <c r="Z91" s="911">
        <v>10.906479650704393</v>
      </c>
      <c r="AA91" s="911">
        <v>10.101605817027965</v>
      </c>
      <c r="AB91" s="911">
        <v>8.2817927447038322</v>
      </c>
      <c r="AC91" s="911">
        <v>7.2092386318539896</v>
      </c>
      <c r="AD91" s="911">
        <v>6.4617049722491933</v>
      </c>
      <c r="AE91" s="911">
        <v>5.0727726802118234</v>
      </c>
      <c r="AF91" s="911">
        <v>3.5856653801319629</v>
      </c>
      <c r="AG91" s="911">
        <v>1.8954900561024897</v>
      </c>
      <c r="AH91" s="911">
        <v>0.21677881349517555</v>
      </c>
    </row>
    <row r="92" spans="1:34" s="906" customFormat="1" ht="15">
      <c r="A92" s="904" t="s">
        <v>932</v>
      </c>
      <c r="B92" s="904" t="s">
        <v>933</v>
      </c>
      <c r="C92" s="904" t="s">
        <v>512</v>
      </c>
      <c r="D92" s="904" t="s">
        <v>109</v>
      </c>
      <c r="E92" s="904" t="s">
        <v>964</v>
      </c>
      <c r="F92" s="903" t="s">
        <v>900</v>
      </c>
      <c r="G92" s="911">
        <v>2.9652430800027303</v>
      </c>
      <c r="H92" s="911">
        <v>41.648409470632785</v>
      </c>
      <c r="I92" s="911">
        <v>97.049643820750731</v>
      </c>
      <c r="J92" s="911">
        <v>116.04440777404174</v>
      </c>
      <c r="K92" s="911">
        <v>117.84872158783395</v>
      </c>
      <c r="L92" s="911">
        <v>122.06035107436119</v>
      </c>
      <c r="M92" s="911">
        <v>89.780371732636155</v>
      </c>
      <c r="N92" s="911">
        <v>57.217663830907156</v>
      </c>
      <c r="O92" s="911">
        <v>35.369708447620276</v>
      </c>
      <c r="P92" s="911">
        <v>27.348526436607084</v>
      </c>
      <c r="Q92" s="911">
        <v>26.314888009545154</v>
      </c>
      <c r="R92" s="911">
        <v>19.743736272358657</v>
      </c>
      <c r="S92" s="911">
        <v>16.034678015307129</v>
      </c>
      <c r="T92" s="911">
        <v>15.941206192721893</v>
      </c>
      <c r="U92" s="911">
        <v>16.662167610576876</v>
      </c>
      <c r="V92" s="911">
        <v>14.045805506299466</v>
      </c>
      <c r="W92" s="911">
        <v>12.878004444393149</v>
      </c>
      <c r="X92" s="911">
        <v>17.329999999999998</v>
      </c>
      <c r="Y92" s="911">
        <v>13.92</v>
      </c>
      <c r="Z92" s="911">
        <v>12.577489137471993</v>
      </c>
      <c r="AA92" s="911">
        <v>11.234978274943987</v>
      </c>
      <c r="AB92" s="911">
        <v>11.758000827518044</v>
      </c>
      <c r="AC92" s="911">
        <v>12.308713071650637</v>
      </c>
      <c r="AD92" s="911">
        <v>12.968957436573728</v>
      </c>
      <c r="AE92" s="911">
        <v>13.528266787498644</v>
      </c>
      <c r="AF92" s="911">
        <v>14.174719888339718</v>
      </c>
      <c r="AG92" s="911">
        <v>14.870490969738501</v>
      </c>
      <c r="AH92" s="911">
        <v>15.61081938387143</v>
      </c>
    </row>
    <row r="93" spans="1:34" s="906" customFormat="1" ht="15">
      <c r="A93" s="904" t="s">
        <v>932</v>
      </c>
      <c r="B93" s="904" t="s">
        <v>933</v>
      </c>
      <c r="C93" s="904" t="s">
        <v>512</v>
      </c>
      <c r="D93" s="904" t="s">
        <v>956</v>
      </c>
      <c r="E93" s="904" t="s">
        <v>964</v>
      </c>
      <c r="F93" s="903" t="s">
        <v>900</v>
      </c>
      <c r="G93" s="911">
        <v>0.93683730792761677</v>
      </c>
      <c r="H93" s="911">
        <v>3.0191761653237359</v>
      </c>
      <c r="I93" s="911">
        <v>3.9167866783170253</v>
      </c>
      <c r="J93" s="911">
        <v>6.0970979658249238</v>
      </c>
      <c r="K93" s="911">
        <v>10.472493957684677</v>
      </c>
      <c r="L93" s="911">
        <v>13.500580825007614</v>
      </c>
      <c r="M93" s="911">
        <v>16.427391192911866</v>
      </c>
      <c r="N93" s="911">
        <v>29.083711008696014</v>
      </c>
      <c r="O93" s="911">
        <v>23.524067442528185</v>
      </c>
      <c r="P93" s="911">
        <v>14.417894236599386</v>
      </c>
      <c r="Q93" s="911">
        <v>18.620463084932844</v>
      </c>
      <c r="R93" s="911">
        <v>17.5908394782528</v>
      </c>
      <c r="S93" s="911">
        <v>17.660529171446527</v>
      </c>
      <c r="T93" s="911">
        <v>17.591963584079011</v>
      </c>
      <c r="U93" s="911">
        <v>18.650922169992018</v>
      </c>
      <c r="V93" s="911">
        <v>20.024433624817085</v>
      </c>
      <c r="W93" s="911">
        <v>18.087026214503691</v>
      </c>
      <c r="X93" s="911">
        <v>20.954999999999998</v>
      </c>
      <c r="Y93" s="911">
        <v>13.023999999999999</v>
      </c>
      <c r="Z93" s="911">
        <v>15.368996655732781</v>
      </c>
      <c r="AA93" s="911">
        <v>17.427045669104871</v>
      </c>
      <c r="AB93" s="911">
        <v>18.141956220532325</v>
      </c>
      <c r="AC93" s="911">
        <v>18.673624970299041</v>
      </c>
      <c r="AD93" s="911">
        <v>19.575730273061676</v>
      </c>
      <c r="AE93" s="911">
        <v>20.380220029560721</v>
      </c>
      <c r="AF93" s="911">
        <v>21.205454248571726</v>
      </c>
      <c r="AG93" s="911">
        <v>22.040182340078758</v>
      </c>
      <c r="AH93" s="911">
        <v>22.886742386070253</v>
      </c>
    </row>
    <row r="94" spans="1:34" s="906" customFormat="1" ht="15">
      <c r="A94" s="904" t="s">
        <v>932</v>
      </c>
      <c r="B94" s="904" t="s">
        <v>933</v>
      </c>
      <c r="C94" s="904" t="s">
        <v>514</v>
      </c>
      <c r="D94" s="904" t="s">
        <v>957</v>
      </c>
      <c r="E94" s="904" t="s">
        <v>964</v>
      </c>
      <c r="F94" s="903" t="s">
        <v>900</v>
      </c>
      <c r="G94" s="911">
        <v>0</v>
      </c>
      <c r="H94" s="911">
        <v>0</v>
      </c>
      <c r="I94" s="911">
        <v>0</v>
      </c>
      <c r="J94" s="911">
        <v>0</v>
      </c>
      <c r="K94" s="911">
        <v>0</v>
      </c>
      <c r="L94" s="911">
        <v>0</v>
      </c>
      <c r="M94" s="911">
        <v>0</v>
      </c>
      <c r="N94" s="911">
        <v>0</v>
      </c>
      <c r="O94" s="911">
        <v>0</v>
      </c>
      <c r="P94" s="911">
        <v>0</v>
      </c>
      <c r="Q94" s="911">
        <v>0</v>
      </c>
      <c r="R94" s="911">
        <v>0</v>
      </c>
      <c r="S94" s="911">
        <v>0</v>
      </c>
      <c r="T94" s="911">
        <v>0</v>
      </c>
      <c r="U94" s="911">
        <v>0</v>
      </c>
      <c r="V94" s="911">
        <v>0</v>
      </c>
      <c r="W94" s="911">
        <v>0</v>
      </c>
      <c r="X94" s="911">
        <v>0</v>
      </c>
      <c r="Y94" s="911">
        <v>0</v>
      </c>
      <c r="Z94" s="911">
        <v>0</v>
      </c>
      <c r="AA94" s="911">
        <v>0</v>
      </c>
      <c r="AB94" s="911">
        <v>0</v>
      </c>
      <c r="AC94" s="911">
        <v>0</v>
      </c>
      <c r="AD94" s="911">
        <v>0</v>
      </c>
      <c r="AE94" s="911">
        <v>0</v>
      </c>
      <c r="AF94" s="911">
        <v>0</v>
      </c>
      <c r="AG94" s="911">
        <v>0</v>
      </c>
      <c r="AH94" s="911">
        <v>0</v>
      </c>
    </row>
    <row r="95" spans="1:34" s="906" customFormat="1" ht="15">
      <c r="A95" s="904" t="s">
        <v>932</v>
      </c>
      <c r="B95" s="904" t="s">
        <v>933</v>
      </c>
      <c r="C95" s="904" t="s">
        <v>514</v>
      </c>
      <c r="D95" s="904" t="s">
        <v>958</v>
      </c>
      <c r="E95" s="904" t="s">
        <v>964</v>
      </c>
      <c r="F95" s="903" t="s">
        <v>900</v>
      </c>
      <c r="G95" s="911">
        <v>0</v>
      </c>
      <c r="H95" s="911">
        <v>0</v>
      </c>
      <c r="I95" s="911">
        <v>0</v>
      </c>
      <c r="J95" s="911">
        <v>0</v>
      </c>
      <c r="K95" s="911">
        <v>0</v>
      </c>
      <c r="L95" s="911">
        <v>0</v>
      </c>
      <c r="M95" s="911">
        <v>0</v>
      </c>
      <c r="N95" s="911">
        <v>0</v>
      </c>
      <c r="O95" s="911">
        <v>0</v>
      </c>
      <c r="P95" s="911">
        <v>0</v>
      </c>
      <c r="Q95" s="911">
        <v>0</v>
      </c>
      <c r="R95" s="911">
        <v>0</v>
      </c>
      <c r="S95" s="911">
        <v>0</v>
      </c>
      <c r="T95" s="911">
        <v>0</v>
      </c>
      <c r="U95" s="911">
        <v>0</v>
      </c>
      <c r="V95" s="911">
        <v>0</v>
      </c>
      <c r="W95" s="911">
        <v>0</v>
      </c>
      <c r="X95" s="911">
        <v>0</v>
      </c>
      <c r="Y95" s="911">
        <v>0</v>
      </c>
      <c r="Z95" s="911">
        <v>0</v>
      </c>
      <c r="AA95" s="911">
        <v>0</v>
      </c>
      <c r="AB95" s="911">
        <v>0</v>
      </c>
      <c r="AC95" s="911">
        <v>0</v>
      </c>
      <c r="AD95" s="911">
        <v>0</v>
      </c>
      <c r="AE95" s="911">
        <v>0</v>
      </c>
      <c r="AF95" s="911">
        <v>0</v>
      </c>
      <c r="AG95" s="911">
        <v>0</v>
      </c>
      <c r="AH95" s="911">
        <v>0</v>
      </c>
    </row>
    <row r="96" spans="1:34" s="906" customFormat="1" ht="15">
      <c r="A96" s="904" t="s">
        <v>932</v>
      </c>
      <c r="B96" s="904" t="s">
        <v>933</v>
      </c>
      <c r="C96" s="904" t="s">
        <v>514</v>
      </c>
      <c r="D96" s="904" t="s">
        <v>959</v>
      </c>
      <c r="E96" s="904" t="s">
        <v>964</v>
      </c>
      <c r="F96" s="903" t="s">
        <v>900</v>
      </c>
      <c r="G96" s="911">
        <v>0</v>
      </c>
      <c r="H96" s="911">
        <v>0</v>
      </c>
      <c r="I96" s="911">
        <v>0</v>
      </c>
      <c r="J96" s="911">
        <v>0</v>
      </c>
      <c r="K96" s="911">
        <v>0</v>
      </c>
      <c r="L96" s="911">
        <v>0</v>
      </c>
      <c r="M96" s="911">
        <v>0</v>
      </c>
      <c r="N96" s="911">
        <v>0</v>
      </c>
      <c r="O96" s="911">
        <v>0</v>
      </c>
      <c r="P96" s="911">
        <v>0</v>
      </c>
      <c r="Q96" s="911">
        <v>0</v>
      </c>
      <c r="R96" s="911">
        <v>0</v>
      </c>
      <c r="S96" s="911">
        <v>0</v>
      </c>
      <c r="T96" s="911">
        <v>0</v>
      </c>
      <c r="U96" s="911">
        <v>0</v>
      </c>
      <c r="V96" s="911">
        <v>0</v>
      </c>
      <c r="W96" s="911">
        <v>0</v>
      </c>
      <c r="X96" s="911">
        <v>0</v>
      </c>
      <c r="Y96" s="911">
        <v>0</v>
      </c>
      <c r="Z96" s="911">
        <v>0</v>
      </c>
      <c r="AA96" s="911">
        <v>0</v>
      </c>
      <c r="AB96" s="911">
        <v>0</v>
      </c>
      <c r="AC96" s="911">
        <v>0</v>
      </c>
      <c r="AD96" s="911">
        <v>0</v>
      </c>
      <c r="AE96" s="911">
        <v>0</v>
      </c>
      <c r="AF96" s="911">
        <v>0</v>
      </c>
      <c r="AG96" s="911">
        <v>0</v>
      </c>
      <c r="AH96" s="911">
        <v>0</v>
      </c>
    </row>
    <row r="97" spans="1:34" s="893" customFormat="1" ht="15">
      <c r="A97" s="910"/>
      <c r="B97" s="910"/>
      <c r="C97" s="910"/>
      <c r="D97" s="910"/>
      <c r="E97" s="910"/>
      <c r="F97" s="873"/>
      <c r="G97" s="911"/>
      <c r="H97" s="911"/>
      <c r="I97" s="911"/>
      <c r="J97" s="911"/>
      <c r="K97" s="911"/>
      <c r="L97" s="911"/>
      <c r="M97" s="911"/>
      <c r="N97" s="911"/>
      <c r="O97" s="911"/>
      <c r="P97" s="911"/>
      <c r="Q97" s="911"/>
      <c r="R97" s="911"/>
      <c r="S97" s="911"/>
      <c r="T97" s="911"/>
      <c r="U97" s="911"/>
      <c r="V97" s="911"/>
      <c r="W97" s="911"/>
      <c r="X97" s="911"/>
      <c r="Y97" s="911"/>
      <c r="Z97" s="911"/>
      <c r="AA97" s="911"/>
      <c r="AB97" s="911"/>
      <c r="AC97" s="911"/>
      <c r="AD97" s="911"/>
      <c r="AE97" s="911"/>
      <c r="AF97" s="911"/>
      <c r="AG97" s="911"/>
      <c r="AH97" s="911"/>
    </row>
    <row r="98" spans="1:34" s="893" customFormat="1" ht="15">
      <c r="A98" s="912"/>
      <c r="B98" s="912"/>
      <c r="C98" s="912"/>
      <c r="D98" s="912"/>
      <c r="E98" s="912"/>
      <c r="F98" s="912"/>
      <c r="G98" s="912"/>
      <c r="H98" s="912"/>
      <c r="I98" s="912"/>
      <c r="J98" s="912"/>
      <c r="K98" s="912"/>
      <c r="L98" s="912"/>
      <c r="M98" s="912"/>
      <c r="N98" s="912"/>
      <c r="O98" s="912"/>
      <c r="P98" s="912"/>
      <c r="Q98" s="912"/>
      <c r="R98" s="912"/>
      <c r="S98" s="912"/>
      <c r="T98" s="912"/>
      <c r="U98" s="912"/>
      <c r="V98" s="912"/>
      <c r="W98" s="912"/>
      <c r="X98" s="912"/>
      <c r="Y98" s="912"/>
      <c r="Z98" s="912"/>
      <c r="AA98" s="912"/>
      <c r="AB98" s="912"/>
      <c r="AC98" s="912"/>
      <c r="AD98" s="912"/>
      <c r="AE98" s="912"/>
      <c r="AF98" s="912"/>
      <c r="AG98" s="912"/>
      <c r="AH98" s="912"/>
    </row>
    <row r="99" spans="1:34">
      <c r="A99" s="899"/>
      <c r="B99" s="899"/>
      <c r="C99" s="899"/>
      <c r="D99" s="899"/>
      <c r="E99" s="899"/>
      <c r="F99" s="899"/>
      <c r="G99" s="899"/>
      <c r="H99" s="899"/>
      <c r="I99" s="899"/>
      <c r="J99" s="899"/>
      <c r="K99" s="899"/>
      <c r="L99" s="899"/>
      <c r="M99" s="899"/>
      <c r="N99" s="899"/>
      <c r="O99" s="899"/>
      <c r="P99" s="899"/>
      <c r="Q99" s="899"/>
      <c r="R99" s="899"/>
      <c r="S99" s="899"/>
      <c r="T99" s="899"/>
      <c r="U99" s="899"/>
      <c r="V99" s="899"/>
      <c r="W99" s="899"/>
      <c r="X99" s="899"/>
      <c r="Y99" s="899"/>
      <c r="Z99" s="899"/>
      <c r="AA99" s="899"/>
      <c r="AB99" s="899"/>
      <c r="AC99" s="899"/>
      <c r="AD99" s="899"/>
      <c r="AE99" s="899"/>
      <c r="AF99" s="899"/>
      <c r="AG99" s="899"/>
      <c r="AH99" s="899"/>
    </row>
    <row r="100" spans="1:34" ht="17" thickBot="1">
      <c r="A100" s="899"/>
      <c r="B100" s="899"/>
      <c r="C100" s="899"/>
      <c r="D100" s="899"/>
      <c r="E100" s="899"/>
      <c r="F100" s="899"/>
      <c r="G100" s="899"/>
      <c r="H100" s="899"/>
      <c r="I100" s="899"/>
      <c r="J100" s="899"/>
      <c r="K100" s="899"/>
      <c r="L100" s="899"/>
      <c r="M100" s="899"/>
      <c r="N100" s="899"/>
      <c r="O100" s="899"/>
      <c r="P100" s="899"/>
      <c r="Q100" s="899"/>
      <c r="R100" s="899"/>
      <c r="S100" s="899"/>
      <c r="T100" s="899"/>
      <c r="U100" s="899"/>
      <c r="V100" s="899"/>
      <c r="W100" s="899"/>
      <c r="X100" s="899"/>
      <c r="Y100" s="899"/>
      <c r="Z100" s="899"/>
      <c r="AA100" s="899"/>
      <c r="AB100" s="899"/>
      <c r="AC100" s="899"/>
      <c r="AD100" s="899"/>
      <c r="AE100" s="899"/>
      <c r="AF100" s="899"/>
      <c r="AG100" s="899"/>
      <c r="AH100" s="899"/>
    </row>
    <row r="101" spans="1:34" s="893" customFormat="1" ht="26">
      <c r="A101" s="891" t="s">
        <v>903</v>
      </c>
      <c r="B101" s="892"/>
      <c r="C101" s="892"/>
      <c r="D101" s="892"/>
      <c r="E101" s="892"/>
      <c r="F101" s="892"/>
      <c r="G101" s="892"/>
      <c r="H101" s="892"/>
      <c r="I101" s="892"/>
      <c r="J101" s="892"/>
      <c r="K101" s="892"/>
      <c r="L101" s="892"/>
      <c r="M101" s="892"/>
      <c r="N101" s="892"/>
      <c r="O101" s="892"/>
      <c r="P101" s="892"/>
      <c r="Q101" s="892"/>
      <c r="R101" s="892"/>
      <c r="S101" s="892"/>
      <c r="T101" s="892"/>
      <c r="U101" s="892"/>
      <c r="V101" s="892"/>
      <c r="W101" s="892"/>
      <c r="X101" s="892"/>
      <c r="Y101" s="892"/>
      <c r="Z101" s="892"/>
      <c r="AA101" s="892"/>
      <c r="AB101" s="892"/>
      <c r="AC101" s="892"/>
      <c r="AD101" s="892"/>
      <c r="AE101" s="892"/>
      <c r="AF101" s="892"/>
      <c r="AG101" s="892"/>
      <c r="AH101" s="892"/>
    </row>
    <row r="102" spans="1:34">
      <c r="A102" s="899"/>
      <c r="B102" s="899"/>
      <c r="C102" s="899"/>
      <c r="D102" s="899"/>
      <c r="E102" s="899"/>
      <c r="F102" s="899"/>
      <c r="G102" s="899"/>
      <c r="H102" s="899"/>
      <c r="I102" s="899"/>
      <c r="J102" s="899"/>
      <c r="K102" s="899"/>
      <c r="L102" s="899"/>
      <c r="M102" s="899"/>
      <c r="N102" s="899"/>
      <c r="O102" s="899"/>
      <c r="P102" s="899"/>
      <c r="Q102" s="899"/>
      <c r="R102" s="899"/>
      <c r="S102" s="899"/>
      <c r="T102" s="899"/>
      <c r="U102" s="899"/>
      <c r="V102" s="899"/>
      <c r="W102" s="899"/>
      <c r="X102" s="899"/>
      <c r="Y102" s="899"/>
      <c r="Z102" s="899"/>
      <c r="AA102" s="899"/>
      <c r="AB102" s="899"/>
      <c r="AC102" s="899"/>
      <c r="AD102" s="899"/>
      <c r="AE102" s="899"/>
      <c r="AF102" s="899"/>
      <c r="AG102" s="899"/>
      <c r="AH102" s="899"/>
    </row>
    <row r="103" spans="1:34" s="893" customFormat="1" ht="15">
      <c r="A103" s="896" t="str">
        <f>A67</f>
        <v>Region</v>
      </c>
      <c r="B103" s="896" t="str">
        <f t="shared" ref="B103:AG104" si="3">B67</f>
        <v>Country</v>
      </c>
      <c r="C103" s="896" t="str">
        <f t="shared" si="3"/>
        <v>Category</v>
      </c>
      <c r="D103" s="896" t="str">
        <f t="shared" si="3"/>
        <v>Product</v>
      </c>
      <c r="E103" s="896" t="str">
        <f t="shared" si="3"/>
        <v>Channel</v>
      </c>
      <c r="F103" s="896"/>
      <c r="G103" s="896">
        <f t="shared" si="3"/>
        <v>2003</v>
      </c>
      <c r="H103" s="896">
        <f t="shared" si="3"/>
        <v>2004</v>
      </c>
      <c r="I103" s="896">
        <f t="shared" si="3"/>
        <v>2005</v>
      </c>
      <c r="J103" s="896">
        <f t="shared" si="3"/>
        <v>2006</v>
      </c>
      <c r="K103" s="896">
        <f t="shared" si="3"/>
        <v>2007</v>
      </c>
      <c r="L103" s="896">
        <f t="shared" si="3"/>
        <v>2008</v>
      </c>
      <c r="M103" s="896">
        <f t="shared" si="3"/>
        <v>2009</v>
      </c>
      <c r="N103" s="896">
        <f t="shared" si="3"/>
        <v>2010</v>
      </c>
      <c r="O103" s="896">
        <f t="shared" si="3"/>
        <v>2011</v>
      </c>
      <c r="P103" s="896">
        <f t="shared" si="3"/>
        <v>2012</v>
      </c>
      <c r="Q103" s="896">
        <f t="shared" si="3"/>
        <v>2013</v>
      </c>
      <c r="R103" s="896">
        <f t="shared" si="3"/>
        <v>2014</v>
      </c>
      <c r="S103" s="896">
        <f t="shared" si="3"/>
        <v>2015</v>
      </c>
      <c r="T103" s="896">
        <f t="shared" si="3"/>
        <v>2016</v>
      </c>
      <c r="U103" s="896">
        <f t="shared" si="3"/>
        <v>2017</v>
      </c>
      <c r="V103" s="896">
        <f t="shared" si="3"/>
        <v>2018</v>
      </c>
      <c r="W103" s="896">
        <f t="shared" si="3"/>
        <v>2019</v>
      </c>
      <c r="X103" s="896">
        <f t="shared" si="3"/>
        <v>2020</v>
      </c>
      <c r="Y103" s="896">
        <f t="shared" si="3"/>
        <v>2021</v>
      </c>
      <c r="Z103" s="896">
        <f t="shared" si="3"/>
        <v>2022</v>
      </c>
      <c r="AA103" s="896">
        <f t="shared" si="3"/>
        <v>2023</v>
      </c>
      <c r="AB103" s="896">
        <f t="shared" si="3"/>
        <v>2024</v>
      </c>
      <c r="AC103" s="897">
        <f t="shared" si="3"/>
        <v>2025</v>
      </c>
      <c r="AD103" s="897">
        <f t="shared" si="3"/>
        <v>2026</v>
      </c>
      <c r="AE103" s="897">
        <f t="shared" si="3"/>
        <v>2027</v>
      </c>
      <c r="AF103" s="897">
        <f t="shared" si="3"/>
        <v>2028</v>
      </c>
      <c r="AG103" s="897">
        <f t="shared" si="3"/>
        <v>2029</v>
      </c>
      <c r="AH103" s="897">
        <f t="shared" ref="AH103" si="4">AH67</f>
        <v>2030</v>
      </c>
    </row>
    <row r="104" spans="1:34" s="906" customFormat="1" ht="15">
      <c r="A104" s="903" t="str">
        <f>A68</f>
        <v>Europe</v>
      </c>
      <c r="B104" s="904" t="str">
        <f t="shared" si="3"/>
        <v>Italy</v>
      </c>
      <c r="C104" s="904" t="str">
        <f t="shared" si="3"/>
        <v>Betting</v>
      </c>
      <c r="D104" s="904" t="str">
        <f t="shared" si="3"/>
        <v>Race Betting</v>
      </c>
      <c r="E104" s="904" t="str">
        <f t="shared" si="3"/>
        <v>Land</v>
      </c>
      <c r="F104" s="903" t="s">
        <v>89</v>
      </c>
      <c r="G104" s="914">
        <f>IFERROR(G68/G32,"-")</f>
        <v>0.30219911797237442</v>
      </c>
      <c r="H104" s="914">
        <f t="shared" ref="H104:AG104" si="5">IFERROR(H68/H32,"-")</f>
        <v>0.30304914282423356</v>
      </c>
      <c r="I104" s="914">
        <f t="shared" si="5"/>
        <v>0.30522633531683363</v>
      </c>
      <c r="J104" s="914">
        <f t="shared" si="5"/>
        <v>0.30601555706756728</v>
      </c>
      <c r="K104" s="914">
        <f t="shared" si="5"/>
        <v>0.30713245997088789</v>
      </c>
      <c r="L104" s="914">
        <f t="shared" si="5"/>
        <v>0.3098591549295775</v>
      </c>
      <c r="M104" s="914">
        <f t="shared" si="5"/>
        <v>0.31440023858024535</v>
      </c>
      <c r="N104" s="914">
        <f t="shared" si="5"/>
        <v>0.31347599768652401</v>
      </c>
      <c r="O104" s="914">
        <f t="shared" si="5"/>
        <v>0.29758956852835827</v>
      </c>
      <c r="P104" s="914">
        <f t="shared" si="5"/>
        <v>0.29574678536102861</v>
      </c>
      <c r="Q104" s="914">
        <f t="shared" si="5"/>
        <v>0.29650590551181094</v>
      </c>
      <c r="R104" s="914">
        <f t="shared" si="5"/>
        <v>0.29032258064516131</v>
      </c>
      <c r="S104" s="914">
        <f t="shared" si="5"/>
        <v>0.2845911949685534</v>
      </c>
      <c r="T104" s="914">
        <f t="shared" si="5"/>
        <v>0.28125</v>
      </c>
      <c r="U104" s="914">
        <f t="shared" si="5"/>
        <v>0.27486437613019893</v>
      </c>
      <c r="V104" s="914">
        <f t="shared" si="5"/>
        <v>0.25745788324844687</v>
      </c>
      <c r="W104" s="914">
        <f t="shared" si="5"/>
        <v>0.24703557312252963</v>
      </c>
      <c r="X104" s="914">
        <f t="shared" si="5"/>
        <v>0.24590163934426226</v>
      </c>
      <c r="Y104" s="914">
        <f t="shared" si="5"/>
        <v>0.24702380952380956</v>
      </c>
      <c r="Z104" s="914">
        <f t="shared" si="5"/>
        <v>0.28799441866644859</v>
      </c>
      <c r="AA104" s="914">
        <f t="shared" si="5"/>
        <v>0.28705140097769505</v>
      </c>
      <c r="AB104" s="914">
        <f t="shared" si="5"/>
        <v>0.28619365071237179</v>
      </c>
      <c r="AC104" s="914">
        <f t="shared" si="5"/>
        <v>0.28599050223575628</v>
      </c>
      <c r="AD104" s="914">
        <f t="shared" si="5"/>
        <v>0.28581664653323502</v>
      </c>
      <c r="AE104" s="914">
        <f t="shared" si="5"/>
        <v>0.28566912631065017</v>
      </c>
      <c r="AF104" s="914">
        <f t="shared" si="5"/>
        <v>0.28554621050965512</v>
      </c>
      <c r="AG104" s="914">
        <f t="shared" si="5"/>
        <v>0.28543949645697175</v>
      </c>
      <c r="AH104" s="914">
        <f t="shared" ref="AH104:AH113" si="6">IFERROR(AH68/AH32,"-")</f>
        <v>0.28535066802275622</v>
      </c>
    </row>
    <row r="105" spans="1:34" s="906" customFormat="1" ht="15">
      <c r="A105" s="904" t="str">
        <f t="shared" ref="A105:E120" si="7">A69</f>
        <v>Europe</v>
      </c>
      <c r="B105" s="904" t="str">
        <f t="shared" si="7"/>
        <v>Italy</v>
      </c>
      <c r="C105" s="904" t="str">
        <f t="shared" si="7"/>
        <v>Betting</v>
      </c>
      <c r="D105" s="904" t="str">
        <f t="shared" si="7"/>
        <v>Sport Betting</v>
      </c>
      <c r="E105" s="904" t="str">
        <f t="shared" si="7"/>
        <v>Land</v>
      </c>
      <c r="F105" s="903" t="s">
        <v>89</v>
      </c>
      <c r="G105" s="914">
        <f t="shared" ref="G105:AG114" si="8">IFERROR(G69/G33,"-")</f>
        <v>0.26063829787234039</v>
      </c>
      <c r="H105" s="914">
        <f t="shared" si="8"/>
        <v>0.26063829787234039</v>
      </c>
      <c r="I105" s="914">
        <f t="shared" si="8"/>
        <v>0.26063829787234039</v>
      </c>
      <c r="J105" s="914">
        <f t="shared" si="8"/>
        <v>0.26063829787234044</v>
      </c>
      <c r="K105" s="914">
        <f t="shared" si="8"/>
        <v>0.26063829787234044</v>
      </c>
      <c r="L105" s="914">
        <f t="shared" si="8"/>
        <v>0.25736563909295623</v>
      </c>
      <c r="M105" s="914">
        <f t="shared" si="8"/>
        <v>0.21885041142437545</v>
      </c>
      <c r="N105" s="914">
        <f t="shared" si="8"/>
        <v>0.21523925646820774</v>
      </c>
      <c r="O105" s="914">
        <f t="shared" si="8"/>
        <v>0.23267074413863403</v>
      </c>
      <c r="P105" s="914">
        <f t="shared" si="8"/>
        <v>0.17521902377972465</v>
      </c>
      <c r="Q105" s="914">
        <f t="shared" si="8"/>
        <v>0.20449631385625344</v>
      </c>
      <c r="R105" s="914">
        <f t="shared" si="8"/>
        <v>0.17865429234338745</v>
      </c>
      <c r="S105" s="914">
        <f t="shared" si="8"/>
        <v>0.13444444444444445</v>
      </c>
      <c r="T105" s="914">
        <f t="shared" si="8"/>
        <v>0.12004230565838181</v>
      </c>
      <c r="U105" s="914">
        <f t="shared" si="8"/>
        <v>0.12556444585280838</v>
      </c>
      <c r="V105" s="914">
        <f t="shared" si="8"/>
        <v>0.12462908011869435</v>
      </c>
      <c r="W105" s="914">
        <f t="shared" si="8"/>
        <v>0.11821382249397813</v>
      </c>
      <c r="X105" s="914">
        <f t="shared" si="8"/>
        <v>0.11456097439225277</v>
      </c>
      <c r="Y105" s="914">
        <f t="shared" si="8"/>
        <v>0.11411208428916782</v>
      </c>
      <c r="Z105" s="914">
        <f t="shared" si="8"/>
        <v>0.12163912245343009</v>
      </c>
      <c r="AA105" s="914">
        <f t="shared" si="8"/>
        <v>0.12091968180484995</v>
      </c>
      <c r="AB105" s="914">
        <f t="shared" si="8"/>
        <v>0.12057746925414277</v>
      </c>
      <c r="AC105" s="914">
        <f t="shared" si="8"/>
        <v>0.12093388819377107</v>
      </c>
      <c r="AD105" s="914">
        <f t="shared" si="8"/>
        <v>0.12114392756408045</v>
      </c>
      <c r="AE105" s="914">
        <f t="shared" si="8"/>
        <v>0.12153543434907615</v>
      </c>
      <c r="AF105" s="914">
        <f t="shared" si="8"/>
        <v>0.12205357851734144</v>
      </c>
      <c r="AG105" s="914">
        <f t="shared" si="8"/>
        <v>0.12265477181491674</v>
      </c>
      <c r="AH105" s="914">
        <f t="shared" si="6"/>
        <v>0.12330481683642079</v>
      </c>
    </row>
    <row r="106" spans="1:34" s="906" customFormat="1" ht="15">
      <c r="A106" s="904" t="str">
        <f t="shared" si="7"/>
        <v>Europe</v>
      </c>
      <c r="B106" s="904" t="str">
        <f t="shared" si="7"/>
        <v>Italy</v>
      </c>
      <c r="C106" s="904" t="str">
        <f t="shared" si="7"/>
        <v>Gaming</v>
      </c>
      <c r="D106" s="904" t="str">
        <f t="shared" si="7"/>
        <v>Casino Gaming Machines</v>
      </c>
      <c r="E106" s="904" t="str">
        <f t="shared" si="7"/>
        <v>Land</v>
      </c>
      <c r="F106" s="903" t="s">
        <v>89</v>
      </c>
      <c r="G106" s="914">
        <f t="shared" si="8"/>
        <v>0.18</v>
      </c>
      <c r="H106" s="914">
        <f t="shared" si="8"/>
        <v>0.18555150010949703</v>
      </c>
      <c r="I106" s="914">
        <f t="shared" si="8"/>
        <v>0.15548505772868407</v>
      </c>
      <c r="J106" s="914">
        <f t="shared" si="8"/>
        <v>0.18073978021978018</v>
      </c>
      <c r="K106" s="914">
        <f t="shared" si="8"/>
        <v>0.17829831932773113</v>
      </c>
      <c r="L106" s="914">
        <f t="shared" si="8"/>
        <v>0.17461258227549001</v>
      </c>
      <c r="M106" s="914">
        <f t="shared" si="8"/>
        <v>0.16681203143288847</v>
      </c>
      <c r="N106" s="914">
        <f t="shared" si="8"/>
        <v>0.1668120314328885</v>
      </c>
      <c r="O106" s="914">
        <f t="shared" si="8"/>
        <v>0.1668120314328885</v>
      </c>
      <c r="P106" s="914">
        <f t="shared" si="8"/>
        <v>0.1668120314328885</v>
      </c>
      <c r="Q106" s="914">
        <f t="shared" si="8"/>
        <v>0.1539881021311898</v>
      </c>
      <c r="R106" s="914">
        <f t="shared" si="8"/>
        <v>0.1539881021311898</v>
      </c>
      <c r="S106" s="914">
        <f t="shared" si="8"/>
        <v>0.1539881021311898</v>
      </c>
      <c r="T106" s="914">
        <f t="shared" si="8"/>
        <v>0.1539881021311898</v>
      </c>
      <c r="U106" s="914">
        <f t="shared" si="8"/>
        <v>0.15398810213118982</v>
      </c>
      <c r="V106" s="914">
        <f t="shared" si="8"/>
        <v>0.1539881021311898</v>
      </c>
      <c r="W106" s="914">
        <f t="shared" si="8"/>
        <v>0.15398810213118977</v>
      </c>
      <c r="X106" s="914">
        <f t="shared" si="8"/>
        <v>0.15399070813707974</v>
      </c>
      <c r="Y106" s="914">
        <f t="shared" si="8"/>
        <v>0.154</v>
      </c>
      <c r="Z106" s="914">
        <f t="shared" si="8"/>
        <v>0.15399180807489762</v>
      </c>
      <c r="AA106" s="914">
        <f t="shared" si="8"/>
        <v>0.15398738929391442</v>
      </c>
      <c r="AB106" s="914">
        <f t="shared" si="8"/>
        <v>0.15398738929391442</v>
      </c>
      <c r="AC106" s="914">
        <f t="shared" si="8"/>
        <v>0.15398738929391442</v>
      </c>
      <c r="AD106" s="914">
        <f t="shared" si="8"/>
        <v>0.15398738929391442</v>
      </c>
      <c r="AE106" s="914">
        <f t="shared" si="8"/>
        <v>0.15398738929391442</v>
      </c>
      <c r="AF106" s="914">
        <f t="shared" si="8"/>
        <v>0.15398738929391442</v>
      </c>
      <c r="AG106" s="914">
        <f t="shared" si="8"/>
        <v>0.15398738929391442</v>
      </c>
      <c r="AH106" s="914">
        <f t="shared" si="6"/>
        <v>0.15398738929391442</v>
      </c>
    </row>
    <row r="107" spans="1:34" s="906" customFormat="1" ht="15">
      <c r="A107" s="904" t="str">
        <f t="shared" si="7"/>
        <v>Europe</v>
      </c>
      <c r="B107" s="904" t="str">
        <f t="shared" si="7"/>
        <v>Italy</v>
      </c>
      <c r="C107" s="904" t="str">
        <f t="shared" si="7"/>
        <v>Gaming</v>
      </c>
      <c r="D107" s="904" t="str">
        <f t="shared" si="7"/>
        <v>Casino Table Games</v>
      </c>
      <c r="E107" s="904" t="str">
        <f t="shared" si="7"/>
        <v>Land</v>
      </c>
      <c r="F107" s="903" t="s">
        <v>89</v>
      </c>
      <c r="G107" s="914">
        <f t="shared" si="8"/>
        <v>0.18</v>
      </c>
      <c r="H107" s="914">
        <f t="shared" si="8"/>
        <v>0.18555150010949703</v>
      </c>
      <c r="I107" s="914">
        <f t="shared" si="8"/>
        <v>0.15548505772868407</v>
      </c>
      <c r="J107" s="914">
        <f t="shared" si="8"/>
        <v>0.18073978021978018</v>
      </c>
      <c r="K107" s="914">
        <f t="shared" si="8"/>
        <v>0.17829831932773113</v>
      </c>
      <c r="L107" s="914">
        <f t="shared" si="8"/>
        <v>0.17461258227549001</v>
      </c>
      <c r="M107" s="914">
        <f t="shared" si="8"/>
        <v>0.1668120314328885</v>
      </c>
      <c r="N107" s="914">
        <f t="shared" si="8"/>
        <v>0.1668120314328885</v>
      </c>
      <c r="O107" s="914">
        <f t="shared" si="8"/>
        <v>0.1668120314328885</v>
      </c>
      <c r="P107" s="914">
        <f t="shared" si="8"/>
        <v>0.1668120314328885</v>
      </c>
      <c r="Q107" s="914">
        <f t="shared" si="8"/>
        <v>0.1539881021311898</v>
      </c>
      <c r="R107" s="914">
        <f t="shared" si="8"/>
        <v>0.1539881021311898</v>
      </c>
      <c r="S107" s="914">
        <f t="shared" si="8"/>
        <v>0.1539881021311898</v>
      </c>
      <c r="T107" s="914">
        <f t="shared" si="8"/>
        <v>0.1539881021311898</v>
      </c>
      <c r="U107" s="914">
        <f t="shared" si="8"/>
        <v>0.1539881021311898</v>
      </c>
      <c r="V107" s="914">
        <f t="shared" si="8"/>
        <v>0.1539881021311898</v>
      </c>
      <c r="W107" s="914">
        <f t="shared" si="8"/>
        <v>0.15398810213118977</v>
      </c>
      <c r="X107" s="914">
        <f t="shared" si="8"/>
        <v>0.15399070813707974</v>
      </c>
      <c r="Y107" s="914">
        <f t="shared" si="8"/>
        <v>0.154</v>
      </c>
      <c r="Z107" s="914">
        <f t="shared" si="8"/>
        <v>0.15399180807489762</v>
      </c>
      <c r="AA107" s="914">
        <f t="shared" si="8"/>
        <v>0.15398738929391442</v>
      </c>
      <c r="AB107" s="914">
        <f t="shared" si="8"/>
        <v>0.15398738929391442</v>
      </c>
      <c r="AC107" s="914">
        <f t="shared" si="8"/>
        <v>0.15398738929391442</v>
      </c>
      <c r="AD107" s="914">
        <f t="shared" si="8"/>
        <v>0.15398738929391442</v>
      </c>
      <c r="AE107" s="914">
        <f t="shared" si="8"/>
        <v>0.15398738929391442</v>
      </c>
      <c r="AF107" s="914">
        <f t="shared" si="8"/>
        <v>0.15398738929391442</v>
      </c>
      <c r="AG107" s="914">
        <f t="shared" si="8"/>
        <v>0.15398738929391442</v>
      </c>
      <c r="AH107" s="914">
        <f t="shared" si="6"/>
        <v>0.15398738929391442</v>
      </c>
    </row>
    <row r="108" spans="1:34" s="906" customFormat="1" ht="15">
      <c r="A108" s="904" t="str">
        <f t="shared" si="7"/>
        <v>Europe</v>
      </c>
      <c r="B108" s="904" t="str">
        <f t="shared" si="7"/>
        <v>Italy</v>
      </c>
      <c r="C108" s="904" t="str">
        <f t="shared" si="7"/>
        <v>Gaming</v>
      </c>
      <c r="D108" s="904" t="str">
        <f t="shared" si="7"/>
        <v>Non-Casino Gaming Machines</v>
      </c>
      <c r="E108" s="904" t="str">
        <f t="shared" si="7"/>
        <v>Land</v>
      </c>
      <c r="F108" s="903" t="s">
        <v>89</v>
      </c>
      <c r="G108" s="914">
        <f t="shared" si="8"/>
        <v>0.25</v>
      </c>
      <c r="H108" s="914">
        <f t="shared" si="8"/>
        <v>0.25</v>
      </c>
      <c r="I108" s="914">
        <f t="shared" si="8"/>
        <v>0.25</v>
      </c>
      <c r="J108" s="914">
        <f t="shared" si="8"/>
        <v>0.25</v>
      </c>
      <c r="K108" s="914">
        <f t="shared" si="8"/>
        <v>0.25</v>
      </c>
      <c r="L108" s="914">
        <f t="shared" si="8"/>
        <v>0.25</v>
      </c>
      <c r="M108" s="914">
        <f t="shared" si="8"/>
        <v>0.25</v>
      </c>
      <c r="N108" s="914">
        <f t="shared" si="8"/>
        <v>0.2458468154455784</v>
      </c>
      <c r="O108" s="914">
        <f t="shared" si="8"/>
        <v>0.20509622238061298</v>
      </c>
      <c r="P108" s="914">
        <f t="shared" si="8"/>
        <v>0.20546878120880438</v>
      </c>
      <c r="Q108" s="914">
        <f t="shared" si="8"/>
        <v>0.19753008764205141</v>
      </c>
      <c r="R108" s="914">
        <f t="shared" si="8"/>
        <v>0.19699840340606706</v>
      </c>
      <c r="S108" s="914">
        <f t="shared" si="8"/>
        <v>0.19836782037738976</v>
      </c>
      <c r="T108" s="914">
        <f t="shared" si="8"/>
        <v>0.21171996055782505</v>
      </c>
      <c r="U108" s="914">
        <f t="shared" si="8"/>
        <v>0.21537709326488205</v>
      </c>
      <c r="V108" s="914">
        <f t="shared" si="8"/>
        <v>0.21213799327262287</v>
      </c>
      <c r="W108" s="914">
        <f t="shared" si="8"/>
        <v>0.22376236604081579</v>
      </c>
      <c r="X108" s="914">
        <f t="shared" si="8"/>
        <v>0.23708421797593768</v>
      </c>
      <c r="Y108" s="914">
        <f t="shared" si="8"/>
        <v>0.22900952943696717</v>
      </c>
      <c r="Z108" s="914">
        <f t="shared" si="8"/>
        <v>0.25676590177330905</v>
      </c>
      <c r="AA108" s="914">
        <f t="shared" si="8"/>
        <v>0.25494252907609627</v>
      </c>
      <c r="AB108" s="914">
        <f t="shared" si="8"/>
        <v>0.25175167893160988</v>
      </c>
      <c r="AC108" s="914">
        <f t="shared" si="8"/>
        <v>0.24887837818513919</v>
      </c>
      <c r="AD108" s="914">
        <f t="shared" si="8"/>
        <v>0.2466840044014236</v>
      </c>
      <c r="AE108" s="914">
        <f t="shared" si="8"/>
        <v>0.24500124936862061</v>
      </c>
      <c r="AF108" s="914">
        <f t="shared" si="8"/>
        <v>0.2437389231999986</v>
      </c>
      <c r="AG108" s="914">
        <f t="shared" si="8"/>
        <v>0.24280290366985238</v>
      </c>
      <c r="AH108" s="914">
        <f t="shared" si="6"/>
        <v>0.24212616045838581</v>
      </c>
    </row>
    <row r="109" spans="1:34" s="906" customFormat="1" ht="15">
      <c r="A109" s="904" t="str">
        <f t="shared" si="7"/>
        <v>Europe</v>
      </c>
      <c r="B109" s="904" t="str">
        <f t="shared" si="7"/>
        <v>Italy</v>
      </c>
      <c r="C109" s="904" t="str">
        <f t="shared" si="7"/>
        <v>Gaming</v>
      </c>
      <c r="D109" s="904" t="str">
        <f t="shared" si="7"/>
        <v>Bingo/Other Gaming</v>
      </c>
      <c r="E109" s="904" t="str">
        <f t="shared" si="7"/>
        <v>Land</v>
      </c>
      <c r="F109" s="903" t="s">
        <v>89</v>
      </c>
      <c r="G109" s="914">
        <f t="shared" si="8"/>
        <v>0.42641946697566624</v>
      </c>
      <c r="H109" s="914">
        <f t="shared" si="8"/>
        <v>0.42641946697566629</v>
      </c>
      <c r="I109" s="914">
        <f t="shared" si="8"/>
        <v>0.42641946697566629</v>
      </c>
      <c r="J109" s="914">
        <f t="shared" si="8"/>
        <v>0.42641946697566629</v>
      </c>
      <c r="K109" s="914">
        <f t="shared" si="8"/>
        <v>0.42641946697566629</v>
      </c>
      <c r="L109" s="914">
        <f t="shared" si="8"/>
        <v>0.41992665036674814</v>
      </c>
      <c r="M109" s="914">
        <f t="shared" si="8"/>
        <v>0.31215520226310861</v>
      </c>
      <c r="N109" s="914">
        <f t="shared" si="8"/>
        <v>0.30543123225469726</v>
      </c>
      <c r="O109" s="914">
        <f t="shared" si="8"/>
        <v>0.27996455459459463</v>
      </c>
      <c r="P109" s="914">
        <f t="shared" si="8"/>
        <v>0.3278502552467385</v>
      </c>
      <c r="Q109" s="914">
        <f t="shared" si="8"/>
        <v>0.36600757257046695</v>
      </c>
      <c r="R109" s="914">
        <f t="shared" si="8"/>
        <v>0.34174876847290642</v>
      </c>
      <c r="S109" s="914">
        <f t="shared" si="8"/>
        <v>0.29662077596996245</v>
      </c>
      <c r="T109" s="914">
        <f t="shared" si="8"/>
        <v>0.29151061173533083</v>
      </c>
      <c r="U109" s="914">
        <f t="shared" si="8"/>
        <v>0.29524397776405187</v>
      </c>
      <c r="V109" s="914">
        <f t="shared" si="8"/>
        <v>0.29690346083788705</v>
      </c>
      <c r="W109" s="914">
        <f t="shared" si="8"/>
        <v>0.2943670502725621</v>
      </c>
      <c r="X109" s="914">
        <f t="shared" si="8"/>
        <v>0.2943670502725621</v>
      </c>
      <c r="Y109" s="914">
        <f t="shared" si="8"/>
        <v>0.28932651858981273</v>
      </c>
      <c r="Z109" s="914">
        <f t="shared" si="8"/>
        <v>0.32648893180255245</v>
      </c>
      <c r="AA109" s="914">
        <f t="shared" si="8"/>
        <v>0.31344942095357997</v>
      </c>
      <c r="AB109" s="914">
        <f t="shared" si="8"/>
        <v>0.31344942095357997</v>
      </c>
      <c r="AC109" s="914">
        <f t="shared" si="8"/>
        <v>0.31344942095357997</v>
      </c>
      <c r="AD109" s="914">
        <f t="shared" si="8"/>
        <v>0.31344942095357997</v>
      </c>
      <c r="AE109" s="914">
        <f t="shared" si="8"/>
        <v>0.31344942095357997</v>
      </c>
      <c r="AF109" s="914">
        <f t="shared" si="8"/>
        <v>0.31344942095357997</v>
      </c>
      <c r="AG109" s="914">
        <f t="shared" si="8"/>
        <v>0.31344942095357997</v>
      </c>
      <c r="AH109" s="914">
        <f t="shared" si="6"/>
        <v>0.31344942095357997</v>
      </c>
    </row>
    <row r="110" spans="1:34" s="906" customFormat="1" ht="15">
      <c r="A110" s="904" t="str">
        <f t="shared" si="7"/>
        <v>Europe</v>
      </c>
      <c r="B110" s="904" t="str">
        <f t="shared" si="7"/>
        <v>Italy</v>
      </c>
      <c r="C110" s="904" t="str">
        <f t="shared" si="7"/>
        <v>Lottery</v>
      </c>
      <c r="D110" s="904" t="str">
        <f t="shared" si="7"/>
        <v>Draw Lottery</v>
      </c>
      <c r="E110" s="904" t="str">
        <f t="shared" si="7"/>
        <v>Land</v>
      </c>
      <c r="F110" s="903" t="s">
        <v>89</v>
      </c>
      <c r="G110" s="914">
        <f t="shared" si="8"/>
        <v>0.5232930582569979</v>
      </c>
      <c r="H110" s="914">
        <f t="shared" si="8"/>
        <v>0.50405538026486896</v>
      </c>
      <c r="I110" s="914">
        <f t="shared" si="8"/>
        <v>0.52036999892731595</v>
      </c>
      <c r="J110" s="914">
        <f t="shared" si="8"/>
        <v>0.52454300785430363</v>
      </c>
      <c r="K110" s="914">
        <f t="shared" si="8"/>
        <v>0.52583441577624157</v>
      </c>
      <c r="L110" s="914">
        <f t="shared" si="8"/>
        <v>0.53221929192865169</v>
      </c>
      <c r="M110" s="914">
        <f t="shared" si="8"/>
        <v>0.54416386103641745</v>
      </c>
      <c r="N110" s="914">
        <f t="shared" si="8"/>
        <v>0.52450706337878095</v>
      </c>
      <c r="O110" s="914">
        <f t="shared" si="8"/>
        <v>0.46025231477546802</v>
      </c>
      <c r="P110" s="914">
        <f t="shared" si="8"/>
        <v>0.39374999999999999</v>
      </c>
      <c r="Q110" s="914">
        <f t="shared" si="8"/>
        <v>0.38929030082112887</v>
      </c>
      <c r="R110" s="914">
        <f t="shared" si="8"/>
        <v>0.3616476909300243</v>
      </c>
      <c r="S110" s="914">
        <f t="shared" si="8"/>
        <v>0.36387112641416625</v>
      </c>
      <c r="T110" s="914">
        <f t="shared" si="8"/>
        <v>0.39267990074441683</v>
      </c>
      <c r="U110" s="914">
        <f t="shared" si="8"/>
        <v>0.33773731542133889</v>
      </c>
      <c r="V110" s="914">
        <f t="shared" si="8"/>
        <v>0.31030872519723501</v>
      </c>
      <c r="W110" s="914">
        <f t="shared" si="8"/>
        <v>0.3084571418241201</v>
      </c>
      <c r="X110" s="914">
        <f t="shared" si="8"/>
        <v>0.31725903885563267</v>
      </c>
      <c r="Y110" s="914">
        <f t="shared" si="8"/>
        <v>0.31245339971618924</v>
      </c>
      <c r="Z110" s="914">
        <f t="shared" si="8"/>
        <v>0.34217226265986778</v>
      </c>
      <c r="AA110" s="914">
        <f t="shared" si="8"/>
        <v>0.28496815184436669</v>
      </c>
      <c r="AB110" s="914">
        <f t="shared" si="8"/>
        <v>0.31975181607873127</v>
      </c>
      <c r="AC110" s="914">
        <f t="shared" si="8"/>
        <v>0.31913326777988982</v>
      </c>
      <c r="AD110" s="914">
        <f t="shared" si="8"/>
        <v>0.31735071659289671</v>
      </c>
      <c r="AE110" s="914">
        <f t="shared" si="8"/>
        <v>0.31870998241343973</v>
      </c>
      <c r="AF110" s="914">
        <f t="shared" si="8"/>
        <v>0.31843352444561857</v>
      </c>
      <c r="AG110" s="914">
        <f t="shared" si="8"/>
        <v>0.31823125271320546</v>
      </c>
      <c r="AH110" s="914">
        <f t="shared" si="6"/>
        <v>0.31853619007867107</v>
      </c>
    </row>
    <row r="111" spans="1:34" s="906" customFormat="1" ht="15">
      <c r="A111" s="904" t="str">
        <f t="shared" si="7"/>
        <v>Europe</v>
      </c>
      <c r="B111" s="904" t="str">
        <f t="shared" si="7"/>
        <v>Italy</v>
      </c>
      <c r="C111" s="904" t="str">
        <f t="shared" si="7"/>
        <v>Lottery</v>
      </c>
      <c r="D111" s="904" t="str">
        <f t="shared" si="7"/>
        <v>Instant Lottery</v>
      </c>
      <c r="E111" s="904" t="str">
        <f t="shared" si="7"/>
        <v>Land</v>
      </c>
      <c r="F111" s="903" t="s">
        <v>89</v>
      </c>
      <c r="G111" s="914">
        <f t="shared" si="8"/>
        <v>0.26257725294082296</v>
      </c>
      <c r="H111" s="914">
        <f t="shared" si="8"/>
        <v>0.26257725294082301</v>
      </c>
      <c r="I111" s="914">
        <f t="shared" si="8"/>
        <v>0.26257725294082296</v>
      </c>
      <c r="J111" s="914">
        <f t="shared" si="8"/>
        <v>0.26257725294082301</v>
      </c>
      <c r="K111" s="914">
        <f t="shared" si="8"/>
        <v>0.26257725294082301</v>
      </c>
      <c r="L111" s="914">
        <f t="shared" si="8"/>
        <v>0.25903475314372865</v>
      </c>
      <c r="M111" s="914">
        <f t="shared" si="8"/>
        <v>0.25524017477842409</v>
      </c>
      <c r="N111" s="914">
        <f t="shared" si="8"/>
        <v>0.24579706506709656</v>
      </c>
      <c r="O111" s="914">
        <f t="shared" si="8"/>
        <v>0.27080259976130844</v>
      </c>
      <c r="P111" s="914">
        <f t="shared" si="8"/>
        <v>0.2853338795575584</v>
      </c>
      <c r="Q111" s="914">
        <f t="shared" si="8"/>
        <v>0.27631551569879942</v>
      </c>
      <c r="R111" s="914">
        <f t="shared" si="8"/>
        <v>0.27631857657275999</v>
      </c>
      <c r="S111" s="914">
        <f t="shared" si="8"/>
        <v>0.27143330023171136</v>
      </c>
      <c r="T111" s="914">
        <f t="shared" si="8"/>
        <v>0.27068255205433694</v>
      </c>
      <c r="U111" s="914">
        <f t="shared" si="8"/>
        <v>0.26761800219538967</v>
      </c>
      <c r="V111" s="914">
        <f t="shared" si="8"/>
        <v>0.26254870539148806</v>
      </c>
      <c r="W111" s="914">
        <f t="shared" si="8"/>
        <v>0.26906934632852303</v>
      </c>
      <c r="X111" s="914">
        <f t="shared" si="8"/>
        <v>0.25882378863792999</v>
      </c>
      <c r="Y111" s="914">
        <f t="shared" si="8"/>
        <v>0.26387412956668094</v>
      </c>
      <c r="Z111" s="914">
        <f t="shared" si="8"/>
        <v>0.25746567274231402</v>
      </c>
      <c r="AA111" s="914">
        <f t="shared" si="8"/>
        <v>0.25716932395427561</v>
      </c>
      <c r="AB111" s="914">
        <f t="shared" si="8"/>
        <v>0.2600060435626661</v>
      </c>
      <c r="AC111" s="914">
        <f t="shared" si="8"/>
        <v>0.25950304208775682</v>
      </c>
      <c r="AD111" s="914">
        <f t="shared" si="8"/>
        <v>0.25950304208775682</v>
      </c>
      <c r="AE111" s="914">
        <f t="shared" si="8"/>
        <v>0.25950304208775682</v>
      </c>
      <c r="AF111" s="914">
        <f t="shared" si="8"/>
        <v>0.25950304208775682</v>
      </c>
      <c r="AG111" s="914">
        <f t="shared" si="8"/>
        <v>0.25950304208775682</v>
      </c>
      <c r="AH111" s="914">
        <f t="shared" si="6"/>
        <v>0.25950304208775687</v>
      </c>
    </row>
    <row r="112" spans="1:34" s="906" customFormat="1" ht="15">
      <c r="A112" s="907" t="str">
        <f t="shared" si="7"/>
        <v>Europe</v>
      </c>
      <c r="B112" s="907" t="str">
        <f t="shared" si="7"/>
        <v>Italy</v>
      </c>
      <c r="C112" s="907" t="str">
        <f t="shared" si="7"/>
        <v>Lottery</v>
      </c>
      <c r="D112" s="907" t="str">
        <f t="shared" si="7"/>
        <v>Other Lottery</v>
      </c>
      <c r="E112" s="907" t="str">
        <f t="shared" si="7"/>
        <v>Land</v>
      </c>
      <c r="F112" s="908" t="s">
        <v>89</v>
      </c>
      <c r="G112" s="915" t="str">
        <f t="shared" si="8"/>
        <v>-</v>
      </c>
      <c r="H112" s="915" t="str">
        <f t="shared" si="8"/>
        <v>-</v>
      </c>
      <c r="I112" s="915" t="str">
        <f t="shared" si="8"/>
        <v>-</v>
      </c>
      <c r="J112" s="915" t="str">
        <f t="shared" si="8"/>
        <v>-</v>
      </c>
      <c r="K112" s="915" t="str">
        <f t="shared" si="8"/>
        <v>-</v>
      </c>
      <c r="L112" s="915" t="str">
        <f t="shared" si="8"/>
        <v>-</v>
      </c>
      <c r="M112" s="915" t="str">
        <f t="shared" si="8"/>
        <v>-</v>
      </c>
      <c r="N112" s="915" t="str">
        <f t="shared" si="8"/>
        <v>-</v>
      </c>
      <c r="O112" s="915" t="str">
        <f t="shared" si="8"/>
        <v>-</v>
      </c>
      <c r="P112" s="915" t="str">
        <f t="shared" si="8"/>
        <v>-</v>
      </c>
      <c r="Q112" s="915" t="str">
        <f t="shared" si="8"/>
        <v>-</v>
      </c>
      <c r="R112" s="915" t="str">
        <f t="shared" si="8"/>
        <v>-</v>
      </c>
      <c r="S112" s="915" t="str">
        <f t="shared" si="8"/>
        <v>-</v>
      </c>
      <c r="T112" s="915" t="str">
        <f t="shared" si="8"/>
        <v>-</v>
      </c>
      <c r="U112" s="915" t="str">
        <f t="shared" si="8"/>
        <v>-</v>
      </c>
      <c r="V112" s="915" t="str">
        <f t="shared" si="8"/>
        <v>-</v>
      </c>
      <c r="W112" s="915" t="str">
        <f t="shared" si="8"/>
        <v>-</v>
      </c>
      <c r="X112" s="915" t="str">
        <f t="shared" si="8"/>
        <v>-</v>
      </c>
      <c r="Y112" s="915" t="str">
        <f t="shared" si="8"/>
        <v>-</v>
      </c>
      <c r="Z112" s="915" t="str">
        <f t="shared" si="8"/>
        <v>-</v>
      </c>
      <c r="AA112" s="915" t="str">
        <f t="shared" si="8"/>
        <v>-</v>
      </c>
      <c r="AB112" s="915" t="str">
        <f t="shared" si="8"/>
        <v>-</v>
      </c>
      <c r="AC112" s="915" t="str">
        <f t="shared" si="8"/>
        <v>-</v>
      </c>
      <c r="AD112" s="915" t="str">
        <f t="shared" si="8"/>
        <v>-</v>
      </c>
      <c r="AE112" s="915" t="str">
        <f t="shared" si="8"/>
        <v>-</v>
      </c>
      <c r="AF112" s="915" t="str">
        <f t="shared" si="8"/>
        <v>-</v>
      </c>
      <c r="AG112" s="915" t="str">
        <f t="shared" si="8"/>
        <v>-</v>
      </c>
      <c r="AH112" s="915" t="str">
        <f t="shared" si="6"/>
        <v>-</v>
      </c>
    </row>
    <row r="113" spans="1:34" s="906" customFormat="1" ht="15">
      <c r="A113" s="904" t="str">
        <f t="shared" si="7"/>
        <v>Europe</v>
      </c>
      <c r="B113" s="904" t="str">
        <f t="shared" si="7"/>
        <v>Italy</v>
      </c>
      <c r="C113" s="904" t="str">
        <f t="shared" si="7"/>
        <v>Betting</v>
      </c>
      <c r="D113" s="904" t="str">
        <f t="shared" si="7"/>
        <v>Race Betting</v>
      </c>
      <c r="E113" s="904" t="str">
        <f t="shared" si="7"/>
        <v>Onshore Online</v>
      </c>
      <c r="F113" s="903" t="s">
        <v>89</v>
      </c>
      <c r="G113" s="914" t="str">
        <f t="shared" si="8"/>
        <v>-</v>
      </c>
      <c r="H113" s="914" t="str">
        <f t="shared" si="8"/>
        <v>-</v>
      </c>
      <c r="I113" s="914" t="str">
        <f t="shared" si="8"/>
        <v>-</v>
      </c>
      <c r="J113" s="914" t="str">
        <f t="shared" si="8"/>
        <v>-</v>
      </c>
      <c r="K113" s="914" t="str">
        <f t="shared" si="8"/>
        <v>-</v>
      </c>
      <c r="L113" s="914">
        <f t="shared" si="8"/>
        <v>0.3098591549295775</v>
      </c>
      <c r="M113" s="914">
        <f t="shared" si="8"/>
        <v>0.31440023858024535</v>
      </c>
      <c r="N113" s="914">
        <f t="shared" si="8"/>
        <v>0.31347599768652401</v>
      </c>
      <c r="O113" s="914">
        <f t="shared" si="8"/>
        <v>0.29758956852835827</v>
      </c>
      <c r="P113" s="914">
        <f t="shared" si="8"/>
        <v>0.29574678536102861</v>
      </c>
      <c r="Q113" s="914">
        <f t="shared" si="8"/>
        <v>0.29650590551181094</v>
      </c>
      <c r="R113" s="914">
        <f t="shared" si="8"/>
        <v>0.29032258064516131</v>
      </c>
      <c r="S113" s="914">
        <f t="shared" si="8"/>
        <v>0.2845911949685534</v>
      </c>
      <c r="T113" s="914">
        <f t="shared" si="8"/>
        <v>0.28125</v>
      </c>
      <c r="U113" s="914">
        <f t="shared" si="8"/>
        <v>0.27486437613019893</v>
      </c>
      <c r="V113" s="914">
        <f t="shared" si="8"/>
        <v>0.25745788324844687</v>
      </c>
      <c r="W113" s="914">
        <f t="shared" si="8"/>
        <v>0.24703557312252963</v>
      </c>
      <c r="X113" s="914">
        <f t="shared" si="8"/>
        <v>0.24590163934426226</v>
      </c>
      <c r="Y113" s="914">
        <f t="shared" si="8"/>
        <v>0.24702380952380953</v>
      </c>
      <c r="Z113" s="914">
        <f t="shared" si="8"/>
        <v>0.28799441866644859</v>
      </c>
      <c r="AA113" s="914">
        <f t="shared" si="8"/>
        <v>0.28705140097769505</v>
      </c>
      <c r="AB113" s="914">
        <f t="shared" si="8"/>
        <v>0.28619365071237179</v>
      </c>
      <c r="AC113" s="914">
        <f t="shared" si="8"/>
        <v>0.28599050223575628</v>
      </c>
      <c r="AD113" s="914">
        <f t="shared" si="8"/>
        <v>0.28581664653323502</v>
      </c>
      <c r="AE113" s="914">
        <f t="shared" si="8"/>
        <v>0.28566912631065017</v>
      </c>
      <c r="AF113" s="914">
        <f t="shared" si="8"/>
        <v>0.28554621050965512</v>
      </c>
      <c r="AG113" s="914">
        <f t="shared" si="8"/>
        <v>0.28543949645697175</v>
      </c>
      <c r="AH113" s="914">
        <f t="shared" si="6"/>
        <v>0.28535066802275622</v>
      </c>
    </row>
    <row r="114" spans="1:34" s="906" customFormat="1" ht="15">
      <c r="A114" s="904" t="str">
        <f t="shared" si="7"/>
        <v>Europe</v>
      </c>
      <c r="B114" s="904" t="str">
        <f t="shared" si="7"/>
        <v>Italy</v>
      </c>
      <c r="C114" s="904" t="str">
        <f t="shared" si="7"/>
        <v>Betting</v>
      </c>
      <c r="D114" s="904" t="str">
        <f t="shared" si="7"/>
        <v>Sport Betting</v>
      </c>
      <c r="E114" s="904" t="str">
        <f t="shared" si="7"/>
        <v>Onshore Online</v>
      </c>
      <c r="F114" s="903" t="s">
        <v>89</v>
      </c>
      <c r="G114" s="914" t="str">
        <f t="shared" si="8"/>
        <v>-</v>
      </c>
      <c r="H114" s="914" t="str">
        <f t="shared" si="8"/>
        <v>-</v>
      </c>
      <c r="I114" s="914" t="str">
        <f t="shared" si="8"/>
        <v>-</v>
      </c>
      <c r="J114" s="914" t="str">
        <f t="shared" si="8"/>
        <v>-</v>
      </c>
      <c r="K114" s="914">
        <f t="shared" si="8"/>
        <v>0.26063829787234044</v>
      </c>
      <c r="L114" s="914">
        <f t="shared" si="8"/>
        <v>0.25736563909295623</v>
      </c>
      <c r="M114" s="914">
        <f t="shared" si="8"/>
        <v>0.21885041142437545</v>
      </c>
      <c r="N114" s="914">
        <f t="shared" si="8"/>
        <v>0.21523925646820774</v>
      </c>
      <c r="O114" s="914">
        <f t="shared" si="8"/>
        <v>0.23267074413863403</v>
      </c>
      <c r="P114" s="914">
        <f t="shared" si="8"/>
        <v>0.17521902377972465</v>
      </c>
      <c r="Q114" s="914">
        <f t="shared" si="8"/>
        <v>0.20449631385625344</v>
      </c>
      <c r="R114" s="914">
        <f t="shared" si="8"/>
        <v>0.17865429234338748</v>
      </c>
      <c r="S114" s="914">
        <f t="shared" ref="S114:AG114" si="9">IFERROR(S78/S42,"-")</f>
        <v>0.13444444444444445</v>
      </c>
      <c r="T114" s="914">
        <f t="shared" si="9"/>
        <v>0.12004230565838182</v>
      </c>
      <c r="U114" s="914">
        <f t="shared" si="9"/>
        <v>0.12556444585280838</v>
      </c>
      <c r="V114" s="914">
        <f t="shared" si="9"/>
        <v>0.12462908011869438</v>
      </c>
      <c r="W114" s="914">
        <f t="shared" si="9"/>
        <v>0.11821382249397813</v>
      </c>
      <c r="X114" s="914">
        <f t="shared" si="9"/>
        <v>0.11456097439225278</v>
      </c>
      <c r="Y114" s="914">
        <f t="shared" si="9"/>
        <v>0.11411208428916782</v>
      </c>
      <c r="Z114" s="914">
        <f t="shared" si="9"/>
        <v>0.12163912245343009</v>
      </c>
      <c r="AA114" s="914">
        <f t="shared" si="9"/>
        <v>0.12091968180484995</v>
      </c>
      <c r="AB114" s="914">
        <f t="shared" si="9"/>
        <v>0.12057746925414277</v>
      </c>
      <c r="AC114" s="914">
        <f t="shared" si="9"/>
        <v>0.12093388819377109</v>
      </c>
      <c r="AD114" s="914">
        <f t="shared" si="9"/>
        <v>0.12114392756408043</v>
      </c>
      <c r="AE114" s="914">
        <f t="shared" si="9"/>
        <v>0.12153543434907617</v>
      </c>
      <c r="AF114" s="914">
        <f t="shared" si="9"/>
        <v>0.12205357851734144</v>
      </c>
      <c r="AG114" s="914">
        <f t="shared" si="9"/>
        <v>0.12265477181491673</v>
      </c>
      <c r="AH114" s="914">
        <f t="shared" ref="AH114:AH123" si="10">IFERROR(AH78/AH42,"-")</f>
        <v>0.12330481683642078</v>
      </c>
    </row>
    <row r="115" spans="1:34" s="906" customFormat="1" ht="15">
      <c r="A115" s="904" t="str">
        <f t="shared" si="7"/>
        <v>Europe</v>
      </c>
      <c r="B115" s="904" t="str">
        <f t="shared" si="7"/>
        <v>Italy</v>
      </c>
      <c r="C115" s="904" t="str">
        <f t="shared" si="7"/>
        <v>Gaming</v>
      </c>
      <c r="D115" s="904" t="str">
        <f t="shared" si="7"/>
        <v>Casino Slots</v>
      </c>
      <c r="E115" s="904" t="str">
        <f t="shared" si="7"/>
        <v>Onshore Online</v>
      </c>
      <c r="F115" s="903" t="s">
        <v>89</v>
      </c>
      <c r="G115" s="914" t="str">
        <f t="shared" ref="G115:AG124" si="11">IFERROR(G79/G43,"-")</f>
        <v>-</v>
      </c>
      <c r="H115" s="914" t="str">
        <f t="shared" si="11"/>
        <v>-</v>
      </c>
      <c r="I115" s="914" t="str">
        <f t="shared" si="11"/>
        <v>-</v>
      </c>
      <c r="J115" s="914" t="str">
        <f t="shared" si="11"/>
        <v>-</v>
      </c>
      <c r="K115" s="914" t="str">
        <f t="shared" si="11"/>
        <v>-</v>
      </c>
      <c r="L115" s="914" t="str">
        <f t="shared" si="11"/>
        <v>-</v>
      </c>
      <c r="M115" s="914" t="str">
        <f t="shared" si="11"/>
        <v>-</v>
      </c>
      <c r="N115" s="914" t="str">
        <f t="shared" si="11"/>
        <v>-</v>
      </c>
      <c r="O115" s="914" t="str">
        <f t="shared" si="11"/>
        <v>-</v>
      </c>
      <c r="P115" s="914">
        <f t="shared" si="11"/>
        <v>2.6539879724564678E-2</v>
      </c>
      <c r="Q115" s="914">
        <f t="shared" si="11"/>
        <v>3.0263182683162242E-2</v>
      </c>
      <c r="R115" s="914">
        <f t="shared" si="11"/>
        <v>3.1407997893852735E-2</v>
      </c>
      <c r="S115" s="914">
        <f t="shared" si="11"/>
        <v>2.8028650123435753E-2</v>
      </c>
      <c r="T115" s="914">
        <f t="shared" si="11"/>
        <v>3.7386779726344188E-2</v>
      </c>
      <c r="U115" s="914">
        <f t="shared" si="11"/>
        <v>3.4886572654813E-2</v>
      </c>
      <c r="V115" s="914">
        <f t="shared" si="11"/>
        <v>3.5934908796497793E-2</v>
      </c>
      <c r="W115" s="914">
        <f t="shared" si="11"/>
        <v>3.5649569430891377E-2</v>
      </c>
      <c r="X115" s="914">
        <f t="shared" si="11"/>
        <v>3.5661179008643906E-2</v>
      </c>
      <c r="Y115" s="914">
        <f t="shared" si="11"/>
        <v>3.5529138213466517E-2</v>
      </c>
      <c r="Z115" s="914">
        <f t="shared" si="11"/>
        <v>3.5774307878211675E-2</v>
      </c>
      <c r="AA115" s="914">
        <f t="shared" si="11"/>
        <v>3.5774307878211668E-2</v>
      </c>
      <c r="AB115" s="914">
        <f t="shared" si="11"/>
        <v>3.5774307878211675E-2</v>
      </c>
      <c r="AC115" s="914">
        <f t="shared" si="11"/>
        <v>3.5774307878211675E-2</v>
      </c>
      <c r="AD115" s="914">
        <f t="shared" si="11"/>
        <v>3.5774307878211675E-2</v>
      </c>
      <c r="AE115" s="914">
        <f t="shared" si="11"/>
        <v>3.5774307878211675E-2</v>
      </c>
      <c r="AF115" s="914">
        <f t="shared" si="11"/>
        <v>3.5774307878211675E-2</v>
      </c>
      <c r="AG115" s="914">
        <f t="shared" si="11"/>
        <v>3.5774307878211682E-2</v>
      </c>
      <c r="AH115" s="914">
        <f t="shared" si="10"/>
        <v>3.5774307878211675E-2</v>
      </c>
    </row>
    <row r="116" spans="1:34" s="906" customFormat="1" ht="15">
      <c r="A116" s="904" t="str">
        <f t="shared" si="7"/>
        <v>Europe</v>
      </c>
      <c r="B116" s="904" t="str">
        <f t="shared" si="7"/>
        <v>Italy</v>
      </c>
      <c r="C116" s="904" t="str">
        <f t="shared" si="7"/>
        <v>Gaming</v>
      </c>
      <c r="D116" s="904" t="str">
        <f t="shared" si="7"/>
        <v>Casino RNG</v>
      </c>
      <c r="E116" s="904" t="str">
        <f t="shared" si="7"/>
        <v>Onshore Online</v>
      </c>
      <c r="F116" s="903" t="s">
        <v>89</v>
      </c>
      <c r="G116" s="914" t="str">
        <f t="shared" si="11"/>
        <v>-</v>
      </c>
      <c r="H116" s="914" t="str">
        <f t="shared" si="11"/>
        <v>-</v>
      </c>
      <c r="I116" s="914" t="str">
        <f t="shared" si="11"/>
        <v>-</v>
      </c>
      <c r="J116" s="914" t="str">
        <f t="shared" si="11"/>
        <v>-</v>
      </c>
      <c r="K116" s="914" t="str">
        <f t="shared" si="11"/>
        <v>-</v>
      </c>
      <c r="L116" s="914" t="str">
        <f t="shared" si="11"/>
        <v>-</v>
      </c>
      <c r="M116" s="914" t="str">
        <f t="shared" si="11"/>
        <v>-</v>
      </c>
      <c r="N116" s="914" t="str">
        <f t="shared" si="11"/>
        <v>-</v>
      </c>
      <c r="O116" s="914">
        <f t="shared" si="11"/>
        <v>3.1565227851411026E-2</v>
      </c>
      <c r="P116" s="914">
        <f t="shared" si="11"/>
        <v>2.6539879724564674E-2</v>
      </c>
      <c r="Q116" s="914">
        <f t="shared" si="11"/>
        <v>3.0263182683162238E-2</v>
      </c>
      <c r="R116" s="914">
        <f t="shared" si="11"/>
        <v>3.1407997893852735E-2</v>
      </c>
      <c r="S116" s="914">
        <f t="shared" si="11"/>
        <v>2.8028650123435753E-2</v>
      </c>
      <c r="T116" s="914">
        <f t="shared" si="11"/>
        <v>3.7386779726344188E-2</v>
      </c>
      <c r="U116" s="914">
        <f t="shared" si="11"/>
        <v>3.4886572654813E-2</v>
      </c>
      <c r="V116" s="914">
        <f t="shared" si="11"/>
        <v>3.5934908796497793E-2</v>
      </c>
      <c r="W116" s="914">
        <f t="shared" si="11"/>
        <v>3.5649569430891384E-2</v>
      </c>
      <c r="X116" s="914">
        <f t="shared" si="11"/>
        <v>3.5661179008643899E-2</v>
      </c>
      <c r="Y116" s="914">
        <f t="shared" si="11"/>
        <v>3.5529138213466517E-2</v>
      </c>
      <c r="Z116" s="914">
        <f t="shared" si="11"/>
        <v>3.5774307878211675E-2</v>
      </c>
      <c r="AA116" s="914">
        <f t="shared" si="11"/>
        <v>3.5774307878211668E-2</v>
      </c>
      <c r="AB116" s="914">
        <f t="shared" si="11"/>
        <v>3.5774307878211675E-2</v>
      </c>
      <c r="AC116" s="914">
        <f t="shared" si="11"/>
        <v>3.5774307878211675E-2</v>
      </c>
      <c r="AD116" s="914">
        <f t="shared" si="11"/>
        <v>3.5774307878211675E-2</v>
      </c>
      <c r="AE116" s="914">
        <f t="shared" si="11"/>
        <v>3.5774307878211675E-2</v>
      </c>
      <c r="AF116" s="914">
        <f t="shared" si="11"/>
        <v>3.5774307878211675E-2</v>
      </c>
      <c r="AG116" s="914">
        <f t="shared" si="11"/>
        <v>3.5774307878211682E-2</v>
      </c>
      <c r="AH116" s="914">
        <f t="shared" si="10"/>
        <v>3.5774307878211675E-2</v>
      </c>
    </row>
    <row r="117" spans="1:34" s="906" customFormat="1" ht="15">
      <c r="A117" s="904" t="str">
        <f t="shared" si="7"/>
        <v>Europe</v>
      </c>
      <c r="B117" s="904" t="str">
        <f t="shared" si="7"/>
        <v>Italy</v>
      </c>
      <c r="C117" s="904" t="str">
        <f t="shared" si="7"/>
        <v>Gaming</v>
      </c>
      <c r="D117" s="904" t="str">
        <f t="shared" si="7"/>
        <v>Casino Live Casino</v>
      </c>
      <c r="E117" s="904" t="str">
        <f t="shared" si="7"/>
        <v>Onshore Online</v>
      </c>
      <c r="F117" s="903" t="s">
        <v>89</v>
      </c>
      <c r="G117" s="914" t="str">
        <f t="shared" si="11"/>
        <v>-</v>
      </c>
      <c r="H117" s="914" t="str">
        <f t="shared" si="11"/>
        <v>-</v>
      </c>
      <c r="I117" s="914" t="str">
        <f t="shared" si="11"/>
        <v>-</v>
      </c>
      <c r="J117" s="914" t="str">
        <f t="shared" si="11"/>
        <v>-</v>
      </c>
      <c r="K117" s="914" t="str">
        <f t="shared" si="11"/>
        <v>-</v>
      </c>
      <c r="L117" s="914" t="str">
        <f t="shared" si="11"/>
        <v>-</v>
      </c>
      <c r="M117" s="914" t="str">
        <f t="shared" si="11"/>
        <v>-</v>
      </c>
      <c r="N117" s="914" t="str">
        <f t="shared" si="11"/>
        <v>-</v>
      </c>
      <c r="O117" s="914">
        <f t="shared" si="11"/>
        <v>3.1565227851411026E-2</v>
      </c>
      <c r="P117" s="914">
        <f t="shared" si="11"/>
        <v>2.6539879724564674E-2</v>
      </c>
      <c r="Q117" s="914">
        <f t="shared" si="11"/>
        <v>3.0263182683162238E-2</v>
      </c>
      <c r="R117" s="914">
        <f t="shared" si="11"/>
        <v>3.1407997893852735E-2</v>
      </c>
      <c r="S117" s="914">
        <f t="shared" si="11"/>
        <v>2.8028650123435753E-2</v>
      </c>
      <c r="T117" s="914">
        <f t="shared" si="11"/>
        <v>3.7386779726344188E-2</v>
      </c>
      <c r="U117" s="914">
        <f t="shared" si="11"/>
        <v>3.4886572654813E-2</v>
      </c>
      <c r="V117" s="914">
        <f t="shared" si="11"/>
        <v>3.5934908796497793E-2</v>
      </c>
      <c r="W117" s="914">
        <f t="shared" si="11"/>
        <v>3.5649569430891384E-2</v>
      </c>
      <c r="X117" s="914">
        <f t="shared" si="11"/>
        <v>3.5661179008643906E-2</v>
      </c>
      <c r="Y117" s="914">
        <f t="shared" si="11"/>
        <v>3.5529138213466517E-2</v>
      </c>
      <c r="Z117" s="914">
        <f t="shared" si="11"/>
        <v>3.5774307878211675E-2</v>
      </c>
      <c r="AA117" s="914">
        <f t="shared" si="11"/>
        <v>3.5774307878211668E-2</v>
      </c>
      <c r="AB117" s="914">
        <f t="shared" si="11"/>
        <v>3.5774307878211675E-2</v>
      </c>
      <c r="AC117" s="914">
        <f t="shared" si="11"/>
        <v>3.5774307878211675E-2</v>
      </c>
      <c r="AD117" s="914">
        <f t="shared" si="11"/>
        <v>3.5774307878211675E-2</v>
      </c>
      <c r="AE117" s="914">
        <f t="shared" si="11"/>
        <v>3.5774307878211675E-2</v>
      </c>
      <c r="AF117" s="914">
        <f t="shared" si="11"/>
        <v>3.5774307878211675E-2</v>
      </c>
      <c r="AG117" s="914">
        <f t="shared" si="11"/>
        <v>3.5774307878211682E-2</v>
      </c>
      <c r="AH117" s="914">
        <f t="shared" si="10"/>
        <v>3.5774307878211675E-2</v>
      </c>
    </row>
    <row r="118" spans="1:34" s="906" customFormat="1" ht="15">
      <c r="A118" s="904" t="str">
        <f t="shared" si="7"/>
        <v>Europe</v>
      </c>
      <c r="B118" s="904" t="str">
        <f t="shared" si="7"/>
        <v>Italy</v>
      </c>
      <c r="C118" s="904" t="str">
        <f t="shared" si="7"/>
        <v>Gaming</v>
      </c>
      <c r="D118" s="904" t="str">
        <f t="shared" si="7"/>
        <v>Poker</v>
      </c>
      <c r="E118" s="904" t="str">
        <f t="shared" si="7"/>
        <v>Onshore Online</v>
      </c>
      <c r="F118" s="903" t="s">
        <v>89</v>
      </c>
      <c r="G118" s="914" t="str">
        <f t="shared" si="11"/>
        <v>-</v>
      </c>
      <c r="H118" s="914" t="str">
        <f t="shared" si="11"/>
        <v>-</v>
      </c>
      <c r="I118" s="914" t="str">
        <f t="shared" si="11"/>
        <v>-</v>
      </c>
      <c r="J118" s="914" t="str">
        <f t="shared" si="11"/>
        <v>-</v>
      </c>
      <c r="K118" s="914" t="str">
        <f t="shared" si="11"/>
        <v>-</v>
      </c>
      <c r="L118" s="914">
        <f t="shared" si="11"/>
        <v>0.12226290366153622</v>
      </c>
      <c r="M118" s="914">
        <f t="shared" si="11"/>
        <v>0.12226290366153626</v>
      </c>
      <c r="N118" s="914">
        <f t="shared" si="11"/>
        <v>0.11967662029895898</v>
      </c>
      <c r="O118" s="914">
        <f t="shared" si="11"/>
        <v>5.6026176560119316E-2</v>
      </c>
      <c r="P118" s="914">
        <f t="shared" si="11"/>
        <v>4.2198541783609878E-2</v>
      </c>
      <c r="Q118" s="914">
        <f t="shared" si="11"/>
        <v>4.4100259503824429E-2</v>
      </c>
      <c r="R118" s="914">
        <f t="shared" si="11"/>
        <v>4.5057510639981403E-2</v>
      </c>
      <c r="S118" s="914">
        <f t="shared" si="11"/>
        <v>3.5922684172137127E-2</v>
      </c>
      <c r="T118" s="914">
        <f t="shared" si="11"/>
        <v>3.3367911479944674E-2</v>
      </c>
      <c r="U118" s="914">
        <f t="shared" si="11"/>
        <v>4.442508710801394E-2</v>
      </c>
      <c r="V118" s="914">
        <f t="shared" si="11"/>
        <v>4.5836036410975986E-2</v>
      </c>
      <c r="W118" s="914">
        <f t="shared" si="11"/>
        <v>4.5706831306070339E-2</v>
      </c>
      <c r="X118" s="914">
        <f t="shared" si="11"/>
        <v>4.7620601324193761E-2</v>
      </c>
      <c r="Y118" s="914">
        <f t="shared" si="11"/>
        <v>6.736461884662602E-2</v>
      </c>
      <c r="Z118" s="914">
        <f t="shared" si="11"/>
        <v>4.3911507467711636E-2</v>
      </c>
      <c r="AA118" s="914">
        <f t="shared" si="11"/>
        <v>4.5253445924102534E-2</v>
      </c>
      <c r="AB118" s="914">
        <f t="shared" si="11"/>
        <v>4.6503126182771949E-2</v>
      </c>
      <c r="AC118" s="914">
        <f t="shared" si="11"/>
        <v>4.6607590551331027E-2</v>
      </c>
      <c r="AD118" s="914">
        <f t="shared" si="11"/>
        <v>4.6668278556291104E-2</v>
      </c>
      <c r="AE118" s="914">
        <f t="shared" si="11"/>
        <v>4.6717880329589401E-2</v>
      </c>
      <c r="AF118" s="914">
        <f t="shared" si="11"/>
        <v>4.6757725870197088E-2</v>
      </c>
      <c r="AG118" s="914">
        <f t="shared" si="11"/>
        <v>4.6789522810414083E-2</v>
      </c>
      <c r="AH118" s="914">
        <f t="shared" si="10"/>
        <v>4.6814785960026903E-2</v>
      </c>
    </row>
    <row r="119" spans="1:34" s="906" customFormat="1" ht="15">
      <c r="A119" s="904" t="str">
        <f t="shared" si="7"/>
        <v>Europe</v>
      </c>
      <c r="B119" s="904" t="str">
        <f t="shared" si="7"/>
        <v>Italy</v>
      </c>
      <c r="C119" s="904" t="str">
        <f t="shared" si="7"/>
        <v>Gaming</v>
      </c>
      <c r="D119" s="904" t="str">
        <f t="shared" si="7"/>
        <v>Bingo/Other Gaming</v>
      </c>
      <c r="E119" s="904" t="str">
        <f t="shared" si="7"/>
        <v>Onshore Online</v>
      </c>
      <c r="F119" s="903" t="s">
        <v>89</v>
      </c>
      <c r="G119" s="914" t="str">
        <f t="shared" si="11"/>
        <v>-</v>
      </c>
      <c r="H119" s="914" t="str">
        <f t="shared" si="11"/>
        <v>-</v>
      </c>
      <c r="I119" s="914" t="str">
        <f t="shared" si="11"/>
        <v>-</v>
      </c>
      <c r="J119" s="914" t="str">
        <f t="shared" si="11"/>
        <v>-</v>
      </c>
      <c r="K119" s="914" t="str">
        <f t="shared" si="11"/>
        <v>-</v>
      </c>
      <c r="L119" s="914" t="str">
        <f t="shared" si="11"/>
        <v>-</v>
      </c>
      <c r="M119" s="914">
        <f t="shared" si="11"/>
        <v>0.31215520226310861</v>
      </c>
      <c r="N119" s="914">
        <f t="shared" si="11"/>
        <v>0.30543123225469726</v>
      </c>
      <c r="O119" s="914">
        <f t="shared" si="11"/>
        <v>0.27996455459459463</v>
      </c>
      <c r="P119" s="914">
        <f t="shared" si="11"/>
        <v>0.3278502552467385</v>
      </c>
      <c r="Q119" s="914">
        <f t="shared" si="11"/>
        <v>0.36600757257046695</v>
      </c>
      <c r="R119" s="914">
        <f t="shared" si="11"/>
        <v>0.34174876847290642</v>
      </c>
      <c r="S119" s="914">
        <f t="shared" si="11"/>
        <v>0.29662077596996245</v>
      </c>
      <c r="T119" s="914">
        <f t="shared" si="11"/>
        <v>0.29151061173533083</v>
      </c>
      <c r="U119" s="914">
        <f t="shared" si="11"/>
        <v>0.29524397776405187</v>
      </c>
      <c r="V119" s="914">
        <f t="shared" si="11"/>
        <v>0.29690346083788705</v>
      </c>
      <c r="W119" s="914">
        <f t="shared" si="11"/>
        <v>0.2943670502725621</v>
      </c>
      <c r="X119" s="914">
        <f t="shared" si="11"/>
        <v>0.2943670502725621</v>
      </c>
      <c r="Y119" s="914">
        <f t="shared" si="11"/>
        <v>0.28932651858981273</v>
      </c>
      <c r="Z119" s="914">
        <f t="shared" si="11"/>
        <v>0.32648893180255245</v>
      </c>
      <c r="AA119" s="914">
        <f t="shared" si="11"/>
        <v>0.31344942095357997</v>
      </c>
      <c r="AB119" s="914">
        <f t="shared" si="11"/>
        <v>0.31344942095357997</v>
      </c>
      <c r="AC119" s="914">
        <f t="shared" si="11"/>
        <v>0.31344942095357997</v>
      </c>
      <c r="AD119" s="914">
        <f t="shared" si="11"/>
        <v>0.31344942095357997</v>
      </c>
      <c r="AE119" s="914">
        <f t="shared" si="11"/>
        <v>0.31344942095357997</v>
      </c>
      <c r="AF119" s="914">
        <f t="shared" si="11"/>
        <v>0.31344942095357997</v>
      </c>
      <c r="AG119" s="914">
        <f t="shared" si="11"/>
        <v>0.31344942095357997</v>
      </c>
      <c r="AH119" s="914">
        <f t="shared" si="10"/>
        <v>0.31344942095357997</v>
      </c>
    </row>
    <row r="120" spans="1:34" s="906" customFormat="1" ht="15">
      <c r="A120" s="904" t="str">
        <f t="shared" si="7"/>
        <v>Europe</v>
      </c>
      <c r="B120" s="904" t="str">
        <f t="shared" si="7"/>
        <v>Italy</v>
      </c>
      <c r="C120" s="904" t="str">
        <f t="shared" si="7"/>
        <v>Lottery</v>
      </c>
      <c r="D120" s="904" t="str">
        <f t="shared" si="7"/>
        <v>Draw Lottery</v>
      </c>
      <c r="E120" s="904" t="str">
        <f t="shared" si="7"/>
        <v>Onshore Online</v>
      </c>
      <c r="F120" s="903" t="s">
        <v>89</v>
      </c>
      <c r="G120" s="914" t="str">
        <f t="shared" si="11"/>
        <v>-</v>
      </c>
      <c r="H120" s="914" t="str">
        <f t="shared" si="11"/>
        <v>-</v>
      </c>
      <c r="I120" s="914" t="str">
        <f t="shared" si="11"/>
        <v>-</v>
      </c>
      <c r="J120" s="914" t="str">
        <f t="shared" si="11"/>
        <v>-</v>
      </c>
      <c r="K120" s="914" t="str">
        <f t="shared" si="11"/>
        <v>-</v>
      </c>
      <c r="L120" s="914" t="str">
        <f t="shared" si="11"/>
        <v>-</v>
      </c>
      <c r="M120" s="914">
        <f t="shared" si="11"/>
        <v>0.54416386103641745</v>
      </c>
      <c r="N120" s="914">
        <f t="shared" si="11"/>
        <v>0.52450706337878095</v>
      </c>
      <c r="O120" s="914">
        <f t="shared" si="11"/>
        <v>0.46025231477546802</v>
      </c>
      <c r="P120" s="914">
        <f t="shared" si="11"/>
        <v>0.39374999999999999</v>
      </c>
      <c r="Q120" s="914">
        <f t="shared" si="11"/>
        <v>0.38929030082112887</v>
      </c>
      <c r="R120" s="914">
        <f t="shared" si="11"/>
        <v>0.3616476909300243</v>
      </c>
      <c r="S120" s="914">
        <f t="shared" si="11"/>
        <v>0.36387112641416625</v>
      </c>
      <c r="T120" s="914">
        <f t="shared" si="11"/>
        <v>0.39267990074441683</v>
      </c>
      <c r="U120" s="914">
        <f t="shared" si="11"/>
        <v>0.33773731542133895</v>
      </c>
      <c r="V120" s="914">
        <f t="shared" si="11"/>
        <v>0.31030872519723501</v>
      </c>
      <c r="W120" s="914">
        <f t="shared" si="11"/>
        <v>0.3084571418241201</v>
      </c>
      <c r="X120" s="914">
        <f t="shared" si="11"/>
        <v>0.31725903885563267</v>
      </c>
      <c r="Y120" s="914">
        <f t="shared" si="11"/>
        <v>0.31245339971618924</v>
      </c>
      <c r="Z120" s="914">
        <f t="shared" si="11"/>
        <v>0.34217226265986778</v>
      </c>
      <c r="AA120" s="914">
        <f t="shared" si="11"/>
        <v>0.28496815184436669</v>
      </c>
      <c r="AB120" s="914">
        <f t="shared" si="11"/>
        <v>0.31975181607873127</v>
      </c>
      <c r="AC120" s="914">
        <f t="shared" si="11"/>
        <v>0.31913326777988982</v>
      </c>
      <c r="AD120" s="914">
        <f t="shared" si="11"/>
        <v>0.31735071659289671</v>
      </c>
      <c r="AE120" s="914">
        <f t="shared" si="11"/>
        <v>0.31870998241343973</v>
      </c>
      <c r="AF120" s="914">
        <f t="shared" si="11"/>
        <v>0.31843352444561862</v>
      </c>
      <c r="AG120" s="914">
        <f t="shared" si="11"/>
        <v>0.31823125271320546</v>
      </c>
      <c r="AH120" s="914">
        <f t="shared" si="10"/>
        <v>0.31853619007867112</v>
      </c>
    </row>
    <row r="121" spans="1:34" s="906" customFormat="1" ht="15">
      <c r="A121" s="904" t="str">
        <f t="shared" ref="A121:E132" si="12">A85</f>
        <v>Europe</v>
      </c>
      <c r="B121" s="904" t="str">
        <f t="shared" si="12"/>
        <v>Italy</v>
      </c>
      <c r="C121" s="904" t="str">
        <f t="shared" si="12"/>
        <v>Lottery</v>
      </c>
      <c r="D121" s="904" t="str">
        <f t="shared" si="12"/>
        <v>Instant Lottery</v>
      </c>
      <c r="E121" s="904" t="str">
        <f t="shared" si="12"/>
        <v>Onshore Online</v>
      </c>
      <c r="F121" s="903" t="s">
        <v>89</v>
      </c>
      <c r="G121" s="914" t="str">
        <f t="shared" si="11"/>
        <v>-</v>
      </c>
      <c r="H121" s="914" t="str">
        <f t="shared" si="11"/>
        <v>-</v>
      </c>
      <c r="I121" s="914" t="str">
        <f t="shared" si="11"/>
        <v>-</v>
      </c>
      <c r="J121" s="914" t="str">
        <f t="shared" si="11"/>
        <v>-</v>
      </c>
      <c r="K121" s="914" t="str">
        <f t="shared" si="11"/>
        <v>-</v>
      </c>
      <c r="L121" s="914" t="str">
        <f t="shared" si="11"/>
        <v>-</v>
      </c>
      <c r="M121" s="914" t="str">
        <f t="shared" si="11"/>
        <v>-</v>
      </c>
      <c r="N121" s="914" t="str">
        <f t="shared" si="11"/>
        <v>-</v>
      </c>
      <c r="O121" s="914" t="str">
        <f t="shared" si="11"/>
        <v>-</v>
      </c>
      <c r="P121" s="914">
        <f t="shared" si="11"/>
        <v>0.2853338795575584</v>
      </c>
      <c r="Q121" s="914">
        <f t="shared" si="11"/>
        <v>0.27631551569879942</v>
      </c>
      <c r="R121" s="914">
        <f t="shared" si="11"/>
        <v>0.27631857657275999</v>
      </c>
      <c r="S121" s="914">
        <f t="shared" si="11"/>
        <v>0.27143330023171136</v>
      </c>
      <c r="T121" s="914">
        <f t="shared" si="11"/>
        <v>0.27068255205433694</v>
      </c>
      <c r="U121" s="914">
        <f t="shared" si="11"/>
        <v>0.26761800219538967</v>
      </c>
      <c r="V121" s="914">
        <f t="shared" si="11"/>
        <v>0.26254870539148806</v>
      </c>
      <c r="W121" s="914">
        <f t="shared" si="11"/>
        <v>0.26906934632852303</v>
      </c>
      <c r="X121" s="914">
        <f t="shared" si="11"/>
        <v>0.25882378863792999</v>
      </c>
      <c r="Y121" s="914">
        <f t="shared" si="11"/>
        <v>0.26387412956668094</v>
      </c>
      <c r="Z121" s="914">
        <f t="shared" si="11"/>
        <v>0.25746567274231402</v>
      </c>
      <c r="AA121" s="914">
        <f t="shared" si="11"/>
        <v>0.25716932395427561</v>
      </c>
      <c r="AB121" s="914">
        <f t="shared" si="11"/>
        <v>0.2600060435626661</v>
      </c>
      <c r="AC121" s="914">
        <f t="shared" si="11"/>
        <v>0.25950304208775682</v>
      </c>
      <c r="AD121" s="914">
        <f t="shared" si="11"/>
        <v>0.25950304208775682</v>
      </c>
      <c r="AE121" s="914">
        <f t="shared" si="11"/>
        <v>0.25950304208775682</v>
      </c>
      <c r="AF121" s="914">
        <f t="shared" si="11"/>
        <v>0.25950304208775682</v>
      </c>
      <c r="AG121" s="914">
        <f t="shared" si="11"/>
        <v>0.25950304208775682</v>
      </c>
      <c r="AH121" s="914">
        <f t="shared" si="10"/>
        <v>0.25950304208775687</v>
      </c>
    </row>
    <row r="122" spans="1:34" s="906" customFormat="1" ht="15">
      <c r="A122" s="907" t="str">
        <f t="shared" si="12"/>
        <v>Europe</v>
      </c>
      <c r="B122" s="907" t="str">
        <f t="shared" si="12"/>
        <v>Italy</v>
      </c>
      <c r="C122" s="907" t="str">
        <f t="shared" si="12"/>
        <v>Lottery</v>
      </c>
      <c r="D122" s="907" t="str">
        <f t="shared" si="12"/>
        <v>Other Lottery</v>
      </c>
      <c r="E122" s="907" t="str">
        <f t="shared" si="12"/>
        <v>Onshore Online</v>
      </c>
      <c r="F122" s="908" t="s">
        <v>89</v>
      </c>
      <c r="G122" s="915" t="str">
        <f t="shared" si="11"/>
        <v>-</v>
      </c>
      <c r="H122" s="915" t="str">
        <f t="shared" si="11"/>
        <v>-</v>
      </c>
      <c r="I122" s="915" t="str">
        <f t="shared" si="11"/>
        <v>-</v>
      </c>
      <c r="J122" s="915" t="str">
        <f t="shared" si="11"/>
        <v>-</v>
      </c>
      <c r="K122" s="915" t="str">
        <f t="shared" si="11"/>
        <v>-</v>
      </c>
      <c r="L122" s="915" t="str">
        <f t="shared" si="11"/>
        <v>-</v>
      </c>
      <c r="M122" s="915" t="str">
        <f t="shared" si="11"/>
        <v>-</v>
      </c>
      <c r="N122" s="915" t="str">
        <f t="shared" si="11"/>
        <v>-</v>
      </c>
      <c r="O122" s="915" t="str">
        <f t="shared" si="11"/>
        <v>-</v>
      </c>
      <c r="P122" s="915" t="str">
        <f t="shared" si="11"/>
        <v>-</v>
      </c>
      <c r="Q122" s="915" t="str">
        <f t="shared" si="11"/>
        <v>-</v>
      </c>
      <c r="R122" s="915" t="str">
        <f t="shared" si="11"/>
        <v>-</v>
      </c>
      <c r="S122" s="915" t="str">
        <f t="shared" si="11"/>
        <v>-</v>
      </c>
      <c r="T122" s="915" t="str">
        <f t="shared" si="11"/>
        <v>-</v>
      </c>
      <c r="U122" s="915" t="str">
        <f t="shared" si="11"/>
        <v>-</v>
      </c>
      <c r="V122" s="915" t="str">
        <f t="shared" si="11"/>
        <v>-</v>
      </c>
      <c r="W122" s="915" t="str">
        <f t="shared" si="11"/>
        <v>-</v>
      </c>
      <c r="X122" s="915" t="str">
        <f t="shared" si="11"/>
        <v>-</v>
      </c>
      <c r="Y122" s="915" t="str">
        <f t="shared" si="11"/>
        <v>-</v>
      </c>
      <c r="Z122" s="915" t="str">
        <f t="shared" si="11"/>
        <v>-</v>
      </c>
      <c r="AA122" s="915" t="str">
        <f t="shared" si="11"/>
        <v>-</v>
      </c>
      <c r="AB122" s="915" t="str">
        <f t="shared" si="11"/>
        <v>-</v>
      </c>
      <c r="AC122" s="915" t="str">
        <f t="shared" si="11"/>
        <v>-</v>
      </c>
      <c r="AD122" s="915" t="str">
        <f t="shared" si="11"/>
        <v>-</v>
      </c>
      <c r="AE122" s="915" t="str">
        <f t="shared" si="11"/>
        <v>-</v>
      </c>
      <c r="AF122" s="915" t="str">
        <f t="shared" si="11"/>
        <v>-</v>
      </c>
      <c r="AG122" s="915" t="str">
        <f t="shared" si="11"/>
        <v>-</v>
      </c>
      <c r="AH122" s="915" t="str">
        <f t="shared" si="10"/>
        <v>-</v>
      </c>
    </row>
    <row r="123" spans="1:34" s="906" customFormat="1" ht="15">
      <c r="A123" s="904" t="str">
        <f t="shared" si="12"/>
        <v>Europe</v>
      </c>
      <c r="B123" s="904" t="str">
        <f t="shared" si="12"/>
        <v>Italy</v>
      </c>
      <c r="C123" s="904" t="str">
        <f t="shared" si="12"/>
        <v>Betting</v>
      </c>
      <c r="D123" s="904" t="str">
        <f t="shared" si="12"/>
        <v>Race Betting</v>
      </c>
      <c r="E123" s="904" t="str">
        <f t="shared" si="12"/>
        <v>Offshore Online</v>
      </c>
      <c r="F123" s="903" t="s">
        <v>89</v>
      </c>
      <c r="G123" s="914">
        <f t="shared" si="11"/>
        <v>7.4999999999999997E-2</v>
      </c>
      <c r="H123" s="914">
        <f t="shared" si="11"/>
        <v>7.4999999999999997E-2</v>
      </c>
      <c r="I123" s="914">
        <f t="shared" si="11"/>
        <v>7.4999999999999983E-2</v>
      </c>
      <c r="J123" s="914">
        <f t="shared" si="11"/>
        <v>7.4999999999999997E-2</v>
      </c>
      <c r="K123" s="914">
        <f t="shared" si="11"/>
        <v>7.4999999999999997E-2</v>
      </c>
      <c r="L123" s="914">
        <f t="shared" si="11"/>
        <v>7.4999999999999997E-2</v>
      </c>
      <c r="M123" s="914">
        <f t="shared" si="11"/>
        <v>7.4999999999999997E-2</v>
      </c>
      <c r="N123" s="914">
        <f t="shared" si="11"/>
        <v>7.4999999999999997E-2</v>
      </c>
      <c r="O123" s="914">
        <f t="shared" si="11"/>
        <v>7.4999999999999997E-2</v>
      </c>
      <c r="P123" s="914">
        <f t="shared" si="11"/>
        <v>7.4999999999999997E-2</v>
      </c>
      <c r="Q123" s="914">
        <f t="shared" si="11"/>
        <v>7.4999999999999997E-2</v>
      </c>
      <c r="R123" s="914">
        <f t="shared" si="11"/>
        <v>7.4999999999999997E-2</v>
      </c>
      <c r="S123" s="914">
        <f t="shared" si="11"/>
        <v>7.4999999999999997E-2</v>
      </c>
      <c r="T123" s="914">
        <f t="shared" si="11"/>
        <v>7.4999999999999997E-2</v>
      </c>
      <c r="U123" s="914">
        <f t="shared" si="11"/>
        <v>7.4999999999999997E-2</v>
      </c>
      <c r="V123" s="914">
        <f t="shared" si="11"/>
        <v>7.4999999999999997E-2</v>
      </c>
      <c r="W123" s="914">
        <f t="shared" si="11"/>
        <v>7.4999999999999997E-2</v>
      </c>
      <c r="X123" s="914">
        <f t="shared" si="11"/>
        <v>7.4999999999999997E-2</v>
      </c>
      <c r="Y123" s="914">
        <f t="shared" si="11"/>
        <v>7.4999999999999997E-2</v>
      </c>
      <c r="Z123" s="914">
        <f t="shared" si="11"/>
        <v>7.4999999999999997E-2</v>
      </c>
      <c r="AA123" s="914">
        <f t="shared" si="11"/>
        <v>7.4999999999999997E-2</v>
      </c>
      <c r="AB123" s="914">
        <f t="shared" si="11"/>
        <v>7.4999999999999997E-2</v>
      </c>
      <c r="AC123" s="914">
        <f t="shared" si="11"/>
        <v>7.4999999999999997E-2</v>
      </c>
      <c r="AD123" s="914">
        <f t="shared" si="11"/>
        <v>7.4999999999999997E-2</v>
      </c>
      <c r="AE123" s="914">
        <f t="shared" si="11"/>
        <v>7.4999999999999997E-2</v>
      </c>
      <c r="AF123" s="914">
        <f t="shared" si="11"/>
        <v>7.4999999999999997E-2</v>
      </c>
      <c r="AG123" s="914">
        <f t="shared" si="11"/>
        <v>7.4999999999999997E-2</v>
      </c>
      <c r="AH123" s="914">
        <f t="shared" si="10"/>
        <v>7.4999999999999997E-2</v>
      </c>
    </row>
    <row r="124" spans="1:34" s="906" customFormat="1" ht="15">
      <c r="A124" s="904" t="str">
        <f t="shared" si="12"/>
        <v>Europe</v>
      </c>
      <c r="B124" s="904" t="str">
        <f t="shared" si="12"/>
        <v>Italy</v>
      </c>
      <c r="C124" s="904" t="str">
        <f t="shared" si="12"/>
        <v>Betting</v>
      </c>
      <c r="D124" s="904" t="str">
        <f t="shared" si="12"/>
        <v>Sport Betting</v>
      </c>
      <c r="E124" s="904" t="str">
        <f t="shared" si="12"/>
        <v>Offshore Online</v>
      </c>
      <c r="F124" s="903" t="s">
        <v>89</v>
      </c>
      <c r="G124" s="914">
        <f t="shared" si="11"/>
        <v>7.4999999999999997E-2</v>
      </c>
      <c r="H124" s="914">
        <f t="shared" si="11"/>
        <v>7.4999999999999997E-2</v>
      </c>
      <c r="I124" s="914">
        <f t="shared" si="11"/>
        <v>7.4999999999999997E-2</v>
      </c>
      <c r="J124" s="914">
        <f t="shared" si="11"/>
        <v>7.4999999999999997E-2</v>
      </c>
      <c r="K124" s="914">
        <f t="shared" si="11"/>
        <v>7.4999999999999997E-2</v>
      </c>
      <c r="L124" s="914">
        <f t="shared" si="11"/>
        <v>7.4999999999999997E-2</v>
      </c>
      <c r="M124" s="914">
        <f t="shared" si="11"/>
        <v>7.4999999999999997E-2</v>
      </c>
      <c r="N124" s="914">
        <f t="shared" si="11"/>
        <v>7.4999999999999997E-2</v>
      </c>
      <c r="O124" s="914">
        <f t="shared" si="11"/>
        <v>7.4999999999999997E-2</v>
      </c>
      <c r="P124" s="914">
        <f t="shared" si="11"/>
        <v>7.4999999999999997E-2</v>
      </c>
      <c r="Q124" s="914">
        <f t="shared" si="11"/>
        <v>7.4999999999999997E-2</v>
      </c>
      <c r="R124" s="914">
        <f t="shared" si="11"/>
        <v>7.4999999999999983E-2</v>
      </c>
      <c r="S124" s="914">
        <f t="shared" ref="S124:AG124" si="13">IFERROR(S88/S52,"-")</f>
        <v>7.4999999999999997E-2</v>
      </c>
      <c r="T124" s="914">
        <f t="shared" si="13"/>
        <v>7.4999999999999997E-2</v>
      </c>
      <c r="U124" s="914">
        <f t="shared" si="13"/>
        <v>7.4999999999999997E-2</v>
      </c>
      <c r="V124" s="914">
        <f t="shared" si="13"/>
        <v>7.4999999999999997E-2</v>
      </c>
      <c r="W124" s="914">
        <f t="shared" si="13"/>
        <v>7.4999999999999997E-2</v>
      </c>
      <c r="X124" s="914">
        <f t="shared" si="13"/>
        <v>7.4999999999999997E-2</v>
      </c>
      <c r="Y124" s="914">
        <f t="shared" si="13"/>
        <v>7.4999999999999983E-2</v>
      </c>
      <c r="Z124" s="914">
        <f t="shared" si="13"/>
        <v>7.4999999999999997E-2</v>
      </c>
      <c r="AA124" s="914">
        <f t="shared" si="13"/>
        <v>7.4999999999999997E-2</v>
      </c>
      <c r="AB124" s="914">
        <f t="shared" si="13"/>
        <v>7.4999999999999997E-2</v>
      </c>
      <c r="AC124" s="914">
        <f t="shared" si="13"/>
        <v>7.4999999999999997E-2</v>
      </c>
      <c r="AD124" s="914">
        <f t="shared" si="13"/>
        <v>7.4999999999999997E-2</v>
      </c>
      <c r="AE124" s="914">
        <f t="shared" si="13"/>
        <v>7.4999999999999997E-2</v>
      </c>
      <c r="AF124" s="914">
        <f t="shared" si="13"/>
        <v>7.4999999999999997E-2</v>
      </c>
      <c r="AG124" s="914">
        <f t="shared" si="13"/>
        <v>7.4999999999999997E-2</v>
      </c>
      <c r="AH124" s="914">
        <f t="shared" ref="AH124" si="14">IFERROR(AH88/AH52,"-")</f>
        <v>7.4999999999999997E-2</v>
      </c>
    </row>
    <row r="125" spans="1:34" s="906" customFormat="1" ht="15">
      <c r="A125" s="904" t="str">
        <f t="shared" si="12"/>
        <v>Europe</v>
      </c>
      <c r="B125" s="904" t="str">
        <f t="shared" si="12"/>
        <v>Italy</v>
      </c>
      <c r="C125" s="904" t="str">
        <f t="shared" si="12"/>
        <v>Gaming</v>
      </c>
      <c r="D125" s="904" t="str">
        <f t="shared" si="12"/>
        <v>Casino Slots</v>
      </c>
      <c r="E125" s="904" t="str">
        <f t="shared" si="12"/>
        <v>Offshore Online</v>
      </c>
      <c r="F125" s="903" t="s">
        <v>89</v>
      </c>
      <c r="G125" s="914">
        <f t="shared" ref="G125:AG132" si="15">IFERROR(G89/G53,"-")</f>
        <v>0.05</v>
      </c>
      <c r="H125" s="914">
        <f t="shared" si="15"/>
        <v>0.05</v>
      </c>
      <c r="I125" s="914">
        <f t="shared" si="15"/>
        <v>5.000000000000001E-2</v>
      </c>
      <c r="J125" s="914">
        <f t="shared" si="15"/>
        <v>0.05</v>
      </c>
      <c r="K125" s="914">
        <f t="shared" si="15"/>
        <v>0.05</v>
      </c>
      <c r="L125" s="914">
        <f t="shared" si="15"/>
        <v>0.05</v>
      </c>
      <c r="M125" s="914">
        <f t="shared" si="15"/>
        <v>0.05</v>
      </c>
      <c r="N125" s="914">
        <f t="shared" si="15"/>
        <v>0.05</v>
      </c>
      <c r="O125" s="914">
        <f t="shared" si="15"/>
        <v>0.05</v>
      </c>
      <c r="P125" s="914">
        <f t="shared" si="15"/>
        <v>0.05</v>
      </c>
      <c r="Q125" s="914">
        <f t="shared" si="15"/>
        <v>0.05</v>
      </c>
      <c r="R125" s="914">
        <f t="shared" si="15"/>
        <v>0.05</v>
      </c>
      <c r="S125" s="914">
        <f t="shared" si="15"/>
        <v>0.05</v>
      </c>
      <c r="T125" s="914">
        <f t="shared" si="15"/>
        <v>0.05</v>
      </c>
      <c r="U125" s="914">
        <f t="shared" si="15"/>
        <v>0.05</v>
      </c>
      <c r="V125" s="914">
        <f t="shared" si="15"/>
        <v>0.05</v>
      </c>
      <c r="W125" s="914">
        <f t="shared" si="15"/>
        <v>0.05</v>
      </c>
      <c r="X125" s="914">
        <f t="shared" si="15"/>
        <v>0.05</v>
      </c>
      <c r="Y125" s="914">
        <f t="shared" si="15"/>
        <v>0.05</v>
      </c>
      <c r="Z125" s="914">
        <f t="shared" si="15"/>
        <v>0.05</v>
      </c>
      <c r="AA125" s="914">
        <f t="shared" si="15"/>
        <v>0.05</v>
      </c>
      <c r="AB125" s="914">
        <f t="shared" si="15"/>
        <v>5.000000000000001E-2</v>
      </c>
      <c r="AC125" s="914">
        <f t="shared" si="15"/>
        <v>5.000000000000001E-2</v>
      </c>
      <c r="AD125" s="914">
        <f t="shared" si="15"/>
        <v>0.05</v>
      </c>
      <c r="AE125" s="914">
        <f t="shared" si="15"/>
        <v>0.05</v>
      </c>
      <c r="AF125" s="914">
        <f t="shared" si="15"/>
        <v>0.05</v>
      </c>
      <c r="AG125" s="914">
        <f t="shared" si="15"/>
        <v>4.9999999999999996E-2</v>
      </c>
      <c r="AH125" s="914">
        <f t="shared" ref="AH125" si="16">IFERROR(AH89/AH53,"-")</f>
        <v>4.9999999999999996E-2</v>
      </c>
    </row>
    <row r="126" spans="1:34" s="906" customFormat="1" ht="15">
      <c r="A126" s="904" t="str">
        <f t="shared" si="12"/>
        <v>Europe</v>
      </c>
      <c r="B126" s="904" t="str">
        <f t="shared" si="12"/>
        <v>Italy</v>
      </c>
      <c r="C126" s="904" t="str">
        <f t="shared" si="12"/>
        <v>Gaming</v>
      </c>
      <c r="D126" s="904" t="str">
        <f t="shared" si="12"/>
        <v>Casino RNG</v>
      </c>
      <c r="E126" s="904" t="str">
        <f t="shared" si="12"/>
        <v>Offshore Online</v>
      </c>
      <c r="F126" s="903" t="s">
        <v>89</v>
      </c>
      <c r="G126" s="914">
        <f t="shared" si="15"/>
        <v>2.5000000000000001E-2</v>
      </c>
      <c r="H126" s="914">
        <f t="shared" si="15"/>
        <v>2.5000000000000001E-2</v>
      </c>
      <c r="I126" s="914">
        <f t="shared" si="15"/>
        <v>2.5000000000000001E-2</v>
      </c>
      <c r="J126" s="914">
        <f t="shared" si="15"/>
        <v>2.5000000000000001E-2</v>
      </c>
      <c r="K126" s="914">
        <f t="shared" si="15"/>
        <v>2.5000000000000001E-2</v>
      </c>
      <c r="L126" s="914">
        <f t="shared" si="15"/>
        <v>2.5000000000000001E-2</v>
      </c>
      <c r="M126" s="914">
        <f t="shared" si="15"/>
        <v>2.5000000000000001E-2</v>
      </c>
      <c r="N126" s="914">
        <f t="shared" si="15"/>
        <v>2.4999999999999998E-2</v>
      </c>
      <c r="O126" s="914">
        <f t="shared" si="15"/>
        <v>2.5000000000000005E-2</v>
      </c>
      <c r="P126" s="914">
        <f t="shared" si="15"/>
        <v>2.5000000000000001E-2</v>
      </c>
      <c r="Q126" s="914">
        <f t="shared" si="15"/>
        <v>2.5000000000000001E-2</v>
      </c>
      <c r="R126" s="914">
        <f t="shared" si="15"/>
        <v>2.4999999999999998E-2</v>
      </c>
      <c r="S126" s="914">
        <f t="shared" si="15"/>
        <v>2.5000000000000001E-2</v>
      </c>
      <c r="T126" s="914">
        <f t="shared" si="15"/>
        <v>2.5000000000000001E-2</v>
      </c>
      <c r="U126" s="914">
        <f t="shared" si="15"/>
        <v>2.5000000000000001E-2</v>
      </c>
      <c r="V126" s="914">
        <f t="shared" si="15"/>
        <v>2.5000000000000001E-2</v>
      </c>
      <c r="W126" s="914">
        <f t="shared" si="15"/>
        <v>2.4999999999999998E-2</v>
      </c>
      <c r="X126" s="914">
        <f t="shared" si="15"/>
        <v>2.5000000000000001E-2</v>
      </c>
      <c r="Y126" s="914">
        <f t="shared" si="15"/>
        <v>2.5000000000000001E-2</v>
      </c>
      <c r="Z126" s="914">
        <f t="shared" si="15"/>
        <v>2.5000000000000001E-2</v>
      </c>
      <c r="AA126" s="914">
        <f t="shared" si="15"/>
        <v>2.5000000000000001E-2</v>
      </c>
      <c r="AB126" s="914">
        <f t="shared" si="15"/>
        <v>2.5000000000000001E-2</v>
      </c>
      <c r="AC126" s="914">
        <f t="shared" si="15"/>
        <v>2.5000000000000001E-2</v>
      </c>
      <c r="AD126" s="914">
        <f t="shared" si="15"/>
        <v>2.5000000000000001E-2</v>
      </c>
      <c r="AE126" s="914">
        <f t="shared" si="15"/>
        <v>2.5000000000000001E-2</v>
      </c>
      <c r="AF126" s="914">
        <f t="shared" si="15"/>
        <v>2.5000000000000001E-2</v>
      </c>
      <c r="AG126" s="914">
        <f t="shared" si="15"/>
        <v>2.5000000000000001E-2</v>
      </c>
      <c r="AH126" s="914">
        <f t="shared" ref="AH126" si="17">IFERROR(AH90/AH54,"-")</f>
        <v>2.5000000000000001E-2</v>
      </c>
    </row>
    <row r="127" spans="1:34" s="906" customFormat="1" ht="15">
      <c r="A127" s="904" t="str">
        <f t="shared" si="12"/>
        <v>Europe</v>
      </c>
      <c r="B127" s="904" t="str">
        <f t="shared" si="12"/>
        <v>Italy</v>
      </c>
      <c r="C127" s="904" t="str">
        <f t="shared" si="12"/>
        <v>Gaming</v>
      </c>
      <c r="D127" s="904" t="str">
        <f t="shared" si="12"/>
        <v>Casino Live Casino</v>
      </c>
      <c r="E127" s="904" t="str">
        <f t="shared" si="12"/>
        <v>Offshore Online</v>
      </c>
      <c r="F127" s="903" t="s">
        <v>89</v>
      </c>
      <c r="G127" s="914">
        <f t="shared" si="15"/>
        <v>2.5000000000000001E-2</v>
      </c>
      <c r="H127" s="914">
        <f t="shared" si="15"/>
        <v>2.5000000000000001E-2</v>
      </c>
      <c r="I127" s="914">
        <f t="shared" si="15"/>
        <v>2.5000000000000001E-2</v>
      </c>
      <c r="J127" s="914">
        <f t="shared" si="15"/>
        <v>2.5000000000000001E-2</v>
      </c>
      <c r="K127" s="914">
        <f t="shared" si="15"/>
        <v>2.5000000000000001E-2</v>
      </c>
      <c r="L127" s="914">
        <f t="shared" si="15"/>
        <v>2.5000000000000001E-2</v>
      </c>
      <c r="M127" s="914">
        <f t="shared" si="15"/>
        <v>2.5000000000000001E-2</v>
      </c>
      <c r="N127" s="914">
        <f t="shared" si="15"/>
        <v>2.5000000000000001E-2</v>
      </c>
      <c r="O127" s="914">
        <f t="shared" si="15"/>
        <v>2.4999999999999998E-2</v>
      </c>
      <c r="P127" s="914">
        <f t="shared" si="15"/>
        <v>2.5000000000000001E-2</v>
      </c>
      <c r="Q127" s="914">
        <f t="shared" si="15"/>
        <v>2.5000000000000005E-2</v>
      </c>
      <c r="R127" s="914">
        <f t="shared" si="15"/>
        <v>2.5000000000000005E-2</v>
      </c>
      <c r="S127" s="914">
        <f t="shared" si="15"/>
        <v>2.5000000000000001E-2</v>
      </c>
      <c r="T127" s="914">
        <f t="shared" si="15"/>
        <v>2.5000000000000001E-2</v>
      </c>
      <c r="U127" s="914">
        <f t="shared" si="15"/>
        <v>2.5000000000000001E-2</v>
      </c>
      <c r="V127" s="914">
        <f t="shared" si="15"/>
        <v>2.5000000000000001E-2</v>
      </c>
      <c r="W127" s="914">
        <f t="shared" si="15"/>
        <v>2.5000000000000001E-2</v>
      </c>
      <c r="X127" s="914">
        <f t="shared" si="15"/>
        <v>2.5000000000000001E-2</v>
      </c>
      <c r="Y127" s="914">
        <f t="shared" si="15"/>
        <v>2.5000000000000001E-2</v>
      </c>
      <c r="Z127" s="914">
        <f t="shared" si="15"/>
        <v>2.5000000000000001E-2</v>
      </c>
      <c r="AA127" s="914">
        <f t="shared" si="15"/>
        <v>2.5000000000000001E-2</v>
      </c>
      <c r="AB127" s="914">
        <f t="shared" si="15"/>
        <v>2.5000000000000001E-2</v>
      </c>
      <c r="AC127" s="914">
        <f t="shared" si="15"/>
        <v>2.5000000000000001E-2</v>
      </c>
      <c r="AD127" s="914">
        <f t="shared" si="15"/>
        <v>2.5000000000000001E-2</v>
      </c>
      <c r="AE127" s="914">
        <f t="shared" si="15"/>
        <v>2.5000000000000001E-2</v>
      </c>
      <c r="AF127" s="914">
        <f t="shared" si="15"/>
        <v>2.5000000000000005E-2</v>
      </c>
      <c r="AG127" s="914">
        <f t="shared" si="15"/>
        <v>2.5000000000000001E-2</v>
      </c>
      <c r="AH127" s="914">
        <f t="shared" ref="AH127" si="18">IFERROR(AH91/AH55,"-")</f>
        <v>2.5000000000000001E-2</v>
      </c>
    </row>
    <row r="128" spans="1:34" s="906" customFormat="1" ht="15">
      <c r="A128" s="904" t="str">
        <f t="shared" si="12"/>
        <v>Europe</v>
      </c>
      <c r="B128" s="904" t="str">
        <f t="shared" si="12"/>
        <v>Italy</v>
      </c>
      <c r="C128" s="904" t="str">
        <f t="shared" si="12"/>
        <v>Gaming</v>
      </c>
      <c r="D128" s="904" t="str">
        <f t="shared" si="12"/>
        <v>Poker</v>
      </c>
      <c r="E128" s="904" t="str">
        <f t="shared" si="12"/>
        <v>Offshore Online</v>
      </c>
      <c r="F128" s="903" t="s">
        <v>89</v>
      </c>
      <c r="G128" s="914">
        <f t="shared" si="15"/>
        <v>3.5000000000000003E-2</v>
      </c>
      <c r="H128" s="914">
        <f t="shared" si="15"/>
        <v>3.5000000000000003E-2</v>
      </c>
      <c r="I128" s="914">
        <f t="shared" si="15"/>
        <v>3.5000000000000003E-2</v>
      </c>
      <c r="J128" s="914">
        <f t="shared" si="15"/>
        <v>3.5000000000000003E-2</v>
      </c>
      <c r="K128" s="914">
        <f t="shared" si="15"/>
        <v>3.5000000000000003E-2</v>
      </c>
      <c r="L128" s="914">
        <f t="shared" si="15"/>
        <v>3.5000000000000003E-2</v>
      </c>
      <c r="M128" s="914">
        <f t="shared" si="15"/>
        <v>3.5000000000000003E-2</v>
      </c>
      <c r="N128" s="914">
        <f t="shared" si="15"/>
        <v>3.5000000000000003E-2</v>
      </c>
      <c r="O128" s="914">
        <f t="shared" si="15"/>
        <v>3.5000000000000003E-2</v>
      </c>
      <c r="P128" s="914">
        <f t="shared" si="15"/>
        <v>3.5000000000000003E-2</v>
      </c>
      <c r="Q128" s="914">
        <f t="shared" si="15"/>
        <v>3.5000000000000003E-2</v>
      </c>
      <c r="R128" s="914">
        <f t="shared" si="15"/>
        <v>3.500000000000001E-2</v>
      </c>
      <c r="S128" s="914">
        <f t="shared" si="15"/>
        <v>3.5000000000000003E-2</v>
      </c>
      <c r="T128" s="914">
        <f t="shared" si="15"/>
        <v>3.5000000000000003E-2</v>
      </c>
      <c r="U128" s="914">
        <f t="shared" si="15"/>
        <v>3.5000000000000003E-2</v>
      </c>
      <c r="V128" s="914">
        <f t="shared" si="15"/>
        <v>3.5000000000000003E-2</v>
      </c>
      <c r="W128" s="914">
        <f t="shared" si="15"/>
        <v>3.5000000000000003E-2</v>
      </c>
      <c r="X128" s="914">
        <f t="shared" si="15"/>
        <v>3.5000000000000003E-2</v>
      </c>
      <c r="Y128" s="914">
        <f t="shared" si="15"/>
        <v>3.5000000000000003E-2</v>
      </c>
      <c r="Z128" s="914">
        <f t="shared" si="15"/>
        <v>3.5000000000000003E-2</v>
      </c>
      <c r="AA128" s="914">
        <f t="shared" si="15"/>
        <v>3.5000000000000003E-2</v>
      </c>
      <c r="AB128" s="914">
        <f t="shared" si="15"/>
        <v>3.5000000000000003E-2</v>
      </c>
      <c r="AC128" s="914">
        <f t="shared" si="15"/>
        <v>3.5000000000000003E-2</v>
      </c>
      <c r="AD128" s="914">
        <f t="shared" si="15"/>
        <v>3.5000000000000003E-2</v>
      </c>
      <c r="AE128" s="914">
        <f t="shared" si="15"/>
        <v>3.5000000000000003E-2</v>
      </c>
      <c r="AF128" s="914">
        <f t="shared" si="15"/>
        <v>3.5000000000000003E-2</v>
      </c>
      <c r="AG128" s="914">
        <f t="shared" si="15"/>
        <v>3.5000000000000003E-2</v>
      </c>
      <c r="AH128" s="914">
        <f t="shared" ref="AH128" si="19">IFERROR(AH92/AH56,"-")</f>
        <v>3.5000000000000003E-2</v>
      </c>
    </row>
    <row r="129" spans="1:34" s="906" customFormat="1" ht="15">
      <c r="A129" s="904" t="str">
        <f t="shared" si="12"/>
        <v>Europe</v>
      </c>
      <c r="B129" s="904" t="str">
        <f t="shared" si="12"/>
        <v>Italy</v>
      </c>
      <c r="C129" s="904" t="str">
        <f t="shared" si="12"/>
        <v>Gaming</v>
      </c>
      <c r="D129" s="904" t="str">
        <f t="shared" si="12"/>
        <v>Bingo/Other Gaming</v>
      </c>
      <c r="E129" s="904" t="str">
        <f t="shared" si="12"/>
        <v>Offshore Online</v>
      </c>
      <c r="F129" s="903" t="s">
        <v>89</v>
      </c>
      <c r="G129" s="914">
        <f t="shared" si="15"/>
        <v>4.9999999999999996E-2</v>
      </c>
      <c r="H129" s="914">
        <f t="shared" si="15"/>
        <v>0.05</v>
      </c>
      <c r="I129" s="914">
        <f t="shared" si="15"/>
        <v>4.9999999999999996E-2</v>
      </c>
      <c r="J129" s="914">
        <f t="shared" si="15"/>
        <v>0.05</v>
      </c>
      <c r="K129" s="914">
        <f t="shared" si="15"/>
        <v>0.05</v>
      </c>
      <c r="L129" s="914">
        <f t="shared" si="15"/>
        <v>5.000000000000001E-2</v>
      </c>
      <c r="M129" s="914">
        <f t="shared" si="15"/>
        <v>5.000000000000001E-2</v>
      </c>
      <c r="N129" s="914">
        <f t="shared" si="15"/>
        <v>0.05</v>
      </c>
      <c r="O129" s="914">
        <f t="shared" si="15"/>
        <v>0.05</v>
      </c>
      <c r="P129" s="914">
        <f t="shared" si="15"/>
        <v>4.9999999999999996E-2</v>
      </c>
      <c r="Q129" s="914">
        <f t="shared" si="15"/>
        <v>0.05</v>
      </c>
      <c r="R129" s="914">
        <f t="shared" si="15"/>
        <v>0.05</v>
      </c>
      <c r="S129" s="914">
        <f t="shared" si="15"/>
        <v>0.05</v>
      </c>
      <c r="T129" s="914">
        <f t="shared" si="15"/>
        <v>0.05</v>
      </c>
      <c r="U129" s="914">
        <f t="shared" si="15"/>
        <v>0.05</v>
      </c>
      <c r="V129" s="914">
        <f t="shared" si="15"/>
        <v>0.05</v>
      </c>
      <c r="W129" s="914">
        <f t="shared" si="15"/>
        <v>0.05</v>
      </c>
      <c r="X129" s="914">
        <f t="shared" si="15"/>
        <v>0.05</v>
      </c>
      <c r="Y129" s="914">
        <f t="shared" si="15"/>
        <v>0.05</v>
      </c>
      <c r="Z129" s="914">
        <f t="shared" si="15"/>
        <v>0.05</v>
      </c>
      <c r="AA129" s="914">
        <f t="shared" si="15"/>
        <v>0.05</v>
      </c>
      <c r="AB129" s="914">
        <f t="shared" si="15"/>
        <v>0.05</v>
      </c>
      <c r="AC129" s="914">
        <f t="shared" si="15"/>
        <v>0.05</v>
      </c>
      <c r="AD129" s="914">
        <f t="shared" si="15"/>
        <v>0.05</v>
      </c>
      <c r="AE129" s="914">
        <f t="shared" si="15"/>
        <v>0.05</v>
      </c>
      <c r="AF129" s="914">
        <f t="shared" si="15"/>
        <v>0.05</v>
      </c>
      <c r="AG129" s="914">
        <f t="shared" si="15"/>
        <v>0.05</v>
      </c>
      <c r="AH129" s="914">
        <f t="shared" ref="AH129" si="20">IFERROR(AH93/AH57,"-")</f>
        <v>0.05</v>
      </c>
    </row>
    <row r="130" spans="1:34" s="906" customFormat="1" ht="15">
      <c r="A130" s="904" t="str">
        <f t="shared" si="12"/>
        <v>Europe</v>
      </c>
      <c r="B130" s="904" t="str">
        <f t="shared" si="12"/>
        <v>Italy</v>
      </c>
      <c r="C130" s="904" t="str">
        <f t="shared" si="12"/>
        <v>Lottery</v>
      </c>
      <c r="D130" s="904" t="str">
        <f t="shared" si="12"/>
        <v>Draw Lottery</v>
      </c>
      <c r="E130" s="904" t="str">
        <f t="shared" si="12"/>
        <v>Offshore Online</v>
      </c>
      <c r="F130" s="903" t="s">
        <v>89</v>
      </c>
      <c r="G130" s="914" t="str">
        <f t="shared" si="15"/>
        <v>-</v>
      </c>
      <c r="H130" s="914" t="str">
        <f t="shared" si="15"/>
        <v>-</v>
      </c>
      <c r="I130" s="914" t="str">
        <f t="shared" si="15"/>
        <v>-</v>
      </c>
      <c r="J130" s="914" t="str">
        <f t="shared" si="15"/>
        <v>-</v>
      </c>
      <c r="K130" s="914" t="str">
        <f t="shared" si="15"/>
        <v>-</v>
      </c>
      <c r="L130" s="914" t="str">
        <f t="shared" si="15"/>
        <v>-</v>
      </c>
      <c r="M130" s="914" t="str">
        <f t="shared" si="15"/>
        <v>-</v>
      </c>
      <c r="N130" s="914" t="str">
        <f t="shared" si="15"/>
        <v>-</v>
      </c>
      <c r="O130" s="914" t="str">
        <f t="shared" si="15"/>
        <v>-</v>
      </c>
      <c r="P130" s="914" t="str">
        <f t="shared" si="15"/>
        <v>-</v>
      </c>
      <c r="Q130" s="914" t="str">
        <f t="shared" si="15"/>
        <v>-</v>
      </c>
      <c r="R130" s="914" t="str">
        <f t="shared" si="15"/>
        <v>-</v>
      </c>
      <c r="S130" s="914" t="str">
        <f t="shared" si="15"/>
        <v>-</v>
      </c>
      <c r="T130" s="914" t="str">
        <f t="shared" si="15"/>
        <v>-</v>
      </c>
      <c r="U130" s="914" t="str">
        <f t="shared" si="15"/>
        <v>-</v>
      </c>
      <c r="V130" s="914" t="str">
        <f t="shared" si="15"/>
        <v>-</v>
      </c>
      <c r="W130" s="914" t="str">
        <f t="shared" si="15"/>
        <v>-</v>
      </c>
      <c r="X130" s="914" t="str">
        <f t="shared" si="15"/>
        <v>-</v>
      </c>
      <c r="Y130" s="914" t="str">
        <f t="shared" si="15"/>
        <v>-</v>
      </c>
      <c r="Z130" s="914" t="str">
        <f t="shared" si="15"/>
        <v>-</v>
      </c>
      <c r="AA130" s="914" t="str">
        <f t="shared" si="15"/>
        <v>-</v>
      </c>
      <c r="AB130" s="914" t="str">
        <f t="shared" si="15"/>
        <v>-</v>
      </c>
      <c r="AC130" s="914" t="str">
        <f t="shared" si="15"/>
        <v>-</v>
      </c>
      <c r="AD130" s="914" t="str">
        <f t="shared" si="15"/>
        <v>-</v>
      </c>
      <c r="AE130" s="914" t="str">
        <f t="shared" si="15"/>
        <v>-</v>
      </c>
      <c r="AF130" s="914" t="str">
        <f t="shared" si="15"/>
        <v>-</v>
      </c>
      <c r="AG130" s="914" t="str">
        <f t="shared" si="15"/>
        <v>-</v>
      </c>
      <c r="AH130" s="914" t="str">
        <f t="shared" ref="AH130" si="21">IFERROR(AH94/AH58,"-")</f>
        <v>-</v>
      </c>
    </row>
    <row r="131" spans="1:34" s="906" customFormat="1" ht="15">
      <c r="A131" s="904" t="str">
        <f t="shared" si="12"/>
        <v>Europe</v>
      </c>
      <c r="B131" s="904" t="str">
        <f t="shared" si="12"/>
        <v>Italy</v>
      </c>
      <c r="C131" s="904" t="str">
        <f t="shared" si="12"/>
        <v>Lottery</v>
      </c>
      <c r="D131" s="904" t="str">
        <f t="shared" si="12"/>
        <v>Instant Lottery</v>
      </c>
      <c r="E131" s="904" t="str">
        <f t="shared" si="12"/>
        <v>Offshore Online</v>
      </c>
      <c r="F131" s="903" t="s">
        <v>89</v>
      </c>
      <c r="G131" s="914" t="str">
        <f t="shared" si="15"/>
        <v>-</v>
      </c>
      <c r="H131" s="914" t="str">
        <f t="shared" si="15"/>
        <v>-</v>
      </c>
      <c r="I131" s="914" t="str">
        <f t="shared" si="15"/>
        <v>-</v>
      </c>
      <c r="J131" s="914" t="str">
        <f t="shared" si="15"/>
        <v>-</v>
      </c>
      <c r="K131" s="914" t="str">
        <f t="shared" si="15"/>
        <v>-</v>
      </c>
      <c r="L131" s="914" t="str">
        <f t="shared" si="15"/>
        <v>-</v>
      </c>
      <c r="M131" s="914" t="str">
        <f t="shared" si="15"/>
        <v>-</v>
      </c>
      <c r="N131" s="914" t="str">
        <f t="shared" si="15"/>
        <v>-</v>
      </c>
      <c r="O131" s="914" t="str">
        <f t="shared" si="15"/>
        <v>-</v>
      </c>
      <c r="P131" s="914" t="str">
        <f t="shared" si="15"/>
        <v>-</v>
      </c>
      <c r="Q131" s="914" t="str">
        <f t="shared" si="15"/>
        <v>-</v>
      </c>
      <c r="R131" s="914" t="str">
        <f t="shared" si="15"/>
        <v>-</v>
      </c>
      <c r="S131" s="914" t="str">
        <f t="shared" si="15"/>
        <v>-</v>
      </c>
      <c r="T131" s="914" t="str">
        <f t="shared" si="15"/>
        <v>-</v>
      </c>
      <c r="U131" s="914" t="str">
        <f t="shared" si="15"/>
        <v>-</v>
      </c>
      <c r="V131" s="914" t="str">
        <f t="shared" si="15"/>
        <v>-</v>
      </c>
      <c r="W131" s="914" t="str">
        <f t="shared" si="15"/>
        <v>-</v>
      </c>
      <c r="X131" s="914" t="str">
        <f t="shared" si="15"/>
        <v>-</v>
      </c>
      <c r="Y131" s="914" t="str">
        <f t="shared" si="15"/>
        <v>-</v>
      </c>
      <c r="Z131" s="914" t="str">
        <f t="shared" si="15"/>
        <v>-</v>
      </c>
      <c r="AA131" s="914" t="str">
        <f t="shared" si="15"/>
        <v>-</v>
      </c>
      <c r="AB131" s="914" t="str">
        <f t="shared" si="15"/>
        <v>-</v>
      </c>
      <c r="AC131" s="914" t="str">
        <f t="shared" si="15"/>
        <v>-</v>
      </c>
      <c r="AD131" s="914" t="str">
        <f t="shared" si="15"/>
        <v>-</v>
      </c>
      <c r="AE131" s="914" t="str">
        <f t="shared" si="15"/>
        <v>-</v>
      </c>
      <c r="AF131" s="914" t="str">
        <f t="shared" si="15"/>
        <v>-</v>
      </c>
      <c r="AG131" s="914" t="str">
        <f t="shared" si="15"/>
        <v>-</v>
      </c>
      <c r="AH131" s="914" t="str">
        <f t="shared" ref="AH131" si="22">IFERROR(AH95/AH59,"-")</f>
        <v>-</v>
      </c>
    </row>
    <row r="132" spans="1:34" s="906" customFormat="1" ht="15">
      <c r="A132" s="904" t="str">
        <f t="shared" si="12"/>
        <v>Europe</v>
      </c>
      <c r="B132" s="904" t="str">
        <f t="shared" si="12"/>
        <v>Italy</v>
      </c>
      <c r="C132" s="904" t="str">
        <f t="shared" si="12"/>
        <v>Lottery</v>
      </c>
      <c r="D132" s="904" t="str">
        <f t="shared" si="12"/>
        <v>Other Lottery</v>
      </c>
      <c r="E132" s="904" t="str">
        <f t="shared" si="12"/>
        <v>Offshore Online</v>
      </c>
      <c r="F132" s="903" t="s">
        <v>89</v>
      </c>
      <c r="G132" s="914" t="str">
        <f t="shared" si="15"/>
        <v>-</v>
      </c>
      <c r="H132" s="914" t="str">
        <f t="shared" si="15"/>
        <v>-</v>
      </c>
      <c r="I132" s="914" t="str">
        <f t="shared" si="15"/>
        <v>-</v>
      </c>
      <c r="J132" s="914" t="str">
        <f t="shared" si="15"/>
        <v>-</v>
      </c>
      <c r="K132" s="914" t="str">
        <f t="shared" si="15"/>
        <v>-</v>
      </c>
      <c r="L132" s="914" t="str">
        <f t="shared" si="15"/>
        <v>-</v>
      </c>
      <c r="M132" s="914" t="str">
        <f t="shared" si="15"/>
        <v>-</v>
      </c>
      <c r="N132" s="914" t="str">
        <f t="shared" si="15"/>
        <v>-</v>
      </c>
      <c r="O132" s="914" t="str">
        <f t="shared" si="15"/>
        <v>-</v>
      </c>
      <c r="P132" s="914" t="str">
        <f t="shared" si="15"/>
        <v>-</v>
      </c>
      <c r="Q132" s="914" t="str">
        <f t="shared" si="15"/>
        <v>-</v>
      </c>
      <c r="R132" s="914" t="str">
        <f t="shared" si="15"/>
        <v>-</v>
      </c>
      <c r="S132" s="914" t="str">
        <f t="shared" si="15"/>
        <v>-</v>
      </c>
      <c r="T132" s="914" t="str">
        <f t="shared" si="15"/>
        <v>-</v>
      </c>
      <c r="U132" s="914" t="str">
        <f t="shared" si="15"/>
        <v>-</v>
      </c>
      <c r="V132" s="914" t="str">
        <f t="shared" si="15"/>
        <v>-</v>
      </c>
      <c r="W132" s="914" t="str">
        <f t="shared" si="15"/>
        <v>-</v>
      </c>
      <c r="X132" s="914" t="str">
        <f t="shared" si="15"/>
        <v>-</v>
      </c>
      <c r="Y132" s="914" t="str">
        <f t="shared" si="15"/>
        <v>-</v>
      </c>
      <c r="Z132" s="914" t="str">
        <f t="shared" si="15"/>
        <v>-</v>
      </c>
      <c r="AA132" s="914" t="str">
        <f t="shared" si="15"/>
        <v>-</v>
      </c>
      <c r="AB132" s="914" t="str">
        <f t="shared" si="15"/>
        <v>-</v>
      </c>
      <c r="AC132" s="914" t="str">
        <f t="shared" si="15"/>
        <v>-</v>
      </c>
      <c r="AD132" s="914" t="str">
        <f t="shared" si="15"/>
        <v>-</v>
      </c>
      <c r="AE132" s="914" t="str">
        <f t="shared" si="15"/>
        <v>-</v>
      </c>
      <c r="AF132" s="914" t="str">
        <f t="shared" si="15"/>
        <v>-</v>
      </c>
      <c r="AG132" s="914" t="str">
        <f t="shared" si="15"/>
        <v>-</v>
      </c>
      <c r="AH132" s="914" t="str">
        <f t="shared" ref="AH132" si="23">IFERROR(AH96/AH60,"-")</f>
        <v>-</v>
      </c>
    </row>
    <row r="133" spans="1:34" s="893" customFormat="1" ht="15">
      <c r="A133" s="910"/>
      <c r="B133" s="910"/>
      <c r="C133" s="910"/>
      <c r="D133" s="910"/>
      <c r="E133" s="910"/>
      <c r="F133" s="873"/>
      <c r="G133" s="911"/>
      <c r="H133" s="911"/>
      <c r="I133" s="911"/>
      <c r="J133" s="911"/>
      <c r="K133" s="911"/>
      <c r="L133" s="911"/>
      <c r="M133" s="911"/>
      <c r="N133" s="911"/>
      <c r="O133" s="911"/>
      <c r="P133" s="911"/>
      <c r="Q133" s="911"/>
      <c r="R133" s="911"/>
      <c r="S133" s="911"/>
      <c r="T133" s="911"/>
      <c r="U133" s="911"/>
      <c r="V133" s="911"/>
      <c r="W133" s="911"/>
      <c r="X133" s="911"/>
      <c r="Y133" s="911"/>
      <c r="Z133" s="911"/>
      <c r="AA133" s="911"/>
      <c r="AB133" s="911"/>
      <c r="AC133" s="911"/>
      <c r="AD133" s="911"/>
      <c r="AE133" s="911"/>
      <c r="AF133" s="911"/>
      <c r="AG133" s="911"/>
      <c r="AH133" s="911"/>
    </row>
    <row r="134" spans="1:34" s="893" customFormat="1" ht="15">
      <c r="A134" s="912"/>
      <c r="B134" s="912"/>
      <c r="C134" s="912"/>
      <c r="D134" s="912"/>
      <c r="E134" s="912"/>
      <c r="F134" s="912"/>
      <c r="G134" s="912"/>
      <c r="H134" s="912"/>
      <c r="I134" s="912"/>
      <c r="J134" s="912"/>
      <c r="K134" s="912"/>
      <c r="L134" s="912"/>
      <c r="M134" s="912"/>
      <c r="N134" s="912"/>
      <c r="O134" s="912"/>
      <c r="P134" s="912"/>
      <c r="Q134" s="912"/>
      <c r="R134" s="912"/>
      <c r="S134" s="912"/>
      <c r="T134" s="912"/>
      <c r="U134" s="912"/>
      <c r="V134" s="912"/>
      <c r="W134" s="912"/>
      <c r="X134" s="912"/>
      <c r="Y134" s="912"/>
      <c r="Z134" s="912"/>
      <c r="AA134" s="912"/>
      <c r="AB134" s="912"/>
      <c r="AC134" s="912"/>
      <c r="AD134" s="912"/>
      <c r="AE134" s="912"/>
      <c r="AF134" s="912"/>
      <c r="AG134" s="912"/>
      <c r="AH134" s="912"/>
    </row>
    <row r="135" spans="1:34">
      <c r="A135" s="899"/>
      <c r="B135" s="899"/>
      <c r="C135" s="899"/>
      <c r="D135" s="899"/>
      <c r="E135" s="899"/>
      <c r="F135" s="899"/>
      <c r="G135" s="899"/>
      <c r="H135" s="899"/>
      <c r="I135" s="899"/>
      <c r="J135" s="899"/>
      <c r="K135" s="899"/>
      <c r="L135" s="899"/>
      <c r="M135" s="899"/>
      <c r="N135" s="899"/>
      <c r="O135" s="899"/>
      <c r="P135" s="899"/>
      <c r="Q135" s="899"/>
      <c r="R135" s="899"/>
      <c r="S135" s="899"/>
      <c r="T135" s="899"/>
      <c r="U135" s="899"/>
      <c r="V135" s="899"/>
      <c r="W135" s="899"/>
      <c r="X135" s="899"/>
      <c r="Y135" s="899"/>
      <c r="Z135" s="899"/>
      <c r="AA135" s="899"/>
      <c r="AB135" s="899"/>
      <c r="AC135" s="899"/>
      <c r="AD135" s="899"/>
      <c r="AE135" s="899"/>
      <c r="AF135" s="899"/>
      <c r="AG135" s="899"/>
      <c r="AH135" s="899"/>
    </row>
    <row r="136" spans="1:34">
      <c r="A136" s="899"/>
      <c r="B136" s="899"/>
      <c r="C136" s="899"/>
      <c r="D136" s="899"/>
      <c r="E136" s="899"/>
      <c r="F136" s="899"/>
      <c r="G136" s="899"/>
      <c r="H136" s="899"/>
      <c r="I136" s="899"/>
      <c r="J136" s="899"/>
      <c r="K136" s="899"/>
      <c r="L136" s="899"/>
      <c r="M136" s="899"/>
      <c r="N136" s="899"/>
      <c r="O136" s="899"/>
      <c r="P136" s="899"/>
      <c r="Q136" s="899"/>
      <c r="R136" s="899"/>
      <c r="S136" s="899"/>
      <c r="T136" s="899"/>
      <c r="U136" s="899"/>
      <c r="V136" s="899"/>
      <c r="W136" s="899"/>
      <c r="X136" s="899"/>
      <c r="Y136" s="899"/>
      <c r="Z136" s="899"/>
      <c r="AA136" s="899"/>
      <c r="AB136" s="899"/>
      <c r="AC136" s="899"/>
      <c r="AD136" s="899"/>
      <c r="AE136" s="899"/>
      <c r="AF136" s="899"/>
      <c r="AG136" s="899"/>
      <c r="AH136" s="899"/>
    </row>
    <row r="137" spans="1:34" ht="17" thickBot="1">
      <c r="A137" s="899"/>
      <c r="B137" s="899"/>
      <c r="C137" s="899"/>
      <c r="D137" s="899"/>
      <c r="E137" s="899"/>
      <c r="F137" s="899"/>
      <c r="G137" s="899"/>
      <c r="H137" s="899"/>
      <c r="I137" s="899"/>
      <c r="J137" s="899"/>
      <c r="K137" s="899"/>
      <c r="L137" s="899"/>
      <c r="M137" s="899"/>
      <c r="N137" s="899"/>
      <c r="O137" s="899"/>
      <c r="P137" s="899"/>
      <c r="Q137" s="899"/>
      <c r="R137" s="899"/>
      <c r="S137" s="899"/>
      <c r="T137" s="899"/>
      <c r="U137" s="899"/>
      <c r="V137" s="899"/>
      <c r="W137" s="899"/>
      <c r="X137" s="899"/>
      <c r="Y137" s="899"/>
      <c r="Z137" s="899"/>
      <c r="AA137" s="899"/>
      <c r="AB137" s="899"/>
      <c r="AC137" s="899"/>
      <c r="AD137" s="899"/>
      <c r="AE137" s="899"/>
      <c r="AF137" s="899"/>
      <c r="AG137" s="899"/>
      <c r="AH137" s="899"/>
    </row>
    <row r="138" spans="1:34" ht="21">
      <c r="A138" s="916" t="s">
        <v>904</v>
      </c>
      <c r="B138" s="917"/>
      <c r="C138" s="917"/>
      <c r="D138" s="917"/>
      <c r="E138" s="917"/>
      <c r="F138" s="917"/>
      <c r="G138" s="917"/>
      <c r="H138" s="917"/>
      <c r="I138" s="917"/>
      <c r="J138" s="917"/>
      <c r="K138" s="917"/>
      <c r="L138" s="917"/>
      <c r="M138" s="917"/>
      <c r="N138" s="918"/>
      <c r="O138" s="899"/>
      <c r="P138" s="899"/>
      <c r="Q138" s="899"/>
      <c r="R138" s="899"/>
      <c r="S138" s="899"/>
      <c r="T138" s="899"/>
      <c r="U138" s="899"/>
      <c r="V138" s="899"/>
      <c r="W138" s="899"/>
      <c r="X138" s="899"/>
      <c r="Y138" s="899"/>
      <c r="Z138" s="899"/>
      <c r="AA138" s="899"/>
      <c r="AB138" s="899"/>
      <c r="AC138" s="899"/>
      <c r="AD138" s="899"/>
      <c r="AE138" s="899"/>
      <c r="AF138" s="899"/>
      <c r="AG138" s="899"/>
      <c r="AH138" s="899"/>
    </row>
    <row r="139" spans="1:34">
      <c r="A139" s="919"/>
      <c r="B139" s="920"/>
      <c r="C139" s="920"/>
      <c r="D139" s="920"/>
      <c r="E139" s="920"/>
      <c r="F139" s="920"/>
      <c r="G139" s="920"/>
      <c r="H139" s="920"/>
      <c r="I139" s="920"/>
      <c r="J139" s="920"/>
      <c r="K139" s="920"/>
      <c r="L139" s="920"/>
      <c r="M139" s="920"/>
      <c r="N139" s="921"/>
      <c r="O139" s="899"/>
      <c r="P139" s="899"/>
      <c r="Q139" s="899"/>
      <c r="R139" s="899"/>
      <c r="S139" s="899"/>
      <c r="T139" s="899"/>
      <c r="U139" s="899"/>
      <c r="V139" s="899"/>
      <c r="W139" s="899"/>
      <c r="X139" s="899"/>
      <c r="Y139" s="899"/>
      <c r="Z139" s="899"/>
      <c r="AA139" s="899"/>
      <c r="AB139" s="899"/>
      <c r="AC139" s="899"/>
      <c r="AD139" s="899"/>
      <c r="AE139" s="899"/>
      <c r="AF139" s="899"/>
      <c r="AG139" s="899"/>
      <c r="AH139" s="899"/>
    </row>
    <row r="140" spans="1:34">
      <c r="A140" s="450" t="s">
        <v>865</v>
      </c>
      <c r="B140" s="923"/>
      <c r="C140" s="923"/>
      <c r="D140" s="923"/>
      <c r="E140" s="923"/>
      <c r="F140" s="923"/>
      <c r="G140" s="923"/>
      <c r="H140" s="923"/>
      <c r="I140" s="920"/>
      <c r="J140" s="920"/>
      <c r="K140" s="920"/>
      <c r="L140" s="920"/>
      <c r="M140" s="920"/>
      <c r="N140" s="921"/>
      <c r="O140" s="899"/>
      <c r="P140" s="899"/>
      <c r="Q140" s="899"/>
      <c r="R140" s="899"/>
      <c r="S140" s="899"/>
      <c r="T140" s="899"/>
      <c r="U140" s="899"/>
      <c r="V140" s="899"/>
      <c r="W140" s="899"/>
      <c r="X140" s="899"/>
      <c r="Y140" s="899"/>
      <c r="Z140" s="899"/>
      <c r="AA140" s="899"/>
      <c r="AB140" s="899"/>
      <c r="AC140" s="899"/>
      <c r="AD140" s="899"/>
      <c r="AE140" s="899"/>
      <c r="AF140" s="899"/>
      <c r="AG140" s="899"/>
      <c r="AH140" s="899"/>
    </row>
    <row r="141" spans="1:34">
      <c r="A141" s="979" t="s">
        <v>930</v>
      </c>
      <c r="B141" s="923"/>
      <c r="C141" s="923"/>
      <c r="D141" s="923"/>
      <c r="E141" s="923"/>
      <c r="F141" s="923"/>
      <c r="G141" s="923"/>
      <c r="H141" s="923"/>
      <c r="I141" s="920"/>
      <c r="J141" s="920"/>
      <c r="K141" s="920"/>
      <c r="L141" s="920"/>
      <c r="M141" s="920"/>
      <c r="N141" s="921"/>
      <c r="O141" s="899"/>
      <c r="P141" s="899"/>
      <c r="Q141" s="899"/>
      <c r="R141" s="899"/>
      <c r="S141" s="899"/>
      <c r="T141" s="899"/>
      <c r="U141" s="899"/>
      <c r="V141" s="899"/>
      <c r="W141" s="899"/>
      <c r="X141" s="899"/>
      <c r="Y141" s="899"/>
      <c r="Z141" s="899"/>
      <c r="AA141" s="899"/>
      <c r="AB141" s="899"/>
      <c r="AC141" s="899"/>
      <c r="AD141" s="899"/>
      <c r="AE141" s="899"/>
      <c r="AF141" s="899"/>
      <c r="AG141" s="899"/>
      <c r="AH141" s="899"/>
    </row>
    <row r="142" spans="1:34">
      <c r="A142" s="450" t="s">
        <v>931</v>
      </c>
      <c r="B142" s="923"/>
      <c r="C142" s="923"/>
      <c r="D142" s="923"/>
      <c r="E142" s="923"/>
      <c r="F142" s="923"/>
      <c r="G142" s="923"/>
      <c r="H142" s="923"/>
      <c r="I142" s="920"/>
      <c r="J142" s="920"/>
      <c r="K142" s="920"/>
      <c r="L142" s="920"/>
      <c r="M142" s="920"/>
      <c r="N142" s="921"/>
      <c r="O142" s="899"/>
      <c r="P142" s="899"/>
      <c r="Q142" s="899"/>
      <c r="R142" s="899"/>
      <c r="S142" s="899"/>
      <c r="T142" s="899"/>
      <c r="U142" s="899"/>
      <c r="V142" s="899"/>
      <c r="W142" s="899"/>
      <c r="X142" s="899"/>
      <c r="Y142" s="899"/>
      <c r="Z142" s="899"/>
      <c r="AA142" s="899"/>
      <c r="AB142" s="899"/>
      <c r="AC142" s="899"/>
      <c r="AD142" s="899"/>
      <c r="AE142" s="899"/>
      <c r="AF142" s="899"/>
      <c r="AG142" s="899"/>
      <c r="AH142" s="899"/>
    </row>
    <row r="143" spans="1:34">
      <c r="A143" s="450" t="s">
        <v>511</v>
      </c>
      <c r="B143" s="923"/>
      <c r="C143" s="923"/>
      <c r="D143" s="923"/>
      <c r="E143" s="923"/>
      <c r="F143" s="923"/>
      <c r="G143" s="923"/>
      <c r="H143" s="923"/>
      <c r="I143" s="920"/>
      <c r="J143" s="920"/>
      <c r="K143" s="920"/>
      <c r="L143" s="920"/>
      <c r="M143" s="920"/>
      <c r="N143" s="921"/>
      <c r="O143" s="899"/>
      <c r="P143" s="899"/>
      <c r="Q143" s="899"/>
      <c r="R143" s="899"/>
      <c r="S143" s="899"/>
      <c r="T143" s="899"/>
      <c r="U143" s="899"/>
      <c r="V143" s="899"/>
      <c r="W143" s="899"/>
      <c r="X143" s="899"/>
      <c r="Y143" s="899"/>
      <c r="Z143" s="899"/>
      <c r="AA143" s="899"/>
      <c r="AB143" s="899"/>
      <c r="AC143" s="899"/>
      <c r="AD143" s="899"/>
      <c r="AE143" s="899"/>
      <c r="AF143" s="899"/>
      <c r="AG143" s="899"/>
      <c r="AH143" s="899"/>
    </row>
    <row r="144" spans="1:34">
      <c r="A144" s="450" t="s">
        <v>966</v>
      </c>
      <c r="B144" s="923"/>
      <c r="C144" s="923"/>
      <c r="D144" s="923"/>
      <c r="E144" s="923"/>
      <c r="F144" s="923"/>
      <c r="G144" s="923"/>
      <c r="H144" s="923"/>
      <c r="I144" s="920"/>
      <c r="J144" s="920"/>
      <c r="K144" s="920"/>
      <c r="L144" s="920"/>
      <c r="M144" s="920"/>
      <c r="N144" s="921"/>
      <c r="O144" s="899"/>
      <c r="P144" s="899"/>
      <c r="Q144" s="899"/>
      <c r="R144" s="899"/>
      <c r="S144" s="899"/>
      <c r="T144" s="899"/>
      <c r="U144" s="899"/>
      <c r="V144" s="899"/>
      <c r="W144" s="899"/>
      <c r="X144" s="899"/>
      <c r="Y144" s="899"/>
      <c r="Z144" s="899"/>
      <c r="AA144" s="899"/>
      <c r="AB144" s="899"/>
      <c r="AC144" s="899"/>
      <c r="AD144" s="899"/>
      <c r="AE144" s="899"/>
      <c r="AF144" s="899"/>
      <c r="AG144" s="899"/>
      <c r="AH144" s="899"/>
    </row>
    <row r="145" spans="1:66">
      <c r="A145" s="922"/>
      <c r="B145" s="923"/>
      <c r="C145" s="923"/>
      <c r="D145" s="923"/>
      <c r="E145" s="923"/>
      <c r="F145" s="923"/>
      <c r="G145" s="923"/>
      <c r="H145" s="923"/>
      <c r="I145" s="920"/>
      <c r="J145" s="920"/>
      <c r="K145" s="920"/>
      <c r="L145" s="920"/>
      <c r="M145" s="920"/>
      <c r="N145" s="921"/>
      <c r="O145" s="899"/>
      <c r="P145" s="899"/>
      <c r="Q145" s="899"/>
      <c r="R145" s="899"/>
      <c r="S145" s="899"/>
      <c r="T145" s="899"/>
      <c r="U145" s="899"/>
      <c r="V145" s="899"/>
      <c r="W145" s="899"/>
      <c r="X145" s="899"/>
      <c r="Y145" s="899"/>
      <c r="Z145" s="899"/>
      <c r="AA145" s="899"/>
      <c r="AB145" s="899"/>
      <c r="AC145" s="899"/>
      <c r="AD145" s="899"/>
      <c r="AE145" s="899"/>
      <c r="AF145" s="899"/>
      <c r="AG145" s="899"/>
      <c r="AH145" s="899"/>
    </row>
    <row r="146" spans="1:66">
      <c r="A146" s="922"/>
      <c r="B146" s="923"/>
      <c r="C146" s="923"/>
      <c r="D146" s="923"/>
      <c r="E146" s="923"/>
      <c r="F146" s="923"/>
      <c r="G146" s="923"/>
      <c r="H146" s="923"/>
      <c r="I146" s="920"/>
      <c r="J146" s="920"/>
      <c r="K146" s="920"/>
      <c r="L146" s="920"/>
      <c r="M146" s="920"/>
      <c r="N146" s="921"/>
      <c r="O146" s="899"/>
      <c r="P146" s="899"/>
      <c r="Q146" s="899"/>
      <c r="R146" s="899"/>
      <c r="S146" s="899"/>
      <c r="T146" s="899"/>
      <c r="U146" s="899"/>
      <c r="V146" s="899"/>
      <c r="W146" s="899"/>
      <c r="X146" s="899"/>
      <c r="Y146" s="899"/>
      <c r="Z146" s="899"/>
      <c r="AA146" s="899"/>
      <c r="AB146" s="899"/>
      <c r="AC146" s="899"/>
      <c r="AD146" s="899"/>
      <c r="AE146" s="899"/>
      <c r="AF146" s="899"/>
      <c r="AG146" s="899"/>
      <c r="AH146" s="899"/>
    </row>
    <row r="147" spans="1:66">
      <c r="A147" s="922"/>
      <c r="B147" s="923"/>
      <c r="C147" s="923"/>
      <c r="D147" s="923"/>
      <c r="E147" s="923"/>
      <c r="F147" s="923"/>
      <c r="G147" s="923"/>
      <c r="H147" s="923"/>
      <c r="I147" s="920"/>
      <c r="J147" s="920"/>
      <c r="K147" s="920"/>
      <c r="L147" s="920"/>
      <c r="M147" s="920"/>
      <c r="N147" s="921"/>
      <c r="O147" s="899"/>
      <c r="P147" s="899"/>
      <c r="Q147" s="899"/>
      <c r="R147" s="899"/>
      <c r="S147" s="899"/>
      <c r="T147" s="899"/>
      <c r="U147" s="899"/>
      <c r="V147" s="899"/>
      <c r="W147" s="899"/>
      <c r="X147" s="899"/>
      <c r="Y147" s="899"/>
      <c r="Z147" s="899"/>
      <c r="AA147" s="899"/>
      <c r="AB147" s="899"/>
      <c r="AC147" s="899"/>
      <c r="AD147" s="899"/>
      <c r="AE147" s="899"/>
      <c r="AF147" s="899"/>
      <c r="AG147" s="899"/>
      <c r="AH147" s="899"/>
    </row>
    <row r="148" spans="1:66">
      <c r="A148" s="922"/>
      <c r="B148" s="923"/>
      <c r="C148" s="923"/>
      <c r="D148" s="923"/>
      <c r="E148" s="923"/>
      <c r="F148" s="923"/>
      <c r="G148" s="923"/>
      <c r="H148" s="923"/>
      <c r="I148" s="920"/>
      <c r="J148" s="920"/>
      <c r="K148" s="920"/>
      <c r="L148" s="920"/>
      <c r="M148" s="920"/>
      <c r="N148" s="921"/>
      <c r="O148" s="899"/>
      <c r="P148" s="899"/>
      <c r="Q148" s="899"/>
      <c r="R148" s="899"/>
      <c r="S148" s="899"/>
      <c r="T148" s="899"/>
      <c r="U148" s="899"/>
      <c r="V148" s="899"/>
      <c r="W148" s="899"/>
      <c r="X148" s="899"/>
      <c r="Y148" s="899"/>
      <c r="Z148" s="899"/>
      <c r="AA148" s="899"/>
      <c r="AB148" s="899"/>
      <c r="AC148" s="899"/>
      <c r="AD148" s="899"/>
      <c r="AE148" s="899"/>
      <c r="AF148" s="899"/>
      <c r="AG148" s="899"/>
      <c r="AH148" s="899"/>
    </row>
    <row r="149" spans="1:66">
      <c r="A149" s="924"/>
      <c r="B149" s="925"/>
      <c r="C149" s="926"/>
      <c r="D149" s="926"/>
      <c r="E149" s="926"/>
      <c r="F149" s="926"/>
      <c r="G149" s="926"/>
      <c r="H149" s="926"/>
      <c r="I149" s="920"/>
      <c r="J149" s="920"/>
      <c r="K149" s="920"/>
      <c r="L149" s="920"/>
      <c r="M149" s="920"/>
      <c r="N149" s="921"/>
      <c r="O149" s="899"/>
      <c r="P149" s="899"/>
      <c r="Q149" s="899"/>
      <c r="R149" s="899"/>
      <c r="S149" s="899"/>
      <c r="T149" s="899"/>
      <c r="U149" s="899"/>
      <c r="V149" s="899"/>
      <c r="W149" s="899"/>
      <c r="X149" s="899"/>
      <c r="Y149" s="899"/>
      <c r="Z149" s="899"/>
      <c r="AA149" s="899"/>
      <c r="AB149" s="899"/>
      <c r="AC149" s="899"/>
      <c r="AD149" s="899"/>
      <c r="AE149" s="899"/>
      <c r="AF149" s="899"/>
      <c r="AG149" s="899"/>
      <c r="AH149" s="899"/>
    </row>
    <row r="150" spans="1:66" ht="17" thickBot="1">
      <c r="A150" s="927"/>
      <c r="B150" s="928"/>
      <c r="C150" s="929"/>
      <c r="D150" s="929"/>
      <c r="E150" s="929"/>
      <c r="F150" s="929"/>
      <c r="G150" s="929"/>
      <c r="H150" s="929"/>
      <c r="I150" s="930"/>
      <c r="J150" s="930"/>
      <c r="K150" s="930"/>
      <c r="L150" s="930"/>
      <c r="M150" s="930"/>
      <c r="N150" s="931"/>
      <c r="O150" s="899"/>
      <c r="P150" s="899"/>
      <c r="Q150" s="899"/>
      <c r="R150" s="899"/>
      <c r="S150" s="899"/>
      <c r="T150" s="899"/>
      <c r="U150" s="899"/>
      <c r="V150" s="899"/>
      <c r="W150" s="899"/>
      <c r="X150" s="899"/>
      <c r="Y150" s="899"/>
      <c r="Z150" s="899"/>
      <c r="AA150" s="899"/>
      <c r="AB150" s="899"/>
      <c r="AC150" s="899"/>
      <c r="AD150" s="899"/>
      <c r="AE150" s="899"/>
      <c r="AF150" s="899"/>
      <c r="AG150" s="899"/>
      <c r="AH150" s="899"/>
    </row>
    <row r="151" spans="1:66">
      <c r="A151" s="899"/>
      <c r="B151" s="899"/>
      <c r="C151" s="899"/>
      <c r="D151" s="899"/>
      <c r="E151" s="899"/>
      <c r="F151" s="899"/>
      <c r="G151" s="899"/>
      <c r="H151" s="899"/>
      <c r="I151" s="899"/>
      <c r="J151" s="899"/>
      <c r="K151" s="899"/>
      <c r="L151" s="899"/>
      <c r="M151" s="899"/>
      <c r="N151" s="899"/>
      <c r="O151" s="899"/>
      <c r="P151" s="899"/>
      <c r="Q151" s="899"/>
      <c r="R151" s="899"/>
      <c r="S151" s="899"/>
      <c r="T151" s="899"/>
      <c r="U151" s="899"/>
      <c r="V151" s="899"/>
      <c r="W151" s="899"/>
      <c r="X151" s="899"/>
      <c r="Y151" s="899"/>
      <c r="Z151" s="899"/>
      <c r="AA151" s="899"/>
      <c r="AB151" s="899"/>
      <c r="AC151" s="899"/>
      <c r="AD151" s="899"/>
      <c r="AE151" s="899"/>
      <c r="AF151" s="899"/>
      <c r="AG151" s="899"/>
      <c r="AH151" s="899"/>
    </row>
    <row r="152" spans="1:66">
      <c r="A152" s="899"/>
      <c r="B152" s="899"/>
      <c r="C152" s="899"/>
      <c r="D152" s="899"/>
      <c r="E152" s="899"/>
      <c r="F152" s="899"/>
      <c r="G152" s="899"/>
      <c r="H152" s="899"/>
      <c r="I152" s="899"/>
      <c r="J152" s="899"/>
      <c r="K152" s="899"/>
      <c r="L152" s="899"/>
      <c r="M152" s="899"/>
      <c r="N152" s="899"/>
      <c r="O152" s="899"/>
      <c r="P152" s="899"/>
      <c r="Q152" s="899"/>
      <c r="R152" s="899"/>
      <c r="S152" s="899"/>
      <c r="T152" s="899"/>
      <c r="U152" s="899"/>
      <c r="V152" s="899"/>
      <c r="W152" s="899"/>
      <c r="X152" s="899"/>
      <c r="Y152" s="899"/>
      <c r="Z152" s="899"/>
      <c r="AA152" s="899"/>
      <c r="AB152" s="899"/>
      <c r="AC152" s="899"/>
      <c r="AD152" s="899"/>
      <c r="AE152" s="899"/>
      <c r="AF152" s="899"/>
      <c r="AG152" s="899"/>
      <c r="AH152" s="899"/>
    </row>
    <row r="153" spans="1:66">
      <c r="A153" s="899"/>
      <c r="B153" s="899"/>
      <c r="C153" s="899"/>
      <c r="D153" s="899"/>
      <c r="E153" s="899"/>
      <c r="F153" s="899"/>
      <c r="G153" s="899"/>
      <c r="H153" s="899"/>
      <c r="I153" s="899"/>
      <c r="J153" s="899"/>
      <c r="K153" s="899"/>
      <c r="L153" s="899"/>
      <c r="M153" s="899"/>
      <c r="N153" s="899"/>
      <c r="O153" s="899"/>
      <c r="P153" s="899"/>
      <c r="Q153" s="899"/>
      <c r="R153" s="899"/>
      <c r="S153" s="899"/>
      <c r="T153" s="899"/>
      <c r="U153" s="899"/>
      <c r="V153" s="899"/>
      <c r="W153" s="899"/>
      <c r="X153" s="899"/>
      <c r="Y153" s="899"/>
      <c r="Z153" s="899"/>
      <c r="AA153" s="899"/>
      <c r="AB153" s="899"/>
      <c r="AC153" s="899"/>
      <c r="AD153" s="899"/>
      <c r="AE153" s="899"/>
      <c r="AF153" s="899"/>
      <c r="AG153" s="899"/>
      <c r="AH153" s="899"/>
    </row>
    <row r="154" spans="1:66" s="890" customFormat="1" ht="14" customHeight="1" thickBot="1">
      <c r="A154" s="932"/>
      <c r="B154" s="933"/>
      <c r="C154" s="934"/>
      <c r="D154" s="934"/>
      <c r="E154" s="934"/>
      <c r="F154" s="934"/>
      <c r="G154" s="934"/>
      <c r="H154" s="934"/>
      <c r="I154" s="934"/>
      <c r="J154" s="934"/>
      <c r="K154" s="934"/>
      <c r="L154" s="934"/>
      <c r="M154" s="934"/>
      <c r="N154" s="934"/>
      <c r="O154" s="935"/>
      <c r="P154" s="935"/>
      <c r="Q154" s="936"/>
      <c r="R154" s="934"/>
      <c r="S154" s="935"/>
      <c r="T154" s="937"/>
      <c r="U154" s="937"/>
      <c r="V154" s="934"/>
      <c r="W154" s="934"/>
      <c r="X154" s="934"/>
      <c r="Y154" s="934"/>
      <c r="Z154" s="934"/>
      <c r="AA154" s="934"/>
      <c r="AB154" s="934"/>
      <c r="AC154" s="934"/>
      <c r="AD154" s="934"/>
      <c r="AE154" s="934"/>
      <c r="AF154" s="934"/>
      <c r="AG154" s="934"/>
      <c r="AH154" s="934"/>
    </row>
    <row r="155" spans="1:66" s="941" customFormat="1" ht="15">
      <c r="A155" s="938"/>
      <c r="B155" s="939"/>
      <c r="C155" s="939"/>
      <c r="D155" s="939"/>
      <c r="E155" s="939"/>
      <c r="F155" s="939"/>
      <c r="G155" s="939"/>
      <c r="H155" s="939"/>
      <c r="I155" s="939"/>
      <c r="J155" s="939"/>
      <c r="K155" s="939"/>
      <c r="L155" s="939"/>
      <c r="M155" s="939"/>
      <c r="N155" s="939"/>
      <c r="O155" s="939"/>
      <c r="P155" s="939"/>
      <c r="Q155" s="939"/>
      <c r="R155" s="939"/>
      <c r="S155" s="939"/>
      <c r="T155" s="939"/>
      <c r="U155" s="939"/>
      <c r="V155" s="939"/>
      <c r="W155" s="939"/>
      <c r="X155" s="939"/>
      <c r="Y155" s="939"/>
      <c r="Z155" s="939"/>
      <c r="AA155" s="939"/>
      <c r="AB155" s="939"/>
      <c r="AC155" s="939"/>
      <c r="AD155" s="939"/>
      <c r="AE155" s="939"/>
      <c r="AF155" s="939"/>
      <c r="AG155" s="939"/>
      <c r="AH155" s="939"/>
      <c r="AI155" s="940"/>
      <c r="AJ155" s="940"/>
      <c r="AK155" s="940"/>
      <c r="AL155" s="940"/>
      <c r="AM155" s="940"/>
      <c r="AN155" s="940"/>
      <c r="AO155" s="940"/>
      <c r="AP155" s="940"/>
      <c r="AQ155" s="940"/>
      <c r="AR155" s="940"/>
      <c r="AS155" s="940"/>
      <c r="AT155" s="940"/>
      <c r="AU155" s="940"/>
      <c r="AV155" s="940"/>
      <c r="AW155" s="940"/>
      <c r="AX155" s="940"/>
      <c r="AY155" s="940"/>
      <c r="AZ155" s="940"/>
      <c r="BA155" s="940"/>
      <c r="BB155" s="940"/>
      <c r="BC155" s="940"/>
      <c r="BD155" s="940"/>
      <c r="BE155" s="940"/>
      <c r="BF155" s="940"/>
      <c r="BG155" s="940"/>
      <c r="BH155" s="940"/>
      <c r="BI155" s="940"/>
      <c r="BJ155" s="940"/>
      <c r="BK155" s="940"/>
      <c r="BL155" s="940"/>
      <c r="BM155" s="940"/>
      <c r="BN155" s="940"/>
    </row>
    <row r="156" spans="1:66" s="941" customFormat="1" thickBot="1">
      <c r="A156" s="942"/>
      <c r="B156" s="942"/>
      <c r="C156" s="942"/>
      <c r="D156" s="942"/>
      <c r="E156" s="942"/>
      <c r="F156" s="942"/>
      <c r="G156" s="942"/>
      <c r="H156" s="942"/>
      <c r="I156" s="942"/>
      <c r="J156" s="942"/>
      <c r="K156" s="942"/>
      <c r="L156" s="942"/>
      <c r="M156" s="942"/>
      <c r="N156" s="942"/>
      <c r="O156" s="942"/>
      <c r="P156" s="942"/>
      <c r="Q156" s="942"/>
      <c r="R156" s="942"/>
      <c r="S156" s="942"/>
      <c r="T156" s="942"/>
      <c r="U156" s="942"/>
      <c r="V156" s="942"/>
      <c r="W156" s="942"/>
      <c r="X156" s="942"/>
      <c r="Y156" s="942"/>
      <c r="Z156" s="942"/>
      <c r="AA156" s="942"/>
      <c r="AB156" s="942"/>
      <c r="AC156" s="942"/>
      <c r="AD156" s="942"/>
      <c r="AE156" s="942"/>
      <c r="AF156" s="942"/>
      <c r="AG156" s="942"/>
      <c r="AH156" s="942"/>
      <c r="AI156" s="940"/>
      <c r="AJ156" s="940"/>
      <c r="AK156" s="940"/>
      <c r="AL156" s="940"/>
      <c r="AM156" s="940"/>
      <c r="AN156" s="940"/>
      <c r="AO156" s="940"/>
      <c r="AP156" s="940"/>
      <c r="AQ156" s="940"/>
      <c r="AR156" s="940"/>
      <c r="AS156" s="940"/>
      <c r="AT156" s="940"/>
      <c r="AU156" s="940"/>
      <c r="AV156" s="940"/>
      <c r="AW156" s="940"/>
      <c r="AX156" s="940"/>
      <c r="AY156" s="940"/>
      <c r="AZ156" s="940"/>
      <c r="BA156" s="940"/>
      <c r="BB156" s="940"/>
      <c r="BC156" s="940"/>
      <c r="BD156" s="940"/>
      <c r="BE156" s="940"/>
      <c r="BF156" s="940"/>
      <c r="BG156" s="940"/>
      <c r="BH156" s="940"/>
      <c r="BI156" s="940"/>
      <c r="BJ156" s="940"/>
      <c r="BK156" s="940"/>
      <c r="BL156" s="940"/>
      <c r="BM156" s="940"/>
      <c r="BN156" s="940"/>
    </row>
    <row r="157" spans="1:66" s="943" customFormat="1" ht="15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04698-D534-6446-91E1-40A05D7D4237}">
  <dimension ref="A1:NT788"/>
  <sheetViews>
    <sheetView zoomScale="80" zoomScaleNormal="80" zoomScalePageLayoutView="75" workbookViewId="0">
      <pane xSplit="1" ySplit="16" topLeftCell="B79" activePane="bottomRight" state="frozen"/>
      <selection activeCell="B11" sqref="B11"/>
      <selection pane="topRight" activeCell="B11" sqref="B11"/>
      <selection pane="bottomLeft" activeCell="B11" sqref="B11"/>
      <selection pane="bottomRight" activeCell="AJ86" sqref="AJ86"/>
    </sheetView>
  </sheetViews>
  <sheetFormatPr baseColWidth="10" defaultColWidth="10.6640625" defaultRowHeight="14"/>
  <cols>
    <col min="1" max="1" width="44.83203125" style="946" customWidth="1"/>
    <col min="2" max="2" width="14.5" style="946" bestFit="1" customWidth="1"/>
    <col min="3" max="3" width="12.5" style="946" bestFit="1" customWidth="1"/>
    <col min="4" max="5" width="10.6640625" style="946"/>
    <col min="6" max="6" width="11.1640625" style="946" bestFit="1" customWidth="1"/>
    <col min="7" max="7" width="11.6640625" style="946" bestFit="1" customWidth="1"/>
    <col min="8" max="11" width="10.6640625" style="946"/>
    <col min="12" max="12" width="11.1640625" style="946" bestFit="1" customWidth="1"/>
    <col min="13" max="13" width="10.5" style="946" customWidth="1"/>
    <col min="14" max="16" width="10.6640625" style="946"/>
    <col min="17" max="17" width="10.83203125" style="946" bestFit="1" customWidth="1"/>
    <col min="18" max="18" width="9.6640625" style="946" customWidth="1"/>
    <col min="19" max="19" width="10.6640625" style="946" customWidth="1"/>
    <col min="20" max="20" width="10.6640625" style="946"/>
    <col min="21" max="21" width="10.6640625" style="946" customWidth="1"/>
    <col min="22" max="22" width="10.6640625" style="946"/>
    <col min="23" max="34" width="10.5" style="946" customWidth="1"/>
    <col min="35" max="384" width="10.6640625" style="846"/>
    <col min="385" max="16384" width="10.6640625" style="946"/>
  </cols>
  <sheetData>
    <row r="1" spans="1:384" s="890" customFormat="1" ht="14" customHeight="1">
      <c r="A1" s="846"/>
      <c r="B1" s="846"/>
      <c r="C1" s="846"/>
      <c r="D1" s="846"/>
      <c r="E1" s="846"/>
      <c r="F1" s="846"/>
      <c r="G1" s="846"/>
      <c r="H1" s="846"/>
      <c r="I1" s="846"/>
      <c r="J1" s="846"/>
      <c r="K1" s="846"/>
      <c r="L1" s="846"/>
      <c r="M1" s="846"/>
      <c r="N1" s="846"/>
      <c r="O1" s="846"/>
      <c r="P1" s="846"/>
      <c r="Q1" s="846"/>
      <c r="R1" s="846"/>
      <c r="S1" s="846"/>
      <c r="T1" s="846"/>
      <c r="U1" s="847"/>
      <c r="V1" s="846"/>
      <c r="W1" s="846"/>
      <c r="X1" s="846"/>
      <c r="Y1" s="846"/>
      <c r="Z1" s="846"/>
      <c r="AA1" s="846"/>
      <c r="AB1" s="846"/>
      <c r="AC1" s="846"/>
      <c r="AD1" s="846"/>
      <c r="AE1" s="846"/>
      <c r="AF1" s="846"/>
      <c r="AG1" s="846"/>
      <c r="AH1" s="846"/>
      <c r="AI1" s="848"/>
      <c r="AJ1" s="848"/>
      <c r="AK1" s="848"/>
      <c r="AL1" s="848"/>
      <c r="AM1" s="848"/>
      <c r="AN1" s="848"/>
      <c r="AO1" s="848"/>
      <c r="AP1" s="848"/>
      <c r="AQ1" s="848"/>
      <c r="AR1" s="848"/>
      <c r="AS1" s="848"/>
      <c r="AT1" s="848"/>
      <c r="AU1" s="848"/>
      <c r="AV1" s="848"/>
      <c r="AW1" s="848"/>
      <c r="AX1" s="848"/>
      <c r="AY1" s="848"/>
      <c r="AZ1" s="848"/>
      <c r="BA1" s="848"/>
      <c r="BB1" s="848"/>
      <c r="BC1" s="848"/>
      <c r="BD1" s="848"/>
      <c r="BE1" s="848"/>
      <c r="BF1" s="848"/>
      <c r="BG1" s="848"/>
      <c r="BH1" s="848"/>
      <c r="BI1" s="848"/>
      <c r="BJ1" s="848"/>
      <c r="BK1" s="848"/>
      <c r="BL1" s="848"/>
      <c r="BM1" s="848"/>
      <c r="BN1" s="848"/>
      <c r="BO1" s="848"/>
      <c r="BP1" s="848"/>
      <c r="BQ1" s="848"/>
      <c r="BR1" s="848"/>
      <c r="BS1" s="848"/>
      <c r="BT1" s="848"/>
      <c r="BU1" s="848"/>
      <c r="BV1" s="848"/>
      <c r="BW1" s="848"/>
      <c r="BX1" s="848"/>
      <c r="BY1" s="848"/>
      <c r="BZ1" s="848"/>
      <c r="CA1" s="848"/>
      <c r="CB1" s="848"/>
      <c r="CC1" s="848"/>
      <c r="CD1" s="848"/>
      <c r="CE1" s="848"/>
      <c r="CF1" s="848"/>
      <c r="CG1" s="848"/>
      <c r="CH1" s="848"/>
      <c r="CI1" s="848"/>
      <c r="CJ1" s="848"/>
      <c r="CK1" s="848"/>
      <c r="CL1" s="848"/>
      <c r="CM1" s="848"/>
      <c r="CN1" s="848"/>
      <c r="CO1" s="848"/>
      <c r="CP1" s="848"/>
      <c r="CQ1" s="848"/>
      <c r="CR1" s="848"/>
      <c r="CS1" s="848"/>
      <c r="CT1" s="848"/>
      <c r="CU1" s="848"/>
      <c r="CV1" s="848"/>
      <c r="CW1" s="848"/>
      <c r="CX1" s="848"/>
      <c r="CY1" s="848"/>
      <c r="CZ1" s="848"/>
      <c r="DA1" s="848"/>
      <c r="DB1" s="848"/>
      <c r="DC1" s="848"/>
      <c r="DD1" s="848"/>
      <c r="DE1" s="848"/>
      <c r="DF1" s="848"/>
      <c r="DG1" s="848"/>
      <c r="DH1" s="848"/>
      <c r="DI1" s="848"/>
      <c r="DJ1" s="848"/>
      <c r="DK1" s="848"/>
      <c r="DL1" s="848"/>
      <c r="DM1" s="848"/>
      <c r="DN1" s="848"/>
      <c r="DO1" s="848"/>
      <c r="DP1" s="848"/>
      <c r="DQ1" s="848"/>
      <c r="DR1" s="848"/>
      <c r="DS1" s="848"/>
      <c r="DT1" s="848"/>
      <c r="DU1" s="848"/>
      <c r="DV1" s="848"/>
      <c r="DW1" s="848"/>
      <c r="DX1" s="848"/>
      <c r="DY1" s="848"/>
      <c r="DZ1" s="848"/>
      <c r="EA1" s="848"/>
      <c r="EB1" s="848"/>
      <c r="EC1" s="848"/>
      <c r="ED1" s="848"/>
      <c r="EE1" s="848"/>
      <c r="EF1" s="848"/>
      <c r="EG1" s="848"/>
      <c r="EH1" s="848"/>
      <c r="EI1" s="848"/>
      <c r="EJ1" s="848"/>
      <c r="EK1" s="848"/>
      <c r="EL1" s="848"/>
      <c r="EM1" s="848"/>
      <c r="EN1" s="848"/>
      <c r="EO1" s="848"/>
      <c r="EP1" s="848"/>
      <c r="EQ1" s="848"/>
      <c r="ER1" s="848"/>
      <c r="ES1" s="848"/>
      <c r="ET1" s="848"/>
      <c r="EU1" s="848"/>
      <c r="EV1" s="848"/>
      <c r="EW1" s="848"/>
      <c r="EX1" s="848"/>
      <c r="EY1" s="848"/>
      <c r="EZ1" s="848"/>
      <c r="FA1" s="848"/>
      <c r="FB1" s="848"/>
      <c r="FC1" s="848"/>
      <c r="FD1" s="848"/>
      <c r="FE1" s="848"/>
      <c r="FF1" s="848"/>
      <c r="FG1" s="848"/>
      <c r="FH1" s="848"/>
      <c r="FI1" s="848"/>
      <c r="FJ1" s="848"/>
      <c r="FK1" s="848"/>
      <c r="FL1" s="848"/>
      <c r="FM1" s="848"/>
      <c r="FN1" s="848"/>
      <c r="FO1" s="848"/>
      <c r="FP1" s="848"/>
      <c r="FQ1" s="848"/>
      <c r="FR1" s="848"/>
      <c r="FS1" s="848"/>
      <c r="FT1" s="848"/>
      <c r="FU1" s="848"/>
      <c r="FV1" s="848"/>
      <c r="FW1" s="848"/>
      <c r="FX1" s="848"/>
      <c r="FY1" s="848"/>
      <c r="FZ1" s="848"/>
      <c r="GA1" s="848"/>
      <c r="GB1" s="848"/>
      <c r="GC1" s="848"/>
      <c r="GD1" s="848"/>
      <c r="GE1" s="848"/>
      <c r="GF1" s="848"/>
      <c r="GG1" s="848"/>
      <c r="GH1" s="848"/>
      <c r="GI1" s="848"/>
      <c r="GJ1" s="848"/>
      <c r="GK1" s="848"/>
      <c r="GL1" s="848"/>
      <c r="GM1" s="848"/>
      <c r="GN1" s="848"/>
      <c r="GO1" s="848"/>
      <c r="GP1" s="848"/>
      <c r="GQ1" s="848"/>
      <c r="GR1" s="848"/>
      <c r="GS1" s="848"/>
      <c r="GT1" s="848"/>
      <c r="GU1" s="848"/>
      <c r="GV1" s="848"/>
      <c r="GW1" s="848"/>
      <c r="GX1" s="848"/>
      <c r="GY1" s="848"/>
      <c r="GZ1" s="848"/>
      <c r="HA1" s="848"/>
      <c r="HB1" s="848"/>
      <c r="HC1" s="848"/>
      <c r="HD1" s="848"/>
      <c r="HE1" s="848"/>
      <c r="HF1" s="848"/>
      <c r="HG1" s="848"/>
      <c r="HH1" s="848"/>
      <c r="HI1" s="848"/>
      <c r="HJ1" s="848"/>
      <c r="HK1" s="848"/>
      <c r="HL1" s="848"/>
      <c r="HM1" s="848"/>
      <c r="HN1" s="848"/>
      <c r="HO1" s="848"/>
      <c r="HP1" s="848"/>
      <c r="HQ1" s="848"/>
      <c r="HR1" s="848"/>
      <c r="HS1" s="848"/>
      <c r="HT1" s="848"/>
      <c r="HU1" s="848"/>
      <c r="HV1" s="848"/>
      <c r="HW1" s="848"/>
      <c r="HX1" s="848"/>
      <c r="HY1" s="848"/>
      <c r="HZ1" s="848"/>
      <c r="IA1" s="848"/>
      <c r="IB1" s="848"/>
      <c r="IC1" s="848"/>
      <c r="ID1" s="848"/>
      <c r="IE1" s="848"/>
      <c r="IF1" s="848"/>
      <c r="IG1" s="848"/>
      <c r="IH1" s="848"/>
      <c r="II1" s="848"/>
      <c r="IJ1" s="848"/>
      <c r="IK1" s="848"/>
      <c r="IL1" s="848"/>
      <c r="IM1" s="848"/>
      <c r="IN1" s="848"/>
      <c r="IO1" s="848"/>
      <c r="IP1" s="848"/>
      <c r="IQ1" s="848"/>
      <c r="IR1" s="848"/>
      <c r="IS1" s="848"/>
      <c r="IT1" s="848"/>
      <c r="IU1" s="848"/>
      <c r="IV1" s="848"/>
      <c r="IW1" s="848"/>
      <c r="IX1" s="848"/>
      <c r="IY1" s="848"/>
      <c r="IZ1" s="848"/>
      <c r="JA1" s="848"/>
      <c r="JB1" s="848"/>
      <c r="JC1" s="848"/>
      <c r="JD1" s="848"/>
      <c r="JE1" s="848"/>
      <c r="JF1" s="848"/>
      <c r="JG1" s="848"/>
      <c r="JH1" s="848"/>
      <c r="JI1" s="848"/>
      <c r="JJ1" s="848"/>
      <c r="JK1" s="848"/>
      <c r="JL1" s="848"/>
      <c r="JM1" s="848"/>
      <c r="JN1" s="848"/>
      <c r="JO1" s="848"/>
      <c r="JP1" s="848"/>
      <c r="JQ1" s="848"/>
      <c r="JR1" s="848"/>
      <c r="JS1" s="848"/>
      <c r="JT1" s="848"/>
      <c r="JU1" s="848"/>
      <c r="JV1" s="848"/>
      <c r="JW1" s="848"/>
      <c r="JX1" s="848"/>
      <c r="JY1" s="848"/>
      <c r="JZ1" s="848"/>
      <c r="KA1" s="848"/>
      <c r="KB1" s="848"/>
      <c r="KC1" s="848"/>
      <c r="KD1" s="848"/>
      <c r="KE1" s="848"/>
      <c r="KF1" s="848"/>
      <c r="KG1" s="848"/>
      <c r="KH1" s="848"/>
      <c r="KI1" s="848"/>
      <c r="KJ1" s="848"/>
      <c r="KK1" s="848"/>
      <c r="KL1" s="848"/>
      <c r="KM1" s="848"/>
      <c r="KN1" s="848"/>
      <c r="KO1" s="848"/>
      <c r="KP1" s="848"/>
      <c r="KQ1" s="848"/>
      <c r="KR1" s="848"/>
      <c r="KS1" s="848"/>
      <c r="KT1" s="848"/>
      <c r="KU1" s="848"/>
      <c r="KV1" s="848"/>
      <c r="KW1" s="848"/>
      <c r="KX1" s="848"/>
      <c r="KY1" s="848"/>
      <c r="KZ1" s="848"/>
      <c r="LA1" s="848"/>
      <c r="LB1" s="848"/>
      <c r="LC1" s="848"/>
      <c r="LD1" s="848"/>
      <c r="LE1" s="848"/>
      <c r="LF1" s="848"/>
      <c r="LG1" s="848"/>
      <c r="LH1" s="848"/>
      <c r="LI1" s="848"/>
      <c r="LJ1" s="848"/>
      <c r="LK1" s="848"/>
      <c r="LL1" s="848"/>
      <c r="LM1" s="848"/>
      <c r="LN1" s="848"/>
      <c r="LO1" s="848"/>
      <c r="LP1" s="848"/>
      <c r="LQ1" s="848"/>
      <c r="LR1" s="848"/>
      <c r="LS1" s="848"/>
      <c r="LT1" s="848"/>
      <c r="LU1" s="848"/>
      <c r="LV1" s="848"/>
      <c r="LW1" s="848"/>
      <c r="LX1" s="848"/>
      <c r="LY1" s="848"/>
      <c r="LZ1" s="848"/>
      <c r="MA1" s="848"/>
      <c r="MB1" s="848"/>
      <c r="MC1" s="848"/>
      <c r="MD1" s="848"/>
      <c r="ME1" s="848"/>
      <c r="MF1" s="848"/>
      <c r="MG1" s="848"/>
      <c r="MH1" s="848"/>
      <c r="MI1" s="848"/>
      <c r="MJ1" s="848"/>
      <c r="MK1" s="848"/>
      <c r="ML1" s="848"/>
      <c r="MM1" s="848"/>
      <c r="MN1" s="848"/>
      <c r="MO1" s="848"/>
      <c r="MP1" s="848"/>
      <c r="MQ1" s="848"/>
      <c r="MR1" s="848"/>
      <c r="MS1" s="848"/>
      <c r="MT1" s="848"/>
      <c r="MU1" s="848"/>
      <c r="MV1" s="848"/>
      <c r="MW1" s="848"/>
      <c r="MX1" s="848"/>
      <c r="MY1" s="848"/>
      <c r="MZ1" s="848"/>
      <c r="NA1" s="848"/>
      <c r="NB1" s="848"/>
      <c r="NC1" s="848"/>
      <c r="ND1" s="848"/>
      <c r="NE1" s="848"/>
      <c r="NF1" s="848"/>
      <c r="NG1" s="848"/>
      <c r="NH1" s="848"/>
      <c r="NI1" s="848"/>
      <c r="NJ1" s="848"/>
      <c r="NK1" s="848"/>
      <c r="NL1" s="848"/>
      <c r="NM1" s="848"/>
      <c r="NN1" s="848"/>
      <c r="NO1" s="848"/>
      <c r="NP1" s="848"/>
      <c r="NQ1" s="848"/>
      <c r="NR1" s="848"/>
      <c r="NS1" s="848"/>
      <c r="NT1" s="848"/>
    </row>
    <row r="2" spans="1:384" s="890" customFormat="1" ht="14" customHeight="1">
      <c r="A2" s="849"/>
      <c r="B2" s="850"/>
      <c r="C2" s="851"/>
      <c r="D2" s="851"/>
      <c r="E2" s="851"/>
      <c r="F2" s="851"/>
      <c r="G2" s="851"/>
      <c r="H2" s="851"/>
      <c r="I2" s="851"/>
      <c r="J2" s="851"/>
      <c r="K2" s="851"/>
      <c r="L2" s="851"/>
      <c r="M2" s="851"/>
      <c r="N2" s="851"/>
      <c r="O2" s="851"/>
      <c r="P2" s="851"/>
      <c r="Q2" s="851"/>
      <c r="R2" s="852"/>
      <c r="S2" s="852"/>
      <c r="T2" s="846"/>
      <c r="U2" s="852"/>
      <c r="V2" s="846"/>
      <c r="W2" s="853"/>
      <c r="X2" s="846"/>
      <c r="Y2" s="846"/>
      <c r="Z2" s="846"/>
      <c r="AA2" s="846"/>
      <c r="AB2" s="846"/>
      <c r="AC2" s="846"/>
      <c r="AD2" s="846"/>
      <c r="AE2" s="846"/>
      <c r="AF2" s="846"/>
      <c r="AG2" s="846"/>
      <c r="AH2" s="846"/>
      <c r="AI2" s="848"/>
      <c r="AJ2" s="848"/>
      <c r="AK2" s="848"/>
      <c r="AL2" s="848"/>
      <c r="AM2" s="848"/>
      <c r="AN2" s="848"/>
      <c r="AO2" s="848"/>
      <c r="AP2" s="848"/>
      <c r="AQ2" s="848"/>
      <c r="AR2" s="848"/>
      <c r="AS2" s="848"/>
      <c r="AT2" s="848"/>
      <c r="AU2" s="848"/>
      <c r="AV2" s="848"/>
      <c r="AW2" s="848"/>
      <c r="AX2" s="848"/>
      <c r="AY2" s="848"/>
      <c r="AZ2" s="848"/>
      <c r="BA2" s="848"/>
      <c r="BB2" s="848"/>
      <c r="BC2" s="848"/>
      <c r="BD2" s="848"/>
      <c r="BE2" s="848"/>
      <c r="BF2" s="848"/>
      <c r="BG2" s="848"/>
      <c r="BH2" s="848"/>
      <c r="BI2" s="848"/>
      <c r="BJ2" s="848"/>
      <c r="BK2" s="848"/>
      <c r="BL2" s="848"/>
      <c r="BM2" s="848"/>
      <c r="BN2" s="848"/>
      <c r="BO2" s="848"/>
      <c r="BP2" s="848"/>
      <c r="BQ2" s="848"/>
      <c r="BR2" s="848"/>
      <c r="BS2" s="848"/>
      <c r="BT2" s="848"/>
      <c r="BU2" s="848"/>
      <c r="BV2" s="848"/>
      <c r="BW2" s="848"/>
      <c r="BX2" s="848"/>
      <c r="BY2" s="848"/>
      <c r="BZ2" s="848"/>
      <c r="CA2" s="848"/>
      <c r="CB2" s="848"/>
      <c r="CC2" s="848"/>
      <c r="CD2" s="848"/>
      <c r="CE2" s="848"/>
      <c r="CF2" s="848"/>
      <c r="CG2" s="848"/>
      <c r="CH2" s="848"/>
      <c r="CI2" s="848"/>
      <c r="CJ2" s="848"/>
      <c r="CK2" s="848"/>
      <c r="CL2" s="848"/>
      <c r="CM2" s="848"/>
      <c r="CN2" s="848"/>
      <c r="CO2" s="848"/>
      <c r="CP2" s="848"/>
      <c r="CQ2" s="848"/>
      <c r="CR2" s="848"/>
      <c r="CS2" s="848"/>
      <c r="CT2" s="848"/>
      <c r="CU2" s="848"/>
      <c r="CV2" s="848"/>
      <c r="CW2" s="848"/>
      <c r="CX2" s="848"/>
      <c r="CY2" s="848"/>
      <c r="CZ2" s="848"/>
      <c r="DA2" s="848"/>
      <c r="DB2" s="848"/>
      <c r="DC2" s="848"/>
      <c r="DD2" s="848"/>
      <c r="DE2" s="848"/>
      <c r="DF2" s="848"/>
      <c r="DG2" s="848"/>
      <c r="DH2" s="848"/>
      <c r="DI2" s="848"/>
      <c r="DJ2" s="848"/>
      <c r="DK2" s="848"/>
      <c r="DL2" s="848"/>
      <c r="DM2" s="848"/>
      <c r="DN2" s="848"/>
      <c r="DO2" s="848"/>
      <c r="DP2" s="848"/>
      <c r="DQ2" s="848"/>
      <c r="DR2" s="848"/>
      <c r="DS2" s="848"/>
      <c r="DT2" s="848"/>
      <c r="DU2" s="848"/>
      <c r="DV2" s="848"/>
      <c r="DW2" s="848"/>
      <c r="DX2" s="848"/>
      <c r="DY2" s="848"/>
      <c r="DZ2" s="848"/>
      <c r="EA2" s="848"/>
      <c r="EB2" s="848"/>
      <c r="EC2" s="848"/>
      <c r="ED2" s="848"/>
      <c r="EE2" s="848"/>
      <c r="EF2" s="848"/>
      <c r="EG2" s="848"/>
      <c r="EH2" s="848"/>
      <c r="EI2" s="848"/>
      <c r="EJ2" s="848"/>
      <c r="EK2" s="848"/>
      <c r="EL2" s="848"/>
      <c r="EM2" s="848"/>
      <c r="EN2" s="848"/>
      <c r="EO2" s="848"/>
      <c r="EP2" s="848"/>
      <c r="EQ2" s="848"/>
      <c r="ER2" s="848"/>
      <c r="ES2" s="848"/>
      <c r="ET2" s="848"/>
      <c r="EU2" s="848"/>
      <c r="EV2" s="848"/>
      <c r="EW2" s="848"/>
      <c r="EX2" s="848"/>
      <c r="EY2" s="848"/>
      <c r="EZ2" s="848"/>
      <c r="FA2" s="848"/>
      <c r="FB2" s="848"/>
      <c r="FC2" s="848"/>
      <c r="FD2" s="848"/>
      <c r="FE2" s="848"/>
      <c r="FF2" s="848"/>
      <c r="FG2" s="848"/>
      <c r="FH2" s="848"/>
      <c r="FI2" s="848"/>
      <c r="FJ2" s="848"/>
      <c r="FK2" s="848"/>
      <c r="FL2" s="848"/>
      <c r="FM2" s="848"/>
      <c r="FN2" s="848"/>
      <c r="FO2" s="848"/>
      <c r="FP2" s="848"/>
      <c r="FQ2" s="848"/>
      <c r="FR2" s="848"/>
      <c r="FS2" s="848"/>
      <c r="FT2" s="848"/>
      <c r="FU2" s="848"/>
      <c r="FV2" s="848"/>
      <c r="FW2" s="848"/>
      <c r="FX2" s="848"/>
      <c r="FY2" s="848"/>
      <c r="FZ2" s="848"/>
      <c r="GA2" s="848"/>
      <c r="GB2" s="848"/>
      <c r="GC2" s="848"/>
      <c r="GD2" s="848"/>
      <c r="GE2" s="848"/>
      <c r="GF2" s="848"/>
      <c r="GG2" s="848"/>
      <c r="GH2" s="848"/>
      <c r="GI2" s="848"/>
      <c r="GJ2" s="848"/>
      <c r="GK2" s="848"/>
      <c r="GL2" s="848"/>
      <c r="GM2" s="848"/>
      <c r="GN2" s="848"/>
      <c r="GO2" s="848"/>
      <c r="GP2" s="848"/>
      <c r="GQ2" s="848"/>
      <c r="GR2" s="848"/>
      <c r="GS2" s="848"/>
      <c r="GT2" s="848"/>
      <c r="GU2" s="848"/>
      <c r="GV2" s="848"/>
      <c r="GW2" s="848"/>
      <c r="GX2" s="848"/>
      <c r="GY2" s="848"/>
      <c r="GZ2" s="848"/>
      <c r="HA2" s="848"/>
      <c r="HB2" s="848"/>
      <c r="HC2" s="848"/>
      <c r="HD2" s="848"/>
      <c r="HE2" s="848"/>
      <c r="HF2" s="848"/>
      <c r="HG2" s="848"/>
      <c r="HH2" s="848"/>
      <c r="HI2" s="848"/>
      <c r="HJ2" s="848"/>
      <c r="HK2" s="848"/>
      <c r="HL2" s="848"/>
      <c r="HM2" s="848"/>
      <c r="HN2" s="848"/>
      <c r="HO2" s="848"/>
      <c r="HP2" s="848"/>
      <c r="HQ2" s="848"/>
      <c r="HR2" s="848"/>
      <c r="HS2" s="848"/>
      <c r="HT2" s="848"/>
      <c r="HU2" s="848"/>
      <c r="HV2" s="848"/>
      <c r="HW2" s="848"/>
      <c r="HX2" s="848"/>
      <c r="HY2" s="848"/>
      <c r="HZ2" s="848"/>
      <c r="IA2" s="848"/>
      <c r="IB2" s="848"/>
      <c r="IC2" s="848"/>
      <c r="ID2" s="848"/>
      <c r="IE2" s="848"/>
      <c r="IF2" s="848"/>
      <c r="IG2" s="848"/>
      <c r="IH2" s="848"/>
      <c r="II2" s="848"/>
      <c r="IJ2" s="848"/>
      <c r="IK2" s="848"/>
      <c r="IL2" s="848"/>
      <c r="IM2" s="848"/>
      <c r="IN2" s="848"/>
      <c r="IO2" s="848"/>
      <c r="IP2" s="848"/>
      <c r="IQ2" s="848"/>
      <c r="IR2" s="848"/>
      <c r="IS2" s="848"/>
      <c r="IT2" s="848"/>
      <c r="IU2" s="848"/>
      <c r="IV2" s="848"/>
      <c r="IW2" s="848"/>
      <c r="IX2" s="848"/>
      <c r="IY2" s="848"/>
      <c r="IZ2" s="848"/>
      <c r="JA2" s="848"/>
      <c r="JB2" s="848"/>
      <c r="JC2" s="848"/>
      <c r="JD2" s="848"/>
      <c r="JE2" s="848"/>
      <c r="JF2" s="848"/>
      <c r="JG2" s="848"/>
      <c r="JH2" s="848"/>
      <c r="JI2" s="848"/>
      <c r="JJ2" s="848"/>
      <c r="JK2" s="848"/>
      <c r="JL2" s="848"/>
      <c r="JM2" s="848"/>
      <c r="JN2" s="848"/>
      <c r="JO2" s="848"/>
      <c r="JP2" s="848"/>
      <c r="JQ2" s="848"/>
      <c r="JR2" s="848"/>
      <c r="JS2" s="848"/>
      <c r="JT2" s="848"/>
      <c r="JU2" s="848"/>
      <c r="JV2" s="848"/>
      <c r="JW2" s="848"/>
      <c r="JX2" s="848"/>
      <c r="JY2" s="848"/>
      <c r="JZ2" s="848"/>
      <c r="KA2" s="848"/>
      <c r="KB2" s="848"/>
      <c r="KC2" s="848"/>
      <c r="KD2" s="848"/>
      <c r="KE2" s="848"/>
      <c r="KF2" s="848"/>
      <c r="KG2" s="848"/>
      <c r="KH2" s="848"/>
      <c r="KI2" s="848"/>
      <c r="KJ2" s="848"/>
      <c r="KK2" s="848"/>
      <c r="KL2" s="848"/>
      <c r="KM2" s="848"/>
      <c r="KN2" s="848"/>
      <c r="KO2" s="848"/>
      <c r="KP2" s="848"/>
      <c r="KQ2" s="848"/>
      <c r="KR2" s="848"/>
      <c r="KS2" s="848"/>
      <c r="KT2" s="848"/>
      <c r="KU2" s="848"/>
      <c r="KV2" s="848"/>
      <c r="KW2" s="848"/>
      <c r="KX2" s="848"/>
      <c r="KY2" s="848"/>
      <c r="KZ2" s="848"/>
      <c r="LA2" s="848"/>
      <c r="LB2" s="848"/>
      <c r="LC2" s="848"/>
      <c r="LD2" s="848"/>
      <c r="LE2" s="848"/>
      <c r="LF2" s="848"/>
      <c r="LG2" s="848"/>
      <c r="LH2" s="848"/>
      <c r="LI2" s="848"/>
      <c r="LJ2" s="848"/>
      <c r="LK2" s="848"/>
      <c r="LL2" s="848"/>
      <c r="LM2" s="848"/>
      <c r="LN2" s="848"/>
      <c r="LO2" s="848"/>
      <c r="LP2" s="848"/>
      <c r="LQ2" s="848"/>
      <c r="LR2" s="848"/>
      <c r="LS2" s="848"/>
      <c r="LT2" s="848"/>
      <c r="LU2" s="848"/>
      <c r="LV2" s="848"/>
      <c r="LW2" s="848"/>
      <c r="LX2" s="848"/>
      <c r="LY2" s="848"/>
      <c r="LZ2" s="848"/>
      <c r="MA2" s="848"/>
      <c r="MB2" s="848"/>
      <c r="MC2" s="848"/>
      <c r="MD2" s="848"/>
      <c r="ME2" s="848"/>
      <c r="MF2" s="848"/>
      <c r="MG2" s="848"/>
      <c r="MH2" s="848"/>
      <c r="MI2" s="848"/>
      <c r="MJ2" s="848"/>
      <c r="MK2" s="848"/>
      <c r="ML2" s="848"/>
      <c r="MM2" s="848"/>
      <c r="MN2" s="848"/>
      <c r="MO2" s="848"/>
      <c r="MP2" s="848"/>
      <c r="MQ2" s="848"/>
      <c r="MR2" s="848"/>
      <c r="MS2" s="848"/>
      <c r="MT2" s="848"/>
      <c r="MU2" s="848"/>
      <c r="MV2" s="848"/>
      <c r="MW2" s="848"/>
      <c r="MX2" s="848"/>
      <c r="MY2" s="848"/>
      <c r="MZ2" s="848"/>
      <c r="NA2" s="848"/>
      <c r="NB2" s="848"/>
      <c r="NC2" s="848"/>
      <c r="ND2" s="848"/>
      <c r="NE2" s="848"/>
      <c r="NF2" s="848"/>
      <c r="NG2" s="848"/>
      <c r="NH2" s="848"/>
      <c r="NI2" s="848"/>
      <c r="NJ2" s="848"/>
      <c r="NK2" s="848"/>
      <c r="NL2" s="848"/>
      <c r="NM2" s="848"/>
      <c r="NN2" s="848"/>
      <c r="NO2" s="848"/>
      <c r="NP2" s="848"/>
      <c r="NQ2" s="848"/>
      <c r="NR2" s="848"/>
      <c r="NS2" s="848"/>
      <c r="NT2" s="848"/>
    </row>
    <row r="3" spans="1:384" s="890" customFormat="1" ht="14" customHeight="1">
      <c r="A3" s="849"/>
      <c r="B3" s="850"/>
      <c r="C3" s="851"/>
      <c r="D3" s="851"/>
      <c r="E3" s="851"/>
      <c r="F3" s="851"/>
      <c r="G3" s="851"/>
      <c r="H3" s="851"/>
      <c r="I3" s="851"/>
      <c r="J3" s="851"/>
      <c r="K3" s="851"/>
      <c r="L3" s="851"/>
      <c r="M3" s="851"/>
      <c r="N3" s="851"/>
      <c r="O3" s="851"/>
      <c r="P3" s="851"/>
      <c r="Q3" s="851"/>
      <c r="R3" s="852"/>
      <c r="S3" s="852"/>
      <c r="T3" s="846"/>
      <c r="U3" s="852"/>
      <c r="V3" s="846"/>
      <c r="W3" s="853"/>
      <c r="X3" s="846"/>
      <c r="Y3" s="846"/>
      <c r="Z3" s="846"/>
      <c r="AA3" s="846"/>
      <c r="AB3" s="846"/>
      <c r="AC3" s="846"/>
      <c r="AD3" s="846"/>
      <c r="AE3" s="846"/>
      <c r="AF3" s="846"/>
      <c r="AG3" s="846"/>
      <c r="AH3" s="846"/>
      <c r="AI3" s="848"/>
      <c r="AJ3" s="848"/>
      <c r="AK3" s="848"/>
      <c r="AL3" s="848"/>
      <c r="AM3" s="848"/>
      <c r="AN3" s="848"/>
      <c r="AO3" s="848"/>
      <c r="AP3" s="848"/>
      <c r="AQ3" s="848"/>
      <c r="AR3" s="848"/>
      <c r="AS3" s="848"/>
      <c r="AT3" s="848"/>
      <c r="AU3" s="848"/>
      <c r="AV3" s="848"/>
      <c r="AW3" s="848"/>
      <c r="AX3" s="848"/>
      <c r="AY3" s="848"/>
      <c r="AZ3" s="848"/>
      <c r="BA3" s="848"/>
      <c r="BB3" s="848"/>
      <c r="BC3" s="848"/>
      <c r="BD3" s="848"/>
      <c r="BE3" s="848"/>
      <c r="BF3" s="848"/>
      <c r="BG3" s="848"/>
      <c r="BH3" s="848"/>
      <c r="BI3" s="848"/>
      <c r="BJ3" s="848"/>
      <c r="BK3" s="848"/>
      <c r="BL3" s="848"/>
      <c r="BM3" s="848"/>
      <c r="BN3" s="848"/>
      <c r="BO3" s="848"/>
      <c r="BP3" s="848"/>
      <c r="BQ3" s="848"/>
      <c r="BR3" s="848"/>
      <c r="BS3" s="848"/>
      <c r="BT3" s="848"/>
      <c r="BU3" s="848"/>
      <c r="BV3" s="848"/>
      <c r="BW3" s="848"/>
      <c r="BX3" s="848"/>
      <c r="BY3" s="848"/>
      <c r="BZ3" s="848"/>
      <c r="CA3" s="848"/>
      <c r="CB3" s="848"/>
      <c r="CC3" s="848"/>
      <c r="CD3" s="848"/>
      <c r="CE3" s="848"/>
      <c r="CF3" s="848"/>
      <c r="CG3" s="848"/>
      <c r="CH3" s="848"/>
      <c r="CI3" s="848"/>
      <c r="CJ3" s="848"/>
      <c r="CK3" s="848"/>
      <c r="CL3" s="848"/>
      <c r="CM3" s="848"/>
      <c r="CN3" s="848"/>
      <c r="CO3" s="848"/>
      <c r="CP3" s="848"/>
      <c r="CQ3" s="848"/>
      <c r="CR3" s="848"/>
      <c r="CS3" s="848"/>
      <c r="CT3" s="848"/>
      <c r="CU3" s="848"/>
      <c r="CV3" s="848"/>
      <c r="CW3" s="848"/>
      <c r="CX3" s="848"/>
      <c r="CY3" s="848"/>
      <c r="CZ3" s="848"/>
      <c r="DA3" s="848"/>
      <c r="DB3" s="848"/>
      <c r="DC3" s="848"/>
      <c r="DD3" s="848"/>
      <c r="DE3" s="848"/>
      <c r="DF3" s="848"/>
      <c r="DG3" s="848"/>
      <c r="DH3" s="848"/>
      <c r="DI3" s="848"/>
      <c r="DJ3" s="848"/>
      <c r="DK3" s="848"/>
      <c r="DL3" s="848"/>
      <c r="DM3" s="848"/>
      <c r="DN3" s="848"/>
      <c r="DO3" s="848"/>
      <c r="DP3" s="848"/>
      <c r="DQ3" s="848"/>
      <c r="DR3" s="848"/>
      <c r="DS3" s="848"/>
      <c r="DT3" s="848"/>
      <c r="DU3" s="848"/>
      <c r="DV3" s="848"/>
      <c r="DW3" s="848"/>
      <c r="DX3" s="848"/>
      <c r="DY3" s="848"/>
      <c r="DZ3" s="848"/>
      <c r="EA3" s="848"/>
      <c r="EB3" s="848"/>
      <c r="EC3" s="848"/>
      <c r="ED3" s="848"/>
      <c r="EE3" s="848"/>
      <c r="EF3" s="848"/>
      <c r="EG3" s="848"/>
      <c r="EH3" s="848"/>
      <c r="EI3" s="848"/>
      <c r="EJ3" s="848"/>
      <c r="EK3" s="848"/>
      <c r="EL3" s="848"/>
      <c r="EM3" s="848"/>
      <c r="EN3" s="848"/>
      <c r="EO3" s="848"/>
      <c r="EP3" s="848"/>
      <c r="EQ3" s="848"/>
      <c r="ER3" s="848"/>
      <c r="ES3" s="848"/>
      <c r="ET3" s="848"/>
      <c r="EU3" s="848"/>
      <c r="EV3" s="848"/>
      <c r="EW3" s="848"/>
      <c r="EX3" s="848"/>
      <c r="EY3" s="848"/>
      <c r="EZ3" s="848"/>
      <c r="FA3" s="848"/>
      <c r="FB3" s="848"/>
      <c r="FC3" s="848"/>
      <c r="FD3" s="848"/>
      <c r="FE3" s="848"/>
      <c r="FF3" s="848"/>
      <c r="FG3" s="848"/>
      <c r="FH3" s="848"/>
      <c r="FI3" s="848"/>
      <c r="FJ3" s="848"/>
      <c r="FK3" s="848"/>
      <c r="FL3" s="848"/>
      <c r="FM3" s="848"/>
      <c r="FN3" s="848"/>
      <c r="FO3" s="848"/>
      <c r="FP3" s="848"/>
      <c r="FQ3" s="848"/>
      <c r="FR3" s="848"/>
      <c r="FS3" s="848"/>
      <c r="FT3" s="848"/>
      <c r="FU3" s="848"/>
      <c r="FV3" s="848"/>
      <c r="FW3" s="848"/>
      <c r="FX3" s="848"/>
      <c r="FY3" s="848"/>
      <c r="FZ3" s="848"/>
      <c r="GA3" s="848"/>
      <c r="GB3" s="848"/>
      <c r="GC3" s="848"/>
      <c r="GD3" s="848"/>
      <c r="GE3" s="848"/>
      <c r="GF3" s="848"/>
      <c r="GG3" s="848"/>
      <c r="GH3" s="848"/>
      <c r="GI3" s="848"/>
      <c r="GJ3" s="848"/>
      <c r="GK3" s="848"/>
      <c r="GL3" s="848"/>
      <c r="GM3" s="848"/>
      <c r="GN3" s="848"/>
      <c r="GO3" s="848"/>
      <c r="GP3" s="848"/>
      <c r="GQ3" s="848"/>
      <c r="GR3" s="848"/>
      <c r="GS3" s="848"/>
      <c r="GT3" s="848"/>
      <c r="GU3" s="848"/>
      <c r="GV3" s="848"/>
      <c r="GW3" s="848"/>
      <c r="GX3" s="848"/>
      <c r="GY3" s="848"/>
      <c r="GZ3" s="848"/>
      <c r="HA3" s="848"/>
      <c r="HB3" s="848"/>
      <c r="HC3" s="848"/>
      <c r="HD3" s="848"/>
      <c r="HE3" s="848"/>
      <c r="HF3" s="848"/>
      <c r="HG3" s="848"/>
      <c r="HH3" s="848"/>
      <c r="HI3" s="848"/>
      <c r="HJ3" s="848"/>
      <c r="HK3" s="848"/>
      <c r="HL3" s="848"/>
      <c r="HM3" s="848"/>
      <c r="HN3" s="848"/>
      <c r="HO3" s="848"/>
      <c r="HP3" s="848"/>
      <c r="HQ3" s="848"/>
      <c r="HR3" s="848"/>
      <c r="HS3" s="848"/>
      <c r="HT3" s="848"/>
      <c r="HU3" s="848"/>
      <c r="HV3" s="848"/>
      <c r="HW3" s="848"/>
      <c r="HX3" s="848"/>
      <c r="HY3" s="848"/>
      <c r="HZ3" s="848"/>
      <c r="IA3" s="848"/>
      <c r="IB3" s="848"/>
      <c r="IC3" s="848"/>
      <c r="ID3" s="848"/>
      <c r="IE3" s="848"/>
      <c r="IF3" s="848"/>
      <c r="IG3" s="848"/>
      <c r="IH3" s="848"/>
      <c r="II3" s="848"/>
      <c r="IJ3" s="848"/>
      <c r="IK3" s="848"/>
      <c r="IL3" s="848"/>
      <c r="IM3" s="848"/>
      <c r="IN3" s="848"/>
      <c r="IO3" s="848"/>
      <c r="IP3" s="848"/>
      <c r="IQ3" s="848"/>
      <c r="IR3" s="848"/>
      <c r="IS3" s="848"/>
      <c r="IT3" s="848"/>
      <c r="IU3" s="848"/>
      <c r="IV3" s="848"/>
      <c r="IW3" s="848"/>
      <c r="IX3" s="848"/>
      <c r="IY3" s="848"/>
      <c r="IZ3" s="848"/>
      <c r="JA3" s="848"/>
      <c r="JB3" s="848"/>
      <c r="JC3" s="848"/>
      <c r="JD3" s="848"/>
      <c r="JE3" s="848"/>
      <c r="JF3" s="848"/>
      <c r="JG3" s="848"/>
      <c r="JH3" s="848"/>
      <c r="JI3" s="848"/>
      <c r="JJ3" s="848"/>
      <c r="JK3" s="848"/>
      <c r="JL3" s="848"/>
      <c r="JM3" s="848"/>
      <c r="JN3" s="848"/>
      <c r="JO3" s="848"/>
      <c r="JP3" s="848"/>
      <c r="JQ3" s="848"/>
      <c r="JR3" s="848"/>
      <c r="JS3" s="848"/>
      <c r="JT3" s="848"/>
      <c r="JU3" s="848"/>
      <c r="JV3" s="848"/>
      <c r="JW3" s="848"/>
      <c r="JX3" s="848"/>
      <c r="JY3" s="848"/>
      <c r="JZ3" s="848"/>
      <c r="KA3" s="848"/>
      <c r="KB3" s="848"/>
      <c r="KC3" s="848"/>
      <c r="KD3" s="848"/>
      <c r="KE3" s="848"/>
      <c r="KF3" s="848"/>
      <c r="KG3" s="848"/>
      <c r="KH3" s="848"/>
      <c r="KI3" s="848"/>
      <c r="KJ3" s="848"/>
      <c r="KK3" s="848"/>
      <c r="KL3" s="848"/>
      <c r="KM3" s="848"/>
      <c r="KN3" s="848"/>
      <c r="KO3" s="848"/>
      <c r="KP3" s="848"/>
      <c r="KQ3" s="848"/>
      <c r="KR3" s="848"/>
      <c r="KS3" s="848"/>
      <c r="KT3" s="848"/>
      <c r="KU3" s="848"/>
      <c r="KV3" s="848"/>
      <c r="KW3" s="848"/>
      <c r="KX3" s="848"/>
      <c r="KY3" s="848"/>
      <c r="KZ3" s="848"/>
      <c r="LA3" s="848"/>
      <c r="LB3" s="848"/>
      <c r="LC3" s="848"/>
      <c r="LD3" s="848"/>
      <c r="LE3" s="848"/>
      <c r="LF3" s="848"/>
      <c r="LG3" s="848"/>
      <c r="LH3" s="848"/>
      <c r="LI3" s="848"/>
      <c r="LJ3" s="848"/>
      <c r="LK3" s="848"/>
      <c r="LL3" s="848"/>
      <c r="LM3" s="848"/>
      <c r="LN3" s="848"/>
      <c r="LO3" s="848"/>
      <c r="LP3" s="848"/>
      <c r="LQ3" s="848"/>
      <c r="LR3" s="848"/>
      <c r="LS3" s="848"/>
      <c r="LT3" s="848"/>
      <c r="LU3" s="848"/>
      <c r="LV3" s="848"/>
      <c r="LW3" s="848"/>
      <c r="LX3" s="848"/>
      <c r="LY3" s="848"/>
      <c r="LZ3" s="848"/>
      <c r="MA3" s="848"/>
      <c r="MB3" s="848"/>
      <c r="MC3" s="848"/>
      <c r="MD3" s="848"/>
      <c r="ME3" s="848"/>
      <c r="MF3" s="848"/>
      <c r="MG3" s="848"/>
      <c r="MH3" s="848"/>
      <c r="MI3" s="848"/>
      <c r="MJ3" s="848"/>
      <c r="MK3" s="848"/>
      <c r="ML3" s="848"/>
      <c r="MM3" s="848"/>
      <c r="MN3" s="848"/>
      <c r="MO3" s="848"/>
      <c r="MP3" s="848"/>
      <c r="MQ3" s="848"/>
      <c r="MR3" s="848"/>
      <c r="MS3" s="848"/>
      <c r="MT3" s="848"/>
      <c r="MU3" s="848"/>
      <c r="MV3" s="848"/>
      <c r="MW3" s="848"/>
      <c r="MX3" s="848"/>
      <c r="MY3" s="848"/>
      <c r="MZ3" s="848"/>
      <c r="NA3" s="848"/>
      <c r="NB3" s="848"/>
      <c r="NC3" s="848"/>
      <c r="ND3" s="848"/>
      <c r="NE3" s="848"/>
      <c r="NF3" s="848"/>
      <c r="NG3" s="848"/>
      <c r="NH3" s="848"/>
      <c r="NI3" s="848"/>
      <c r="NJ3" s="848"/>
      <c r="NK3" s="848"/>
      <c r="NL3" s="848"/>
      <c r="NM3" s="848"/>
      <c r="NN3" s="848"/>
      <c r="NO3" s="848"/>
      <c r="NP3" s="848"/>
      <c r="NQ3" s="848"/>
      <c r="NR3" s="848"/>
      <c r="NS3" s="848"/>
      <c r="NT3" s="848"/>
    </row>
    <row r="4" spans="1:384" s="890" customFormat="1" ht="14" customHeight="1">
      <c r="A4" s="849"/>
      <c r="B4" s="850"/>
      <c r="C4" s="851"/>
      <c r="D4" s="851"/>
      <c r="E4" s="851"/>
      <c r="F4" s="851"/>
      <c r="G4" s="851"/>
      <c r="H4" s="851"/>
      <c r="I4" s="851"/>
      <c r="J4" s="851"/>
      <c r="K4" s="851"/>
      <c r="L4" s="851"/>
      <c r="M4" s="851"/>
      <c r="N4" s="851"/>
      <c r="O4" s="851"/>
      <c r="P4" s="851"/>
      <c r="Q4" s="851"/>
      <c r="R4" s="852"/>
      <c r="S4" s="852"/>
      <c r="T4" s="846"/>
      <c r="U4" s="852"/>
      <c r="V4" s="846"/>
      <c r="W4" s="853"/>
      <c r="X4" s="846"/>
      <c r="Y4" s="846"/>
      <c r="Z4" s="846"/>
      <c r="AA4" s="846"/>
      <c r="AB4" s="846"/>
      <c r="AC4" s="846"/>
      <c r="AD4" s="846"/>
      <c r="AE4" s="846"/>
      <c r="AF4" s="846"/>
      <c r="AG4" s="846"/>
      <c r="AH4" s="846"/>
      <c r="AI4" s="848"/>
      <c r="AJ4" s="848"/>
      <c r="AK4" s="848"/>
      <c r="AL4" s="848"/>
      <c r="AM4" s="848"/>
      <c r="AN4" s="848"/>
      <c r="AO4" s="848"/>
      <c r="AP4" s="848"/>
      <c r="AQ4" s="848"/>
      <c r="AR4" s="848"/>
      <c r="AS4" s="848"/>
      <c r="AT4" s="848"/>
      <c r="AU4" s="848"/>
      <c r="AV4" s="848"/>
      <c r="AW4" s="848"/>
      <c r="AX4" s="848"/>
      <c r="AY4" s="848"/>
      <c r="AZ4" s="848"/>
      <c r="BA4" s="848"/>
      <c r="BB4" s="848"/>
      <c r="BC4" s="848"/>
      <c r="BD4" s="848"/>
      <c r="BE4" s="848"/>
      <c r="BF4" s="848"/>
      <c r="BG4" s="848"/>
      <c r="BH4" s="848"/>
      <c r="BI4" s="848"/>
      <c r="BJ4" s="848"/>
      <c r="BK4" s="848"/>
      <c r="BL4" s="848"/>
      <c r="BM4" s="848"/>
      <c r="BN4" s="848"/>
      <c r="BO4" s="848"/>
      <c r="BP4" s="848"/>
      <c r="BQ4" s="848"/>
      <c r="BR4" s="848"/>
      <c r="BS4" s="848"/>
      <c r="BT4" s="848"/>
      <c r="BU4" s="848"/>
      <c r="BV4" s="848"/>
      <c r="BW4" s="848"/>
      <c r="BX4" s="848"/>
      <c r="BY4" s="848"/>
      <c r="BZ4" s="848"/>
      <c r="CA4" s="848"/>
      <c r="CB4" s="848"/>
      <c r="CC4" s="848"/>
      <c r="CD4" s="848"/>
      <c r="CE4" s="848"/>
      <c r="CF4" s="848"/>
      <c r="CG4" s="848"/>
      <c r="CH4" s="848"/>
      <c r="CI4" s="848"/>
      <c r="CJ4" s="848"/>
      <c r="CK4" s="848"/>
      <c r="CL4" s="848"/>
      <c r="CM4" s="848"/>
      <c r="CN4" s="848"/>
      <c r="CO4" s="848"/>
      <c r="CP4" s="848"/>
      <c r="CQ4" s="848"/>
      <c r="CR4" s="848"/>
      <c r="CS4" s="848"/>
      <c r="CT4" s="848"/>
      <c r="CU4" s="848"/>
      <c r="CV4" s="848"/>
      <c r="CW4" s="848"/>
      <c r="CX4" s="848"/>
      <c r="CY4" s="848"/>
      <c r="CZ4" s="848"/>
      <c r="DA4" s="848"/>
      <c r="DB4" s="848"/>
      <c r="DC4" s="848"/>
      <c r="DD4" s="848"/>
      <c r="DE4" s="848"/>
      <c r="DF4" s="848"/>
      <c r="DG4" s="848"/>
      <c r="DH4" s="848"/>
      <c r="DI4" s="848"/>
      <c r="DJ4" s="848"/>
      <c r="DK4" s="848"/>
      <c r="DL4" s="848"/>
      <c r="DM4" s="848"/>
      <c r="DN4" s="848"/>
      <c r="DO4" s="848"/>
      <c r="DP4" s="848"/>
      <c r="DQ4" s="848"/>
      <c r="DR4" s="848"/>
      <c r="DS4" s="848"/>
      <c r="DT4" s="848"/>
      <c r="DU4" s="848"/>
      <c r="DV4" s="848"/>
      <c r="DW4" s="848"/>
      <c r="DX4" s="848"/>
      <c r="DY4" s="848"/>
      <c r="DZ4" s="848"/>
      <c r="EA4" s="848"/>
      <c r="EB4" s="848"/>
      <c r="EC4" s="848"/>
      <c r="ED4" s="848"/>
      <c r="EE4" s="848"/>
      <c r="EF4" s="848"/>
      <c r="EG4" s="848"/>
      <c r="EH4" s="848"/>
      <c r="EI4" s="848"/>
      <c r="EJ4" s="848"/>
      <c r="EK4" s="848"/>
      <c r="EL4" s="848"/>
      <c r="EM4" s="848"/>
      <c r="EN4" s="848"/>
      <c r="EO4" s="848"/>
      <c r="EP4" s="848"/>
      <c r="EQ4" s="848"/>
      <c r="ER4" s="848"/>
      <c r="ES4" s="848"/>
      <c r="ET4" s="848"/>
      <c r="EU4" s="848"/>
      <c r="EV4" s="848"/>
      <c r="EW4" s="848"/>
      <c r="EX4" s="848"/>
      <c r="EY4" s="848"/>
      <c r="EZ4" s="848"/>
      <c r="FA4" s="848"/>
      <c r="FB4" s="848"/>
      <c r="FC4" s="848"/>
      <c r="FD4" s="848"/>
      <c r="FE4" s="848"/>
      <c r="FF4" s="848"/>
      <c r="FG4" s="848"/>
      <c r="FH4" s="848"/>
      <c r="FI4" s="848"/>
      <c r="FJ4" s="848"/>
      <c r="FK4" s="848"/>
      <c r="FL4" s="848"/>
      <c r="FM4" s="848"/>
      <c r="FN4" s="848"/>
      <c r="FO4" s="848"/>
      <c r="FP4" s="848"/>
      <c r="FQ4" s="848"/>
      <c r="FR4" s="848"/>
      <c r="FS4" s="848"/>
      <c r="FT4" s="848"/>
      <c r="FU4" s="848"/>
      <c r="FV4" s="848"/>
      <c r="FW4" s="848"/>
      <c r="FX4" s="848"/>
      <c r="FY4" s="848"/>
      <c r="FZ4" s="848"/>
      <c r="GA4" s="848"/>
      <c r="GB4" s="848"/>
      <c r="GC4" s="848"/>
      <c r="GD4" s="848"/>
      <c r="GE4" s="848"/>
      <c r="GF4" s="848"/>
      <c r="GG4" s="848"/>
      <c r="GH4" s="848"/>
      <c r="GI4" s="848"/>
      <c r="GJ4" s="848"/>
      <c r="GK4" s="848"/>
      <c r="GL4" s="848"/>
      <c r="GM4" s="848"/>
      <c r="GN4" s="848"/>
      <c r="GO4" s="848"/>
      <c r="GP4" s="848"/>
      <c r="GQ4" s="848"/>
      <c r="GR4" s="848"/>
      <c r="GS4" s="848"/>
      <c r="GT4" s="848"/>
      <c r="GU4" s="848"/>
      <c r="GV4" s="848"/>
      <c r="GW4" s="848"/>
      <c r="GX4" s="848"/>
      <c r="GY4" s="848"/>
      <c r="GZ4" s="848"/>
      <c r="HA4" s="848"/>
      <c r="HB4" s="848"/>
      <c r="HC4" s="848"/>
      <c r="HD4" s="848"/>
      <c r="HE4" s="848"/>
      <c r="HF4" s="848"/>
      <c r="HG4" s="848"/>
      <c r="HH4" s="848"/>
      <c r="HI4" s="848"/>
      <c r="HJ4" s="848"/>
      <c r="HK4" s="848"/>
      <c r="HL4" s="848"/>
      <c r="HM4" s="848"/>
      <c r="HN4" s="848"/>
      <c r="HO4" s="848"/>
      <c r="HP4" s="848"/>
      <c r="HQ4" s="848"/>
      <c r="HR4" s="848"/>
      <c r="HS4" s="848"/>
      <c r="HT4" s="848"/>
      <c r="HU4" s="848"/>
      <c r="HV4" s="848"/>
      <c r="HW4" s="848"/>
      <c r="HX4" s="848"/>
      <c r="HY4" s="848"/>
      <c r="HZ4" s="848"/>
      <c r="IA4" s="848"/>
      <c r="IB4" s="848"/>
      <c r="IC4" s="848"/>
      <c r="ID4" s="848"/>
      <c r="IE4" s="848"/>
      <c r="IF4" s="848"/>
      <c r="IG4" s="848"/>
      <c r="IH4" s="848"/>
      <c r="II4" s="848"/>
      <c r="IJ4" s="848"/>
      <c r="IK4" s="848"/>
      <c r="IL4" s="848"/>
      <c r="IM4" s="848"/>
      <c r="IN4" s="848"/>
      <c r="IO4" s="848"/>
      <c r="IP4" s="848"/>
      <c r="IQ4" s="848"/>
      <c r="IR4" s="848"/>
      <c r="IS4" s="848"/>
      <c r="IT4" s="848"/>
      <c r="IU4" s="848"/>
      <c r="IV4" s="848"/>
      <c r="IW4" s="848"/>
      <c r="IX4" s="848"/>
      <c r="IY4" s="848"/>
      <c r="IZ4" s="848"/>
      <c r="JA4" s="848"/>
      <c r="JB4" s="848"/>
      <c r="JC4" s="848"/>
      <c r="JD4" s="848"/>
      <c r="JE4" s="848"/>
      <c r="JF4" s="848"/>
      <c r="JG4" s="848"/>
      <c r="JH4" s="848"/>
      <c r="JI4" s="848"/>
      <c r="JJ4" s="848"/>
      <c r="JK4" s="848"/>
      <c r="JL4" s="848"/>
      <c r="JM4" s="848"/>
      <c r="JN4" s="848"/>
      <c r="JO4" s="848"/>
      <c r="JP4" s="848"/>
      <c r="JQ4" s="848"/>
      <c r="JR4" s="848"/>
      <c r="JS4" s="848"/>
      <c r="JT4" s="848"/>
      <c r="JU4" s="848"/>
      <c r="JV4" s="848"/>
      <c r="JW4" s="848"/>
      <c r="JX4" s="848"/>
      <c r="JY4" s="848"/>
      <c r="JZ4" s="848"/>
      <c r="KA4" s="848"/>
      <c r="KB4" s="848"/>
      <c r="KC4" s="848"/>
      <c r="KD4" s="848"/>
      <c r="KE4" s="848"/>
      <c r="KF4" s="848"/>
      <c r="KG4" s="848"/>
      <c r="KH4" s="848"/>
      <c r="KI4" s="848"/>
      <c r="KJ4" s="848"/>
      <c r="KK4" s="848"/>
      <c r="KL4" s="848"/>
      <c r="KM4" s="848"/>
      <c r="KN4" s="848"/>
      <c r="KO4" s="848"/>
      <c r="KP4" s="848"/>
      <c r="KQ4" s="848"/>
      <c r="KR4" s="848"/>
      <c r="KS4" s="848"/>
      <c r="KT4" s="848"/>
      <c r="KU4" s="848"/>
      <c r="KV4" s="848"/>
      <c r="KW4" s="848"/>
      <c r="KX4" s="848"/>
      <c r="KY4" s="848"/>
      <c r="KZ4" s="848"/>
      <c r="LA4" s="848"/>
      <c r="LB4" s="848"/>
      <c r="LC4" s="848"/>
      <c r="LD4" s="848"/>
      <c r="LE4" s="848"/>
      <c r="LF4" s="848"/>
      <c r="LG4" s="848"/>
      <c r="LH4" s="848"/>
      <c r="LI4" s="848"/>
      <c r="LJ4" s="848"/>
      <c r="LK4" s="848"/>
      <c r="LL4" s="848"/>
      <c r="LM4" s="848"/>
      <c r="LN4" s="848"/>
      <c r="LO4" s="848"/>
      <c r="LP4" s="848"/>
      <c r="LQ4" s="848"/>
      <c r="LR4" s="848"/>
      <c r="LS4" s="848"/>
      <c r="LT4" s="848"/>
      <c r="LU4" s="848"/>
      <c r="LV4" s="848"/>
      <c r="LW4" s="848"/>
      <c r="LX4" s="848"/>
      <c r="LY4" s="848"/>
      <c r="LZ4" s="848"/>
      <c r="MA4" s="848"/>
      <c r="MB4" s="848"/>
      <c r="MC4" s="848"/>
      <c r="MD4" s="848"/>
      <c r="ME4" s="848"/>
      <c r="MF4" s="848"/>
      <c r="MG4" s="848"/>
      <c r="MH4" s="848"/>
      <c r="MI4" s="848"/>
      <c r="MJ4" s="848"/>
      <c r="MK4" s="848"/>
      <c r="ML4" s="848"/>
      <c r="MM4" s="848"/>
      <c r="MN4" s="848"/>
      <c r="MO4" s="848"/>
      <c r="MP4" s="848"/>
      <c r="MQ4" s="848"/>
      <c r="MR4" s="848"/>
      <c r="MS4" s="848"/>
      <c r="MT4" s="848"/>
      <c r="MU4" s="848"/>
      <c r="MV4" s="848"/>
      <c r="MW4" s="848"/>
      <c r="MX4" s="848"/>
      <c r="MY4" s="848"/>
      <c r="MZ4" s="848"/>
      <c r="NA4" s="848"/>
      <c r="NB4" s="848"/>
      <c r="NC4" s="848"/>
      <c r="ND4" s="848"/>
      <c r="NE4" s="848"/>
      <c r="NF4" s="848"/>
      <c r="NG4" s="848"/>
      <c r="NH4" s="848"/>
      <c r="NI4" s="848"/>
      <c r="NJ4" s="848"/>
      <c r="NK4" s="848"/>
      <c r="NL4" s="848"/>
      <c r="NM4" s="848"/>
      <c r="NN4" s="848"/>
      <c r="NO4" s="848"/>
      <c r="NP4" s="848"/>
      <c r="NQ4" s="848"/>
      <c r="NR4" s="848"/>
      <c r="NS4" s="848"/>
      <c r="NT4" s="848"/>
    </row>
    <row r="5" spans="1:384" s="890" customFormat="1" ht="14" customHeight="1">
      <c r="A5" s="849"/>
      <c r="B5" s="850"/>
      <c r="C5" s="851"/>
      <c r="D5" s="851"/>
      <c r="E5" s="851"/>
      <c r="F5" s="851"/>
      <c r="G5" s="851"/>
      <c r="H5" s="851"/>
      <c r="I5" s="851"/>
      <c r="J5" s="851"/>
      <c r="K5" s="851"/>
      <c r="L5" s="851"/>
      <c r="M5" s="851"/>
      <c r="N5" s="851"/>
      <c r="O5" s="851"/>
      <c r="P5" s="851"/>
      <c r="Q5" s="851"/>
      <c r="R5" s="852"/>
      <c r="S5" s="852"/>
      <c r="T5" s="846"/>
      <c r="U5" s="852"/>
      <c r="V5" s="846"/>
      <c r="W5" s="853"/>
      <c r="X5" s="846"/>
      <c r="Y5" s="846"/>
      <c r="Z5" s="846"/>
      <c r="AA5" s="846"/>
      <c r="AB5" s="846"/>
      <c r="AC5" s="846"/>
      <c r="AD5" s="846"/>
      <c r="AE5" s="846"/>
      <c r="AF5" s="846"/>
      <c r="AG5" s="846"/>
      <c r="AH5" s="846"/>
      <c r="AI5" s="848"/>
      <c r="AJ5" s="848"/>
      <c r="AK5" s="848"/>
      <c r="AL5" s="848"/>
      <c r="AM5" s="848"/>
      <c r="AN5" s="848"/>
      <c r="AO5" s="848"/>
      <c r="AP5" s="848"/>
      <c r="AQ5" s="848"/>
      <c r="AR5" s="848"/>
      <c r="AS5" s="848"/>
      <c r="AT5" s="848"/>
      <c r="AU5" s="848"/>
      <c r="AV5" s="848"/>
      <c r="AW5" s="848"/>
      <c r="AX5" s="848"/>
      <c r="AY5" s="848"/>
      <c r="AZ5" s="848"/>
      <c r="BA5" s="848"/>
      <c r="BB5" s="848"/>
      <c r="BC5" s="848"/>
      <c r="BD5" s="848"/>
      <c r="BE5" s="848"/>
      <c r="BF5" s="848"/>
      <c r="BG5" s="848"/>
      <c r="BH5" s="848"/>
      <c r="BI5" s="848"/>
      <c r="BJ5" s="848"/>
      <c r="BK5" s="848"/>
      <c r="BL5" s="848"/>
      <c r="BM5" s="848"/>
      <c r="BN5" s="848"/>
      <c r="BO5" s="848"/>
      <c r="BP5" s="848"/>
      <c r="BQ5" s="848"/>
      <c r="BR5" s="848"/>
      <c r="BS5" s="848"/>
      <c r="BT5" s="848"/>
      <c r="BU5" s="848"/>
      <c r="BV5" s="848"/>
      <c r="BW5" s="848"/>
      <c r="BX5" s="848"/>
      <c r="BY5" s="848"/>
      <c r="BZ5" s="848"/>
      <c r="CA5" s="848"/>
      <c r="CB5" s="848"/>
      <c r="CC5" s="848"/>
      <c r="CD5" s="848"/>
      <c r="CE5" s="848"/>
      <c r="CF5" s="848"/>
      <c r="CG5" s="848"/>
      <c r="CH5" s="848"/>
      <c r="CI5" s="848"/>
      <c r="CJ5" s="848"/>
      <c r="CK5" s="848"/>
      <c r="CL5" s="848"/>
      <c r="CM5" s="848"/>
      <c r="CN5" s="848"/>
      <c r="CO5" s="848"/>
      <c r="CP5" s="848"/>
      <c r="CQ5" s="848"/>
      <c r="CR5" s="848"/>
      <c r="CS5" s="848"/>
      <c r="CT5" s="848"/>
      <c r="CU5" s="848"/>
      <c r="CV5" s="848"/>
      <c r="CW5" s="848"/>
      <c r="CX5" s="848"/>
      <c r="CY5" s="848"/>
      <c r="CZ5" s="848"/>
      <c r="DA5" s="848"/>
      <c r="DB5" s="848"/>
      <c r="DC5" s="848"/>
      <c r="DD5" s="848"/>
      <c r="DE5" s="848"/>
      <c r="DF5" s="848"/>
      <c r="DG5" s="848"/>
      <c r="DH5" s="848"/>
      <c r="DI5" s="848"/>
      <c r="DJ5" s="848"/>
      <c r="DK5" s="848"/>
      <c r="DL5" s="848"/>
      <c r="DM5" s="848"/>
      <c r="DN5" s="848"/>
      <c r="DO5" s="848"/>
      <c r="DP5" s="848"/>
      <c r="DQ5" s="848"/>
      <c r="DR5" s="848"/>
      <c r="DS5" s="848"/>
      <c r="DT5" s="848"/>
      <c r="DU5" s="848"/>
      <c r="DV5" s="848"/>
      <c r="DW5" s="848"/>
      <c r="DX5" s="848"/>
      <c r="DY5" s="848"/>
      <c r="DZ5" s="848"/>
      <c r="EA5" s="848"/>
      <c r="EB5" s="848"/>
      <c r="EC5" s="848"/>
      <c r="ED5" s="848"/>
      <c r="EE5" s="848"/>
      <c r="EF5" s="848"/>
      <c r="EG5" s="848"/>
      <c r="EH5" s="848"/>
      <c r="EI5" s="848"/>
      <c r="EJ5" s="848"/>
      <c r="EK5" s="848"/>
      <c r="EL5" s="848"/>
      <c r="EM5" s="848"/>
      <c r="EN5" s="848"/>
      <c r="EO5" s="848"/>
      <c r="EP5" s="848"/>
      <c r="EQ5" s="848"/>
      <c r="ER5" s="848"/>
      <c r="ES5" s="848"/>
      <c r="ET5" s="848"/>
      <c r="EU5" s="848"/>
      <c r="EV5" s="848"/>
      <c r="EW5" s="848"/>
      <c r="EX5" s="848"/>
      <c r="EY5" s="848"/>
      <c r="EZ5" s="848"/>
      <c r="FA5" s="848"/>
      <c r="FB5" s="848"/>
      <c r="FC5" s="848"/>
      <c r="FD5" s="848"/>
      <c r="FE5" s="848"/>
      <c r="FF5" s="848"/>
      <c r="FG5" s="848"/>
      <c r="FH5" s="848"/>
      <c r="FI5" s="848"/>
      <c r="FJ5" s="848"/>
      <c r="FK5" s="848"/>
      <c r="FL5" s="848"/>
      <c r="FM5" s="848"/>
      <c r="FN5" s="848"/>
      <c r="FO5" s="848"/>
      <c r="FP5" s="848"/>
      <c r="FQ5" s="848"/>
      <c r="FR5" s="848"/>
      <c r="FS5" s="848"/>
      <c r="FT5" s="848"/>
      <c r="FU5" s="848"/>
      <c r="FV5" s="848"/>
      <c r="FW5" s="848"/>
      <c r="FX5" s="848"/>
      <c r="FY5" s="848"/>
      <c r="FZ5" s="848"/>
      <c r="GA5" s="848"/>
      <c r="GB5" s="848"/>
      <c r="GC5" s="848"/>
      <c r="GD5" s="848"/>
      <c r="GE5" s="848"/>
      <c r="GF5" s="848"/>
      <c r="GG5" s="848"/>
      <c r="GH5" s="848"/>
      <c r="GI5" s="848"/>
      <c r="GJ5" s="848"/>
      <c r="GK5" s="848"/>
      <c r="GL5" s="848"/>
      <c r="GM5" s="848"/>
      <c r="GN5" s="848"/>
      <c r="GO5" s="848"/>
      <c r="GP5" s="848"/>
      <c r="GQ5" s="848"/>
      <c r="GR5" s="848"/>
      <c r="GS5" s="848"/>
      <c r="GT5" s="848"/>
      <c r="GU5" s="848"/>
      <c r="GV5" s="848"/>
      <c r="GW5" s="848"/>
      <c r="GX5" s="848"/>
      <c r="GY5" s="848"/>
      <c r="GZ5" s="848"/>
      <c r="HA5" s="848"/>
      <c r="HB5" s="848"/>
      <c r="HC5" s="848"/>
      <c r="HD5" s="848"/>
      <c r="HE5" s="848"/>
      <c r="HF5" s="848"/>
      <c r="HG5" s="848"/>
      <c r="HH5" s="848"/>
      <c r="HI5" s="848"/>
      <c r="HJ5" s="848"/>
      <c r="HK5" s="848"/>
      <c r="HL5" s="848"/>
      <c r="HM5" s="848"/>
      <c r="HN5" s="848"/>
      <c r="HO5" s="848"/>
      <c r="HP5" s="848"/>
      <c r="HQ5" s="848"/>
      <c r="HR5" s="848"/>
      <c r="HS5" s="848"/>
      <c r="HT5" s="848"/>
      <c r="HU5" s="848"/>
      <c r="HV5" s="848"/>
      <c r="HW5" s="848"/>
      <c r="HX5" s="848"/>
      <c r="HY5" s="848"/>
      <c r="HZ5" s="848"/>
      <c r="IA5" s="848"/>
      <c r="IB5" s="848"/>
      <c r="IC5" s="848"/>
      <c r="ID5" s="848"/>
      <c r="IE5" s="848"/>
      <c r="IF5" s="848"/>
      <c r="IG5" s="848"/>
      <c r="IH5" s="848"/>
      <c r="II5" s="848"/>
      <c r="IJ5" s="848"/>
      <c r="IK5" s="848"/>
      <c r="IL5" s="848"/>
      <c r="IM5" s="848"/>
      <c r="IN5" s="848"/>
      <c r="IO5" s="848"/>
      <c r="IP5" s="848"/>
      <c r="IQ5" s="848"/>
      <c r="IR5" s="848"/>
      <c r="IS5" s="848"/>
      <c r="IT5" s="848"/>
      <c r="IU5" s="848"/>
      <c r="IV5" s="848"/>
      <c r="IW5" s="848"/>
      <c r="IX5" s="848"/>
      <c r="IY5" s="848"/>
      <c r="IZ5" s="848"/>
      <c r="JA5" s="848"/>
      <c r="JB5" s="848"/>
      <c r="JC5" s="848"/>
      <c r="JD5" s="848"/>
      <c r="JE5" s="848"/>
      <c r="JF5" s="848"/>
      <c r="JG5" s="848"/>
      <c r="JH5" s="848"/>
      <c r="JI5" s="848"/>
      <c r="JJ5" s="848"/>
      <c r="JK5" s="848"/>
      <c r="JL5" s="848"/>
      <c r="JM5" s="848"/>
      <c r="JN5" s="848"/>
      <c r="JO5" s="848"/>
      <c r="JP5" s="848"/>
      <c r="JQ5" s="848"/>
      <c r="JR5" s="848"/>
      <c r="JS5" s="848"/>
      <c r="JT5" s="848"/>
      <c r="JU5" s="848"/>
      <c r="JV5" s="848"/>
      <c r="JW5" s="848"/>
      <c r="JX5" s="848"/>
      <c r="JY5" s="848"/>
      <c r="JZ5" s="848"/>
      <c r="KA5" s="848"/>
      <c r="KB5" s="848"/>
      <c r="KC5" s="848"/>
      <c r="KD5" s="848"/>
      <c r="KE5" s="848"/>
      <c r="KF5" s="848"/>
      <c r="KG5" s="848"/>
      <c r="KH5" s="848"/>
      <c r="KI5" s="848"/>
      <c r="KJ5" s="848"/>
      <c r="KK5" s="848"/>
      <c r="KL5" s="848"/>
      <c r="KM5" s="848"/>
      <c r="KN5" s="848"/>
      <c r="KO5" s="848"/>
      <c r="KP5" s="848"/>
      <c r="KQ5" s="848"/>
      <c r="KR5" s="848"/>
      <c r="KS5" s="848"/>
      <c r="KT5" s="848"/>
      <c r="KU5" s="848"/>
      <c r="KV5" s="848"/>
      <c r="KW5" s="848"/>
      <c r="KX5" s="848"/>
      <c r="KY5" s="848"/>
      <c r="KZ5" s="848"/>
      <c r="LA5" s="848"/>
      <c r="LB5" s="848"/>
      <c r="LC5" s="848"/>
      <c r="LD5" s="848"/>
      <c r="LE5" s="848"/>
      <c r="LF5" s="848"/>
      <c r="LG5" s="848"/>
      <c r="LH5" s="848"/>
      <c r="LI5" s="848"/>
      <c r="LJ5" s="848"/>
      <c r="LK5" s="848"/>
      <c r="LL5" s="848"/>
      <c r="LM5" s="848"/>
      <c r="LN5" s="848"/>
      <c r="LO5" s="848"/>
      <c r="LP5" s="848"/>
      <c r="LQ5" s="848"/>
      <c r="LR5" s="848"/>
      <c r="LS5" s="848"/>
      <c r="LT5" s="848"/>
      <c r="LU5" s="848"/>
      <c r="LV5" s="848"/>
      <c r="LW5" s="848"/>
      <c r="LX5" s="848"/>
      <c r="LY5" s="848"/>
      <c r="LZ5" s="848"/>
      <c r="MA5" s="848"/>
      <c r="MB5" s="848"/>
      <c r="MC5" s="848"/>
      <c r="MD5" s="848"/>
      <c r="ME5" s="848"/>
      <c r="MF5" s="848"/>
      <c r="MG5" s="848"/>
      <c r="MH5" s="848"/>
      <c r="MI5" s="848"/>
      <c r="MJ5" s="848"/>
      <c r="MK5" s="848"/>
      <c r="ML5" s="848"/>
      <c r="MM5" s="848"/>
      <c r="MN5" s="848"/>
      <c r="MO5" s="848"/>
      <c r="MP5" s="848"/>
      <c r="MQ5" s="848"/>
      <c r="MR5" s="848"/>
      <c r="MS5" s="848"/>
      <c r="MT5" s="848"/>
      <c r="MU5" s="848"/>
      <c r="MV5" s="848"/>
      <c r="MW5" s="848"/>
      <c r="MX5" s="848"/>
      <c r="MY5" s="848"/>
      <c r="MZ5" s="848"/>
      <c r="NA5" s="848"/>
      <c r="NB5" s="848"/>
      <c r="NC5" s="848"/>
      <c r="ND5" s="848"/>
      <c r="NE5" s="848"/>
      <c r="NF5" s="848"/>
      <c r="NG5" s="848"/>
      <c r="NH5" s="848"/>
      <c r="NI5" s="848"/>
      <c r="NJ5" s="848"/>
      <c r="NK5" s="848"/>
      <c r="NL5" s="848"/>
      <c r="NM5" s="848"/>
      <c r="NN5" s="848"/>
      <c r="NO5" s="848"/>
      <c r="NP5" s="848"/>
      <c r="NQ5" s="848"/>
      <c r="NR5" s="848"/>
      <c r="NS5" s="848"/>
      <c r="NT5" s="848"/>
    </row>
    <row r="6" spans="1:384" s="890" customFormat="1" ht="14" customHeight="1">
      <c r="A6" s="849"/>
      <c r="B6" s="850"/>
      <c r="C6" s="851"/>
      <c r="D6" s="851"/>
      <c r="E6" s="851"/>
      <c r="F6" s="851"/>
      <c r="G6" s="851"/>
      <c r="H6" s="851"/>
      <c r="I6" s="851"/>
      <c r="J6" s="851"/>
      <c r="K6" s="851"/>
      <c r="L6" s="851"/>
      <c r="M6" s="851"/>
      <c r="N6" s="851"/>
      <c r="O6" s="851"/>
      <c r="P6" s="854"/>
      <c r="Q6" s="854"/>
      <c r="R6" s="855"/>
      <c r="S6" s="852"/>
      <c r="T6" s="852"/>
      <c r="U6" s="856"/>
      <c r="V6" s="846"/>
      <c r="W6" s="846"/>
      <c r="X6" s="846"/>
      <c r="Y6" s="846"/>
      <c r="Z6" s="846"/>
      <c r="AA6" s="846"/>
      <c r="AB6" s="846"/>
      <c r="AC6" s="846"/>
      <c r="AD6" s="846"/>
      <c r="AE6" s="846"/>
      <c r="AF6" s="846"/>
      <c r="AG6" s="846"/>
      <c r="AH6" s="846"/>
      <c r="AI6" s="848"/>
      <c r="AJ6" s="848"/>
      <c r="AK6" s="848"/>
      <c r="AL6" s="848"/>
      <c r="AM6" s="848"/>
      <c r="AN6" s="848"/>
      <c r="AO6" s="848"/>
      <c r="AP6" s="848"/>
      <c r="AQ6" s="848"/>
      <c r="AR6" s="848"/>
      <c r="AS6" s="848"/>
      <c r="AT6" s="848"/>
      <c r="AU6" s="848"/>
      <c r="AV6" s="848"/>
      <c r="AW6" s="848"/>
      <c r="AX6" s="848"/>
      <c r="AY6" s="848"/>
      <c r="AZ6" s="848"/>
      <c r="BA6" s="848"/>
      <c r="BB6" s="848"/>
      <c r="BC6" s="848"/>
      <c r="BD6" s="848"/>
      <c r="BE6" s="848"/>
      <c r="BF6" s="848"/>
      <c r="BG6" s="848"/>
      <c r="BH6" s="848"/>
      <c r="BI6" s="848"/>
      <c r="BJ6" s="848"/>
      <c r="BK6" s="848"/>
      <c r="BL6" s="848"/>
      <c r="BM6" s="848"/>
      <c r="BN6" s="848"/>
      <c r="BO6" s="848"/>
      <c r="BP6" s="848"/>
      <c r="BQ6" s="848"/>
      <c r="BR6" s="848"/>
      <c r="BS6" s="848"/>
      <c r="BT6" s="848"/>
      <c r="BU6" s="848"/>
      <c r="BV6" s="848"/>
      <c r="BW6" s="848"/>
      <c r="BX6" s="848"/>
      <c r="BY6" s="848"/>
      <c r="BZ6" s="848"/>
      <c r="CA6" s="848"/>
      <c r="CB6" s="848"/>
      <c r="CC6" s="848"/>
      <c r="CD6" s="848"/>
      <c r="CE6" s="848"/>
      <c r="CF6" s="848"/>
      <c r="CG6" s="848"/>
      <c r="CH6" s="848"/>
      <c r="CI6" s="848"/>
      <c r="CJ6" s="848"/>
      <c r="CK6" s="848"/>
      <c r="CL6" s="848"/>
      <c r="CM6" s="848"/>
      <c r="CN6" s="848"/>
      <c r="CO6" s="848"/>
      <c r="CP6" s="848"/>
      <c r="CQ6" s="848"/>
      <c r="CR6" s="848"/>
      <c r="CS6" s="848"/>
      <c r="CT6" s="848"/>
      <c r="CU6" s="848"/>
      <c r="CV6" s="848"/>
      <c r="CW6" s="848"/>
      <c r="CX6" s="848"/>
      <c r="CY6" s="848"/>
      <c r="CZ6" s="848"/>
      <c r="DA6" s="848"/>
      <c r="DB6" s="848"/>
      <c r="DC6" s="848"/>
      <c r="DD6" s="848"/>
      <c r="DE6" s="848"/>
      <c r="DF6" s="848"/>
      <c r="DG6" s="848"/>
      <c r="DH6" s="848"/>
      <c r="DI6" s="848"/>
      <c r="DJ6" s="848"/>
      <c r="DK6" s="848"/>
      <c r="DL6" s="848"/>
      <c r="DM6" s="848"/>
      <c r="DN6" s="848"/>
      <c r="DO6" s="848"/>
      <c r="DP6" s="848"/>
      <c r="DQ6" s="848"/>
      <c r="DR6" s="848"/>
      <c r="DS6" s="848"/>
      <c r="DT6" s="848"/>
      <c r="DU6" s="848"/>
      <c r="DV6" s="848"/>
      <c r="DW6" s="848"/>
      <c r="DX6" s="848"/>
      <c r="DY6" s="848"/>
      <c r="DZ6" s="848"/>
      <c r="EA6" s="848"/>
      <c r="EB6" s="848"/>
      <c r="EC6" s="848"/>
      <c r="ED6" s="848"/>
      <c r="EE6" s="848"/>
      <c r="EF6" s="848"/>
      <c r="EG6" s="848"/>
      <c r="EH6" s="848"/>
      <c r="EI6" s="848"/>
      <c r="EJ6" s="848"/>
      <c r="EK6" s="848"/>
      <c r="EL6" s="848"/>
      <c r="EM6" s="848"/>
      <c r="EN6" s="848"/>
      <c r="EO6" s="848"/>
      <c r="EP6" s="848"/>
      <c r="EQ6" s="848"/>
      <c r="ER6" s="848"/>
      <c r="ES6" s="848"/>
      <c r="ET6" s="848"/>
      <c r="EU6" s="848"/>
      <c r="EV6" s="848"/>
      <c r="EW6" s="848"/>
      <c r="EX6" s="848"/>
      <c r="EY6" s="848"/>
      <c r="EZ6" s="848"/>
      <c r="FA6" s="848"/>
      <c r="FB6" s="848"/>
      <c r="FC6" s="848"/>
      <c r="FD6" s="848"/>
      <c r="FE6" s="848"/>
      <c r="FF6" s="848"/>
      <c r="FG6" s="848"/>
      <c r="FH6" s="848"/>
      <c r="FI6" s="848"/>
      <c r="FJ6" s="848"/>
      <c r="FK6" s="848"/>
      <c r="FL6" s="848"/>
      <c r="FM6" s="848"/>
      <c r="FN6" s="848"/>
      <c r="FO6" s="848"/>
      <c r="FP6" s="848"/>
      <c r="FQ6" s="848"/>
      <c r="FR6" s="848"/>
      <c r="FS6" s="848"/>
      <c r="FT6" s="848"/>
      <c r="FU6" s="848"/>
      <c r="FV6" s="848"/>
      <c r="FW6" s="848"/>
      <c r="FX6" s="848"/>
      <c r="FY6" s="848"/>
      <c r="FZ6" s="848"/>
      <c r="GA6" s="848"/>
      <c r="GB6" s="848"/>
      <c r="GC6" s="848"/>
      <c r="GD6" s="848"/>
      <c r="GE6" s="848"/>
      <c r="GF6" s="848"/>
      <c r="GG6" s="848"/>
      <c r="GH6" s="848"/>
      <c r="GI6" s="848"/>
      <c r="GJ6" s="848"/>
      <c r="GK6" s="848"/>
      <c r="GL6" s="848"/>
      <c r="GM6" s="848"/>
      <c r="GN6" s="848"/>
      <c r="GO6" s="848"/>
      <c r="GP6" s="848"/>
      <c r="GQ6" s="848"/>
      <c r="GR6" s="848"/>
      <c r="GS6" s="848"/>
      <c r="GT6" s="848"/>
      <c r="GU6" s="848"/>
      <c r="GV6" s="848"/>
      <c r="GW6" s="848"/>
      <c r="GX6" s="848"/>
      <c r="GY6" s="848"/>
      <c r="GZ6" s="848"/>
      <c r="HA6" s="848"/>
      <c r="HB6" s="848"/>
      <c r="HC6" s="848"/>
      <c r="HD6" s="848"/>
      <c r="HE6" s="848"/>
      <c r="HF6" s="848"/>
      <c r="HG6" s="848"/>
      <c r="HH6" s="848"/>
      <c r="HI6" s="848"/>
      <c r="HJ6" s="848"/>
      <c r="HK6" s="848"/>
      <c r="HL6" s="848"/>
      <c r="HM6" s="848"/>
      <c r="HN6" s="848"/>
      <c r="HO6" s="848"/>
      <c r="HP6" s="848"/>
      <c r="HQ6" s="848"/>
      <c r="HR6" s="848"/>
      <c r="HS6" s="848"/>
      <c r="HT6" s="848"/>
      <c r="HU6" s="848"/>
      <c r="HV6" s="848"/>
      <c r="HW6" s="848"/>
      <c r="HX6" s="848"/>
      <c r="HY6" s="848"/>
      <c r="HZ6" s="848"/>
      <c r="IA6" s="848"/>
      <c r="IB6" s="848"/>
      <c r="IC6" s="848"/>
      <c r="ID6" s="848"/>
      <c r="IE6" s="848"/>
      <c r="IF6" s="848"/>
      <c r="IG6" s="848"/>
      <c r="IH6" s="848"/>
      <c r="II6" s="848"/>
      <c r="IJ6" s="848"/>
      <c r="IK6" s="848"/>
      <c r="IL6" s="848"/>
      <c r="IM6" s="848"/>
      <c r="IN6" s="848"/>
      <c r="IO6" s="848"/>
      <c r="IP6" s="848"/>
      <c r="IQ6" s="848"/>
      <c r="IR6" s="848"/>
      <c r="IS6" s="848"/>
      <c r="IT6" s="848"/>
      <c r="IU6" s="848"/>
      <c r="IV6" s="848"/>
      <c r="IW6" s="848"/>
      <c r="IX6" s="848"/>
      <c r="IY6" s="848"/>
      <c r="IZ6" s="848"/>
      <c r="JA6" s="848"/>
      <c r="JB6" s="848"/>
      <c r="JC6" s="848"/>
      <c r="JD6" s="848"/>
      <c r="JE6" s="848"/>
      <c r="JF6" s="848"/>
      <c r="JG6" s="848"/>
      <c r="JH6" s="848"/>
      <c r="JI6" s="848"/>
      <c r="JJ6" s="848"/>
      <c r="JK6" s="848"/>
      <c r="JL6" s="848"/>
      <c r="JM6" s="848"/>
      <c r="JN6" s="848"/>
      <c r="JO6" s="848"/>
      <c r="JP6" s="848"/>
      <c r="JQ6" s="848"/>
      <c r="JR6" s="848"/>
      <c r="JS6" s="848"/>
      <c r="JT6" s="848"/>
      <c r="JU6" s="848"/>
      <c r="JV6" s="848"/>
      <c r="JW6" s="848"/>
      <c r="JX6" s="848"/>
      <c r="JY6" s="848"/>
      <c r="JZ6" s="848"/>
      <c r="KA6" s="848"/>
      <c r="KB6" s="848"/>
      <c r="KC6" s="848"/>
      <c r="KD6" s="848"/>
      <c r="KE6" s="848"/>
      <c r="KF6" s="848"/>
      <c r="KG6" s="848"/>
      <c r="KH6" s="848"/>
      <c r="KI6" s="848"/>
      <c r="KJ6" s="848"/>
      <c r="KK6" s="848"/>
      <c r="KL6" s="848"/>
      <c r="KM6" s="848"/>
      <c r="KN6" s="848"/>
      <c r="KO6" s="848"/>
      <c r="KP6" s="848"/>
      <c r="KQ6" s="848"/>
      <c r="KR6" s="848"/>
      <c r="KS6" s="848"/>
      <c r="KT6" s="848"/>
      <c r="KU6" s="848"/>
      <c r="KV6" s="848"/>
      <c r="KW6" s="848"/>
      <c r="KX6" s="848"/>
      <c r="KY6" s="848"/>
      <c r="KZ6" s="848"/>
      <c r="LA6" s="848"/>
      <c r="LB6" s="848"/>
      <c r="LC6" s="848"/>
      <c r="LD6" s="848"/>
      <c r="LE6" s="848"/>
      <c r="LF6" s="848"/>
      <c r="LG6" s="848"/>
      <c r="LH6" s="848"/>
      <c r="LI6" s="848"/>
      <c r="LJ6" s="848"/>
      <c r="LK6" s="848"/>
      <c r="LL6" s="848"/>
      <c r="LM6" s="848"/>
      <c r="LN6" s="848"/>
      <c r="LO6" s="848"/>
      <c r="LP6" s="848"/>
      <c r="LQ6" s="848"/>
      <c r="LR6" s="848"/>
      <c r="LS6" s="848"/>
      <c r="LT6" s="848"/>
      <c r="LU6" s="848"/>
      <c r="LV6" s="848"/>
      <c r="LW6" s="848"/>
      <c r="LX6" s="848"/>
      <c r="LY6" s="848"/>
      <c r="LZ6" s="848"/>
      <c r="MA6" s="848"/>
      <c r="MB6" s="848"/>
      <c r="MC6" s="848"/>
      <c r="MD6" s="848"/>
      <c r="ME6" s="848"/>
      <c r="MF6" s="848"/>
      <c r="MG6" s="848"/>
      <c r="MH6" s="848"/>
      <c r="MI6" s="848"/>
      <c r="MJ6" s="848"/>
      <c r="MK6" s="848"/>
      <c r="ML6" s="848"/>
      <c r="MM6" s="848"/>
      <c r="MN6" s="848"/>
      <c r="MO6" s="848"/>
      <c r="MP6" s="848"/>
      <c r="MQ6" s="848"/>
      <c r="MR6" s="848"/>
      <c r="MS6" s="848"/>
      <c r="MT6" s="848"/>
      <c r="MU6" s="848"/>
      <c r="MV6" s="848"/>
      <c r="MW6" s="848"/>
      <c r="MX6" s="848"/>
      <c r="MY6" s="848"/>
      <c r="MZ6" s="848"/>
      <c r="NA6" s="848"/>
      <c r="NB6" s="848"/>
      <c r="NC6" s="848"/>
      <c r="ND6" s="848"/>
      <c r="NE6" s="848"/>
      <c r="NF6" s="848"/>
      <c r="NG6" s="848"/>
      <c r="NH6" s="848"/>
      <c r="NI6" s="848"/>
      <c r="NJ6" s="848"/>
      <c r="NK6" s="848"/>
      <c r="NL6" s="848"/>
      <c r="NM6" s="848"/>
      <c r="NN6" s="848"/>
      <c r="NO6" s="848"/>
      <c r="NP6" s="848"/>
      <c r="NQ6" s="848"/>
      <c r="NR6" s="848"/>
      <c r="NS6" s="848"/>
      <c r="NT6" s="848"/>
    </row>
    <row r="7" spans="1:384" s="890" customFormat="1" ht="14" customHeight="1">
      <c r="A7" s="849"/>
      <c r="B7" s="850"/>
      <c r="C7" s="851"/>
      <c r="D7" s="851"/>
      <c r="E7" s="851"/>
      <c r="F7" s="851"/>
      <c r="G7" s="846"/>
      <c r="H7" s="846"/>
      <c r="I7" s="846"/>
      <c r="J7" s="846"/>
      <c r="K7" s="846"/>
      <c r="L7" s="846"/>
      <c r="M7" s="846"/>
      <c r="N7" s="846"/>
      <c r="O7" s="853"/>
      <c r="P7" s="853"/>
      <c r="Q7" s="857"/>
      <c r="R7" s="846"/>
      <c r="S7" s="853"/>
      <c r="T7" s="858"/>
      <c r="U7" s="858"/>
      <c r="V7" s="846"/>
      <c r="W7" s="846"/>
      <c r="X7" s="846"/>
      <c r="Y7" s="846"/>
      <c r="Z7" s="846"/>
      <c r="AA7" s="846"/>
      <c r="AB7" s="846"/>
      <c r="AC7" s="846"/>
      <c r="AD7" s="846"/>
      <c r="AE7" s="846"/>
      <c r="AF7" s="846"/>
      <c r="AG7" s="846"/>
      <c r="AH7" s="846"/>
      <c r="AI7" s="848"/>
      <c r="AJ7" s="848"/>
      <c r="AK7" s="848"/>
      <c r="AL7" s="848"/>
      <c r="AM7" s="848"/>
      <c r="AN7" s="848"/>
      <c r="AO7" s="848"/>
      <c r="AP7" s="848"/>
      <c r="AQ7" s="848"/>
      <c r="AR7" s="848"/>
      <c r="AS7" s="848"/>
      <c r="AT7" s="848"/>
      <c r="AU7" s="848"/>
      <c r="AV7" s="848"/>
      <c r="AW7" s="848"/>
      <c r="AX7" s="848"/>
      <c r="AY7" s="848"/>
      <c r="AZ7" s="848"/>
      <c r="BA7" s="848"/>
      <c r="BB7" s="848"/>
      <c r="BC7" s="848"/>
      <c r="BD7" s="848"/>
      <c r="BE7" s="848"/>
      <c r="BF7" s="848"/>
      <c r="BG7" s="848"/>
      <c r="BH7" s="848"/>
      <c r="BI7" s="848"/>
      <c r="BJ7" s="848"/>
      <c r="BK7" s="848"/>
      <c r="BL7" s="848"/>
      <c r="BM7" s="848"/>
      <c r="BN7" s="848"/>
      <c r="BO7" s="848"/>
      <c r="BP7" s="848"/>
      <c r="BQ7" s="848"/>
      <c r="BR7" s="848"/>
      <c r="BS7" s="848"/>
      <c r="BT7" s="848"/>
      <c r="BU7" s="848"/>
      <c r="BV7" s="848"/>
      <c r="BW7" s="848"/>
      <c r="BX7" s="848"/>
      <c r="BY7" s="848"/>
      <c r="BZ7" s="848"/>
      <c r="CA7" s="848"/>
      <c r="CB7" s="848"/>
      <c r="CC7" s="848"/>
      <c r="CD7" s="848"/>
      <c r="CE7" s="848"/>
      <c r="CF7" s="848"/>
      <c r="CG7" s="848"/>
      <c r="CH7" s="848"/>
      <c r="CI7" s="848"/>
      <c r="CJ7" s="848"/>
      <c r="CK7" s="848"/>
      <c r="CL7" s="848"/>
      <c r="CM7" s="848"/>
      <c r="CN7" s="848"/>
      <c r="CO7" s="848"/>
      <c r="CP7" s="848"/>
      <c r="CQ7" s="848"/>
      <c r="CR7" s="848"/>
      <c r="CS7" s="848"/>
      <c r="CT7" s="848"/>
      <c r="CU7" s="848"/>
      <c r="CV7" s="848"/>
      <c r="CW7" s="848"/>
      <c r="CX7" s="848"/>
      <c r="CY7" s="848"/>
      <c r="CZ7" s="848"/>
      <c r="DA7" s="848"/>
      <c r="DB7" s="848"/>
      <c r="DC7" s="848"/>
      <c r="DD7" s="848"/>
      <c r="DE7" s="848"/>
      <c r="DF7" s="848"/>
      <c r="DG7" s="848"/>
      <c r="DH7" s="848"/>
      <c r="DI7" s="848"/>
      <c r="DJ7" s="848"/>
      <c r="DK7" s="848"/>
      <c r="DL7" s="848"/>
      <c r="DM7" s="848"/>
      <c r="DN7" s="848"/>
      <c r="DO7" s="848"/>
      <c r="DP7" s="848"/>
      <c r="DQ7" s="848"/>
      <c r="DR7" s="848"/>
      <c r="DS7" s="848"/>
      <c r="DT7" s="848"/>
      <c r="DU7" s="848"/>
      <c r="DV7" s="848"/>
      <c r="DW7" s="848"/>
      <c r="DX7" s="848"/>
      <c r="DY7" s="848"/>
      <c r="DZ7" s="848"/>
      <c r="EA7" s="848"/>
      <c r="EB7" s="848"/>
      <c r="EC7" s="848"/>
      <c r="ED7" s="848"/>
      <c r="EE7" s="848"/>
      <c r="EF7" s="848"/>
      <c r="EG7" s="848"/>
      <c r="EH7" s="848"/>
      <c r="EI7" s="848"/>
      <c r="EJ7" s="848"/>
      <c r="EK7" s="848"/>
      <c r="EL7" s="848"/>
      <c r="EM7" s="848"/>
      <c r="EN7" s="848"/>
      <c r="EO7" s="848"/>
      <c r="EP7" s="848"/>
      <c r="EQ7" s="848"/>
      <c r="ER7" s="848"/>
      <c r="ES7" s="848"/>
      <c r="ET7" s="848"/>
      <c r="EU7" s="848"/>
      <c r="EV7" s="848"/>
      <c r="EW7" s="848"/>
      <c r="EX7" s="848"/>
      <c r="EY7" s="848"/>
      <c r="EZ7" s="848"/>
      <c r="FA7" s="848"/>
      <c r="FB7" s="848"/>
      <c r="FC7" s="848"/>
      <c r="FD7" s="848"/>
      <c r="FE7" s="848"/>
      <c r="FF7" s="848"/>
      <c r="FG7" s="848"/>
      <c r="FH7" s="848"/>
      <c r="FI7" s="848"/>
      <c r="FJ7" s="848"/>
      <c r="FK7" s="848"/>
      <c r="FL7" s="848"/>
      <c r="FM7" s="848"/>
      <c r="FN7" s="848"/>
      <c r="FO7" s="848"/>
      <c r="FP7" s="848"/>
      <c r="FQ7" s="848"/>
      <c r="FR7" s="848"/>
      <c r="FS7" s="848"/>
      <c r="FT7" s="848"/>
      <c r="FU7" s="848"/>
      <c r="FV7" s="848"/>
      <c r="FW7" s="848"/>
      <c r="FX7" s="848"/>
      <c r="FY7" s="848"/>
      <c r="FZ7" s="848"/>
      <c r="GA7" s="848"/>
      <c r="GB7" s="848"/>
      <c r="GC7" s="848"/>
      <c r="GD7" s="848"/>
      <c r="GE7" s="848"/>
      <c r="GF7" s="848"/>
      <c r="GG7" s="848"/>
      <c r="GH7" s="848"/>
      <c r="GI7" s="848"/>
      <c r="GJ7" s="848"/>
      <c r="GK7" s="848"/>
      <c r="GL7" s="848"/>
      <c r="GM7" s="848"/>
      <c r="GN7" s="848"/>
      <c r="GO7" s="848"/>
      <c r="GP7" s="848"/>
      <c r="GQ7" s="848"/>
      <c r="GR7" s="848"/>
      <c r="GS7" s="848"/>
      <c r="GT7" s="848"/>
      <c r="GU7" s="848"/>
      <c r="GV7" s="848"/>
      <c r="GW7" s="848"/>
      <c r="GX7" s="848"/>
      <c r="GY7" s="848"/>
      <c r="GZ7" s="848"/>
      <c r="HA7" s="848"/>
      <c r="HB7" s="848"/>
      <c r="HC7" s="848"/>
      <c r="HD7" s="848"/>
      <c r="HE7" s="848"/>
      <c r="HF7" s="848"/>
      <c r="HG7" s="848"/>
      <c r="HH7" s="848"/>
      <c r="HI7" s="848"/>
      <c r="HJ7" s="848"/>
      <c r="HK7" s="848"/>
      <c r="HL7" s="848"/>
      <c r="HM7" s="848"/>
      <c r="HN7" s="848"/>
      <c r="HO7" s="848"/>
      <c r="HP7" s="848"/>
      <c r="HQ7" s="848"/>
      <c r="HR7" s="848"/>
      <c r="HS7" s="848"/>
      <c r="HT7" s="848"/>
      <c r="HU7" s="848"/>
      <c r="HV7" s="848"/>
      <c r="HW7" s="848"/>
      <c r="HX7" s="848"/>
      <c r="HY7" s="848"/>
      <c r="HZ7" s="848"/>
      <c r="IA7" s="848"/>
      <c r="IB7" s="848"/>
      <c r="IC7" s="848"/>
      <c r="ID7" s="848"/>
      <c r="IE7" s="848"/>
      <c r="IF7" s="848"/>
      <c r="IG7" s="848"/>
      <c r="IH7" s="848"/>
      <c r="II7" s="848"/>
      <c r="IJ7" s="848"/>
      <c r="IK7" s="848"/>
      <c r="IL7" s="848"/>
      <c r="IM7" s="848"/>
      <c r="IN7" s="848"/>
      <c r="IO7" s="848"/>
      <c r="IP7" s="848"/>
      <c r="IQ7" s="848"/>
      <c r="IR7" s="848"/>
      <c r="IS7" s="848"/>
      <c r="IT7" s="848"/>
      <c r="IU7" s="848"/>
      <c r="IV7" s="848"/>
      <c r="IW7" s="848"/>
      <c r="IX7" s="848"/>
      <c r="IY7" s="848"/>
      <c r="IZ7" s="848"/>
      <c r="JA7" s="848"/>
      <c r="JB7" s="848"/>
      <c r="JC7" s="848"/>
      <c r="JD7" s="848"/>
      <c r="JE7" s="848"/>
      <c r="JF7" s="848"/>
      <c r="JG7" s="848"/>
      <c r="JH7" s="848"/>
      <c r="JI7" s="848"/>
      <c r="JJ7" s="848"/>
      <c r="JK7" s="848"/>
      <c r="JL7" s="848"/>
      <c r="JM7" s="848"/>
      <c r="JN7" s="848"/>
      <c r="JO7" s="848"/>
      <c r="JP7" s="848"/>
      <c r="JQ7" s="848"/>
      <c r="JR7" s="848"/>
      <c r="JS7" s="848"/>
      <c r="JT7" s="848"/>
      <c r="JU7" s="848"/>
      <c r="JV7" s="848"/>
      <c r="JW7" s="848"/>
      <c r="JX7" s="848"/>
      <c r="JY7" s="848"/>
      <c r="JZ7" s="848"/>
      <c r="KA7" s="848"/>
      <c r="KB7" s="848"/>
      <c r="KC7" s="848"/>
      <c r="KD7" s="848"/>
      <c r="KE7" s="848"/>
      <c r="KF7" s="848"/>
      <c r="KG7" s="848"/>
      <c r="KH7" s="848"/>
      <c r="KI7" s="848"/>
      <c r="KJ7" s="848"/>
      <c r="KK7" s="848"/>
      <c r="KL7" s="848"/>
      <c r="KM7" s="848"/>
      <c r="KN7" s="848"/>
      <c r="KO7" s="848"/>
      <c r="KP7" s="848"/>
      <c r="KQ7" s="848"/>
      <c r="KR7" s="848"/>
      <c r="KS7" s="848"/>
      <c r="KT7" s="848"/>
      <c r="KU7" s="848"/>
      <c r="KV7" s="848"/>
      <c r="KW7" s="848"/>
      <c r="KX7" s="848"/>
      <c r="KY7" s="848"/>
      <c r="KZ7" s="848"/>
      <c r="LA7" s="848"/>
      <c r="LB7" s="848"/>
      <c r="LC7" s="848"/>
      <c r="LD7" s="848"/>
      <c r="LE7" s="848"/>
      <c r="LF7" s="848"/>
      <c r="LG7" s="848"/>
      <c r="LH7" s="848"/>
      <c r="LI7" s="848"/>
      <c r="LJ7" s="848"/>
      <c r="LK7" s="848"/>
      <c r="LL7" s="848"/>
      <c r="LM7" s="848"/>
      <c r="LN7" s="848"/>
      <c r="LO7" s="848"/>
      <c r="LP7" s="848"/>
      <c r="LQ7" s="848"/>
      <c r="LR7" s="848"/>
      <c r="LS7" s="848"/>
      <c r="LT7" s="848"/>
      <c r="LU7" s="848"/>
      <c r="LV7" s="848"/>
      <c r="LW7" s="848"/>
      <c r="LX7" s="848"/>
      <c r="LY7" s="848"/>
      <c r="LZ7" s="848"/>
      <c r="MA7" s="848"/>
      <c r="MB7" s="848"/>
      <c r="MC7" s="848"/>
      <c r="MD7" s="848"/>
      <c r="ME7" s="848"/>
      <c r="MF7" s="848"/>
      <c r="MG7" s="848"/>
      <c r="MH7" s="848"/>
      <c r="MI7" s="848"/>
      <c r="MJ7" s="848"/>
      <c r="MK7" s="848"/>
      <c r="ML7" s="848"/>
      <c r="MM7" s="848"/>
      <c r="MN7" s="848"/>
      <c r="MO7" s="848"/>
      <c r="MP7" s="848"/>
      <c r="MQ7" s="848"/>
      <c r="MR7" s="848"/>
      <c r="MS7" s="848"/>
      <c r="MT7" s="848"/>
      <c r="MU7" s="848"/>
      <c r="MV7" s="848"/>
      <c r="MW7" s="848"/>
      <c r="MX7" s="848"/>
      <c r="MY7" s="848"/>
      <c r="MZ7" s="848"/>
      <c r="NA7" s="848"/>
      <c r="NB7" s="848"/>
      <c r="NC7" s="848"/>
      <c r="ND7" s="848"/>
      <c r="NE7" s="848"/>
      <c r="NF7" s="848"/>
      <c r="NG7" s="848"/>
      <c r="NH7" s="848"/>
      <c r="NI7" s="848"/>
      <c r="NJ7" s="848"/>
      <c r="NK7" s="848"/>
      <c r="NL7" s="848"/>
      <c r="NM7" s="848"/>
      <c r="NN7" s="848"/>
      <c r="NO7" s="848"/>
      <c r="NP7" s="848"/>
      <c r="NQ7" s="848"/>
      <c r="NR7" s="848"/>
      <c r="NS7" s="848"/>
      <c r="NT7" s="848"/>
    </row>
    <row r="8" spans="1:384" s="890" customFormat="1" ht="14" customHeight="1">
      <c r="A8" s="849"/>
      <c r="B8" s="850"/>
      <c r="C8" s="851"/>
      <c r="D8" s="851"/>
      <c r="E8" s="851"/>
      <c r="F8" s="851"/>
      <c r="G8" s="846"/>
      <c r="H8" s="846"/>
      <c r="I8" s="846"/>
      <c r="J8" s="846"/>
      <c r="K8" s="846"/>
      <c r="L8" s="846"/>
      <c r="M8" s="846"/>
      <c r="N8" s="846"/>
      <c r="O8" s="853"/>
      <c r="P8" s="853"/>
      <c r="Q8" s="857"/>
      <c r="R8" s="846"/>
      <c r="S8" s="853"/>
      <c r="T8" s="858"/>
      <c r="U8" s="858"/>
      <c r="V8" s="846"/>
      <c r="W8" s="846"/>
      <c r="X8" s="846"/>
      <c r="Y8" s="846"/>
      <c r="Z8" s="846"/>
      <c r="AA8" s="846"/>
      <c r="AB8" s="846"/>
      <c r="AC8" s="846"/>
      <c r="AD8" s="846"/>
      <c r="AE8" s="846"/>
      <c r="AF8" s="846"/>
      <c r="AG8" s="846"/>
      <c r="AH8" s="846"/>
      <c r="AI8" s="848"/>
      <c r="AJ8" s="848"/>
      <c r="AK8" s="848"/>
      <c r="AL8" s="848"/>
      <c r="AM8" s="848"/>
      <c r="AN8" s="848"/>
      <c r="AO8" s="848"/>
      <c r="AP8" s="848"/>
      <c r="AQ8" s="848"/>
      <c r="AR8" s="848"/>
      <c r="AS8" s="848"/>
      <c r="AT8" s="848"/>
      <c r="AU8" s="848"/>
      <c r="AV8" s="848"/>
      <c r="AW8" s="848"/>
      <c r="AX8" s="848"/>
      <c r="AY8" s="848"/>
      <c r="AZ8" s="848"/>
      <c r="BA8" s="848"/>
      <c r="BB8" s="848"/>
      <c r="BC8" s="848"/>
      <c r="BD8" s="848"/>
      <c r="BE8" s="848"/>
      <c r="BF8" s="848"/>
      <c r="BG8" s="848"/>
      <c r="BH8" s="848"/>
      <c r="BI8" s="848"/>
      <c r="BJ8" s="848"/>
      <c r="BK8" s="848"/>
      <c r="BL8" s="848"/>
      <c r="BM8" s="848"/>
      <c r="BN8" s="848"/>
      <c r="BO8" s="848"/>
      <c r="BP8" s="848"/>
      <c r="BQ8" s="848"/>
      <c r="BR8" s="848"/>
      <c r="BS8" s="848"/>
      <c r="BT8" s="848"/>
      <c r="BU8" s="848"/>
      <c r="BV8" s="848"/>
      <c r="BW8" s="848"/>
      <c r="BX8" s="848"/>
      <c r="BY8" s="848"/>
      <c r="BZ8" s="848"/>
      <c r="CA8" s="848"/>
      <c r="CB8" s="848"/>
      <c r="CC8" s="848"/>
      <c r="CD8" s="848"/>
      <c r="CE8" s="848"/>
      <c r="CF8" s="848"/>
      <c r="CG8" s="848"/>
      <c r="CH8" s="848"/>
      <c r="CI8" s="848"/>
      <c r="CJ8" s="848"/>
      <c r="CK8" s="848"/>
      <c r="CL8" s="848"/>
      <c r="CM8" s="848"/>
      <c r="CN8" s="848"/>
      <c r="CO8" s="848"/>
      <c r="CP8" s="848"/>
      <c r="CQ8" s="848"/>
      <c r="CR8" s="848"/>
      <c r="CS8" s="848"/>
      <c r="CT8" s="848"/>
      <c r="CU8" s="848"/>
      <c r="CV8" s="848"/>
      <c r="CW8" s="848"/>
      <c r="CX8" s="848"/>
      <c r="CY8" s="848"/>
      <c r="CZ8" s="848"/>
      <c r="DA8" s="848"/>
      <c r="DB8" s="848"/>
      <c r="DC8" s="848"/>
      <c r="DD8" s="848"/>
      <c r="DE8" s="848"/>
      <c r="DF8" s="848"/>
      <c r="DG8" s="848"/>
      <c r="DH8" s="848"/>
      <c r="DI8" s="848"/>
      <c r="DJ8" s="848"/>
      <c r="DK8" s="848"/>
      <c r="DL8" s="848"/>
      <c r="DM8" s="848"/>
      <c r="DN8" s="848"/>
      <c r="DO8" s="848"/>
      <c r="DP8" s="848"/>
      <c r="DQ8" s="848"/>
      <c r="DR8" s="848"/>
      <c r="DS8" s="848"/>
      <c r="DT8" s="848"/>
      <c r="DU8" s="848"/>
      <c r="DV8" s="848"/>
      <c r="DW8" s="848"/>
      <c r="DX8" s="848"/>
      <c r="DY8" s="848"/>
      <c r="DZ8" s="848"/>
      <c r="EA8" s="848"/>
      <c r="EB8" s="848"/>
      <c r="EC8" s="848"/>
      <c r="ED8" s="848"/>
      <c r="EE8" s="848"/>
      <c r="EF8" s="848"/>
      <c r="EG8" s="848"/>
      <c r="EH8" s="848"/>
      <c r="EI8" s="848"/>
      <c r="EJ8" s="848"/>
      <c r="EK8" s="848"/>
      <c r="EL8" s="848"/>
      <c r="EM8" s="848"/>
      <c r="EN8" s="848"/>
      <c r="EO8" s="848"/>
      <c r="EP8" s="848"/>
      <c r="EQ8" s="848"/>
      <c r="ER8" s="848"/>
      <c r="ES8" s="848"/>
      <c r="ET8" s="848"/>
      <c r="EU8" s="848"/>
      <c r="EV8" s="848"/>
      <c r="EW8" s="848"/>
      <c r="EX8" s="848"/>
      <c r="EY8" s="848"/>
      <c r="EZ8" s="848"/>
      <c r="FA8" s="848"/>
      <c r="FB8" s="848"/>
      <c r="FC8" s="848"/>
      <c r="FD8" s="848"/>
      <c r="FE8" s="848"/>
      <c r="FF8" s="848"/>
      <c r="FG8" s="848"/>
      <c r="FH8" s="848"/>
      <c r="FI8" s="848"/>
      <c r="FJ8" s="848"/>
      <c r="FK8" s="848"/>
      <c r="FL8" s="848"/>
      <c r="FM8" s="848"/>
      <c r="FN8" s="848"/>
      <c r="FO8" s="848"/>
      <c r="FP8" s="848"/>
      <c r="FQ8" s="848"/>
      <c r="FR8" s="848"/>
      <c r="FS8" s="848"/>
      <c r="FT8" s="848"/>
      <c r="FU8" s="848"/>
      <c r="FV8" s="848"/>
      <c r="FW8" s="848"/>
      <c r="FX8" s="848"/>
      <c r="FY8" s="848"/>
      <c r="FZ8" s="848"/>
      <c r="GA8" s="848"/>
      <c r="GB8" s="848"/>
      <c r="GC8" s="848"/>
      <c r="GD8" s="848"/>
      <c r="GE8" s="848"/>
      <c r="GF8" s="848"/>
      <c r="GG8" s="848"/>
      <c r="GH8" s="848"/>
      <c r="GI8" s="848"/>
      <c r="GJ8" s="848"/>
      <c r="GK8" s="848"/>
      <c r="GL8" s="848"/>
      <c r="GM8" s="848"/>
      <c r="GN8" s="848"/>
      <c r="GO8" s="848"/>
      <c r="GP8" s="848"/>
      <c r="GQ8" s="848"/>
      <c r="GR8" s="848"/>
      <c r="GS8" s="848"/>
      <c r="GT8" s="848"/>
      <c r="GU8" s="848"/>
      <c r="GV8" s="848"/>
      <c r="GW8" s="848"/>
      <c r="GX8" s="848"/>
      <c r="GY8" s="848"/>
      <c r="GZ8" s="848"/>
      <c r="HA8" s="848"/>
      <c r="HB8" s="848"/>
      <c r="HC8" s="848"/>
      <c r="HD8" s="848"/>
      <c r="HE8" s="848"/>
      <c r="HF8" s="848"/>
      <c r="HG8" s="848"/>
      <c r="HH8" s="848"/>
      <c r="HI8" s="848"/>
      <c r="HJ8" s="848"/>
      <c r="HK8" s="848"/>
      <c r="HL8" s="848"/>
      <c r="HM8" s="848"/>
      <c r="HN8" s="848"/>
      <c r="HO8" s="848"/>
      <c r="HP8" s="848"/>
      <c r="HQ8" s="848"/>
      <c r="HR8" s="848"/>
      <c r="HS8" s="848"/>
      <c r="HT8" s="848"/>
      <c r="HU8" s="848"/>
      <c r="HV8" s="848"/>
      <c r="HW8" s="848"/>
      <c r="HX8" s="848"/>
      <c r="HY8" s="848"/>
      <c r="HZ8" s="848"/>
      <c r="IA8" s="848"/>
      <c r="IB8" s="848"/>
      <c r="IC8" s="848"/>
      <c r="ID8" s="848"/>
      <c r="IE8" s="848"/>
      <c r="IF8" s="848"/>
      <c r="IG8" s="848"/>
      <c r="IH8" s="848"/>
      <c r="II8" s="848"/>
      <c r="IJ8" s="848"/>
      <c r="IK8" s="848"/>
      <c r="IL8" s="848"/>
      <c r="IM8" s="848"/>
      <c r="IN8" s="848"/>
      <c r="IO8" s="848"/>
      <c r="IP8" s="848"/>
      <c r="IQ8" s="848"/>
      <c r="IR8" s="848"/>
      <c r="IS8" s="848"/>
      <c r="IT8" s="848"/>
      <c r="IU8" s="848"/>
      <c r="IV8" s="848"/>
      <c r="IW8" s="848"/>
      <c r="IX8" s="848"/>
      <c r="IY8" s="848"/>
      <c r="IZ8" s="848"/>
      <c r="JA8" s="848"/>
      <c r="JB8" s="848"/>
      <c r="JC8" s="848"/>
      <c r="JD8" s="848"/>
      <c r="JE8" s="848"/>
      <c r="JF8" s="848"/>
      <c r="JG8" s="848"/>
      <c r="JH8" s="848"/>
      <c r="JI8" s="848"/>
      <c r="JJ8" s="848"/>
      <c r="JK8" s="848"/>
      <c r="JL8" s="848"/>
      <c r="JM8" s="848"/>
      <c r="JN8" s="848"/>
      <c r="JO8" s="848"/>
      <c r="JP8" s="848"/>
      <c r="JQ8" s="848"/>
      <c r="JR8" s="848"/>
      <c r="JS8" s="848"/>
      <c r="JT8" s="848"/>
      <c r="JU8" s="848"/>
      <c r="JV8" s="848"/>
      <c r="JW8" s="848"/>
      <c r="JX8" s="848"/>
      <c r="JY8" s="848"/>
      <c r="JZ8" s="848"/>
      <c r="KA8" s="848"/>
      <c r="KB8" s="848"/>
      <c r="KC8" s="848"/>
      <c r="KD8" s="848"/>
      <c r="KE8" s="848"/>
      <c r="KF8" s="848"/>
      <c r="KG8" s="848"/>
      <c r="KH8" s="848"/>
      <c r="KI8" s="848"/>
      <c r="KJ8" s="848"/>
      <c r="KK8" s="848"/>
      <c r="KL8" s="848"/>
      <c r="KM8" s="848"/>
      <c r="KN8" s="848"/>
      <c r="KO8" s="848"/>
      <c r="KP8" s="848"/>
      <c r="KQ8" s="848"/>
      <c r="KR8" s="848"/>
      <c r="KS8" s="848"/>
      <c r="KT8" s="848"/>
      <c r="KU8" s="848"/>
      <c r="KV8" s="848"/>
      <c r="KW8" s="848"/>
      <c r="KX8" s="848"/>
      <c r="KY8" s="848"/>
      <c r="KZ8" s="848"/>
      <c r="LA8" s="848"/>
      <c r="LB8" s="848"/>
      <c r="LC8" s="848"/>
      <c r="LD8" s="848"/>
      <c r="LE8" s="848"/>
      <c r="LF8" s="848"/>
      <c r="LG8" s="848"/>
      <c r="LH8" s="848"/>
      <c r="LI8" s="848"/>
      <c r="LJ8" s="848"/>
      <c r="LK8" s="848"/>
      <c r="LL8" s="848"/>
      <c r="LM8" s="848"/>
      <c r="LN8" s="848"/>
      <c r="LO8" s="848"/>
      <c r="LP8" s="848"/>
      <c r="LQ8" s="848"/>
      <c r="LR8" s="848"/>
      <c r="LS8" s="848"/>
      <c r="LT8" s="848"/>
      <c r="LU8" s="848"/>
      <c r="LV8" s="848"/>
      <c r="LW8" s="848"/>
      <c r="LX8" s="848"/>
      <c r="LY8" s="848"/>
      <c r="LZ8" s="848"/>
      <c r="MA8" s="848"/>
      <c r="MB8" s="848"/>
      <c r="MC8" s="848"/>
      <c r="MD8" s="848"/>
      <c r="ME8" s="848"/>
      <c r="MF8" s="848"/>
      <c r="MG8" s="848"/>
      <c r="MH8" s="848"/>
      <c r="MI8" s="848"/>
      <c r="MJ8" s="848"/>
      <c r="MK8" s="848"/>
      <c r="ML8" s="848"/>
      <c r="MM8" s="848"/>
      <c r="MN8" s="848"/>
      <c r="MO8" s="848"/>
      <c r="MP8" s="848"/>
      <c r="MQ8" s="848"/>
      <c r="MR8" s="848"/>
      <c r="MS8" s="848"/>
      <c r="MT8" s="848"/>
      <c r="MU8" s="848"/>
      <c r="MV8" s="848"/>
      <c r="MW8" s="848"/>
      <c r="MX8" s="848"/>
      <c r="MY8" s="848"/>
      <c r="MZ8" s="848"/>
      <c r="NA8" s="848"/>
      <c r="NB8" s="848"/>
      <c r="NC8" s="848"/>
      <c r="ND8" s="848"/>
      <c r="NE8" s="848"/>
      <c r="NF8" s="848"/>
      <c r="NG8" s="848"/>
      <c r="NH8" s="848"/>
      <c r="NI8" s="848"/>
      <c r="NJ8" s="848"/>
      <c r="NK8" s="848"/>
      <c r="NL8" s="848"/>
      <c r="NM8" s="848"/>
      <c r="NN8" s="848"/>
      <c r="NO8" s="848"/>
      <c r="NP8" s="848"/>
      <c r="NQ8" s="848"/>
      <c r="NR8" s="848"/>
      <c r="NS8" s="848"/>
      <c r="NT8" s="848"/>
    </row>
    <row r="9" spans="1:384" s="890" customFormat="1" ht="14" customHeight="1">
      <c r="A9" s="849"/>
      <c r="B9" s="850"/>
      <c r="C9" s="851"/>
      <c r="D9" s="851"/>
      <c r="E9" s="851"/>
      <c r="F9" s="851"/>
      <c r="G9" s="846"/>
      <c r="H9" s="846"/>
      <c r="I9" s="846"/>
      <c r="J9" s="846"/>
      <c r="K9" s="846"/>
      <c r="L9" s="846"/>
      <c r="M9" s="846"/>
      <c r="N9" s="846"/>
      <c r="O9" s="853"/>
      <c r="P9" s="853"/>
      <c r="Q9" s="857"/>
      <c r="R9" s="846"/>
      <c r="S9" s="853"/>
      <c r="T9" s="858"/>
      <c r="U9" s="858"/>
      <c r="V9" s="846"/>
      <c r="W9" s="846"/>
      <c r="X9" s="846"/>
      <c r="Y9" s="846"/>
      <c r="Z9" s="846"/>
      <c r="AA9" s="846"/>
      <c r="AB9" s="846"/>
      <c r="AC9" s="846"/>
      <c r="AD9" s="846"/>
      <c r="AE9" s="846"/>
      <c r="AF9" s="846"/>
      <c r="AG9" s="846"/>
      <c r="AH9" s="846"/>
      <c r="AI9" s="848"/>
      <c r="AJ9" s="848"/>
      <c r="AK9" s="848"/>
      <c r="AL9" s="848"/>
      <c r="AM9" s="848"/>
      <c r="AN9" s="848"/>
      <c r="AO9" s="848"/>
      <c r="AP9" s="848"/>
      <c r="AQ9" s="848"/>
      <c r="AR9" s="848"/>
      <c r="AS9" s="848"/>
      <c r="AT9" s="848"/>
      <c r="AU9" s="848"/>
      <c r="AV9" s="848"/>
      <c r="AW9" s="848"/>
      <c r="AX9" s="848"/>
      <c r="AY9" s="848"/>
      <c r="AZ9" s="848"/>
      <c r="BA9" s="848"/>
      <c r="BB9" s="848"/>
      <c r="BC9" s="848"/>
      <c r="BD9" s="848"/>
      <c r="BE9" s="848"/>
      <c r="BF9" s="848"/>
      <c r="BG9" s="848"/>
      <c r="BH9" s="848"/>
      <c r="BI9" s="848"/>
      <c r="BJ9" s="848"/>
      <c r="BK9" s="848"/>
      <c r="BL9" s="848"/>
      <c r="BM9" s="848"/>
      <c r="BN9" s="848"/>
      <c r="BO9" s="848"/>
      <c r="BP9" s="848"/>
      <c r="BQ9" s="848"/>
      <c r="BR9" s="848"/>
      <c r="BS9" s="848"/>
      <c r="BT9" s="848"/>
      <c r="BU9" s="848"/>
      <c r="BV9" s="848"/>
      <c r="BW9" s="848"/>
      <c r="BX9" s="848"/>
      <c r="BY9" s="848"/>
      <c r="BZ9" s="848"/>
      <c r="CA9" s="848"/>
      <c r="CB9" s="848"/>
      <c r="CC9" s="848"/>
      <c r="CD9" s="848"/>
      <c r="CE9" s="848"/>
      <c r="CF9" s="848"/>
      <c r="CG9" s="848"/>
      <c r="CH9" s="848"/>
      <c r="CI9" s="848"/>
      <c r="CJ9" s="848"/>
      <c r="CK9" s="848"/>
      <c r="CL9" s="848"/>
      <c r="CM9" s="848"/>
      <c r="CN9" s="848"/>
      <c r="CO9" s="848"/>
      <c r="CP9" s="848"/>
      <c r="CQ9" s="848"/>
      <c r="CR9" s="848"/>
      <c r="CS9" s="848"/>
      <c r="CT9" s="848"/>
      <c r="CU9" s="848"/>
      <c r="CV9" s="848"/>
      <c r="CW9" s="848"/>
      <c r="CX9" s="848"/>
      <c r="CY9" s="848"/>
      <c r="CZ9" s="848"/>
      <c r="DA9" s="848"/>
      <c r="DB9" s="848"/>
      <c r="DC9" s="848"/>
      <c r="DD9" s="848"/>
      <c r="DE9" s="848"/>
      <c r="DF9" s="848"/>
      <c r="DG9" s="848"/>
      <c r="DH9" s="848"/>
      <c r="DI9" s="848"/>
      <c r="DJ9" s="848"/>
      <c r="DK9" s="848"/>
      <c r="DL9" s="848"/>
      <c r="DM9" s="848"/>
      <c r="DN9" s="848"/>
      <c r="DO9" s="848"/>
      <c r="DP9" s="848"/>
      <c r="DQ9" s="848"/>
      <c r="DR9" s="848"/>
      <c r="DS9" s="848"/>
      <c r="DT9" s="848"/>
      <c r="DU9" s="848"/>
      <c r="DV9" s="848"/>
      <c r="DW9" s="848"/>
      <c r="DX9" s="848"/>
      <c r="DY9" s="848"/>
      <c r="DZ9" s="848"/>
      <c r="EA9" s="848"/>
      <c r="EB9" s="848"/>
      <c r="EC9" s="848"/>
      <c r="ED9" s="848"/>
      <c r="EE9" s="848"/>
      <c r="EF9" s="848"/>
      <c r="EG9" s="848"/>
      <c r="EH9" s="848"/>
      <c r="EI9" s="848"/>
      <c r="EJ9" s="848"/>
      <c r="EK9" s="848"/>
      <c r="EL9" s="848"/>
      <c r="EM9" s="848"/>
      <c r="EN9" s="848"/>
      <c r="EO9" s="848"/>
      <c r="EP9" s="848"/>
      <c r="EQ9" s="848"/>
      <c r="ER9" s="848"/>
      <c r="ES9" s="848"/>
      <c r="ET9" s="848"/>
      <c r="EU9" s="848"/>
      <c r="EV9" s="848"/>
      <c r="EW9" s="848"/>
      <c r="EX9" s="848"/>
      <c r="EY9" s="848"/>
      <c r="EZ9" s="848"/>
      <c r="FA9" s="848"/>
      <c r="FB9" s="848"/>
      <c r="FC9" s="848"/>
      <c r="FD9" s="848"/>
      <c r="FE9" s="848"/>
      <c r="FF9" s="848"/>
      <c r="FG9" s="848"/>
      <c r="FH9" s="848"/>
      <c r="FI9" s="848"/>
      <c r="FJ9" s="848"/>
      <c r="FK9" s="848"/>
      <c r="FL9" s="848"/>
      <c r="FM9" s="848"/>
      <c r="FN9" s="848"/>
      <c r="FO9" s="848"/>
      <c r="FP9" s="848"/>
      <c r="FQ9" s="848"/>
      <c r="FR9" s="848"/>
      <c r="FS9" s="848"/>
      <c r="FT9" s="848"/>
      <c r="FU9" s="848"/>
      <c r="FV9" s="848"/>
      <c r="FW9" s="848"/>
      <c r="FX9" s="848"/>
      <c r="FY9" s="848"/>
      <c r="FZ9" s="848"/>
      <c r="GA9" s="848"/>
      <c r="GB9" s="848"/>
      <c r="GC9" s="848"/>
      <c r="GD9" s="848"/>
      <c r="GE9" s="848"/>
      <c r="GF9" s="848"/>
      <c r="GG9" s="848"/>
      <c r="GH9" s="848"/>
      <c r="GI9" s="848"/>
      <c r="GJ9" s="848"/>
      <c r="GK9" s="848"/>
      <c r="GL9" s="848"/>
      <c r="GM9" s="848"/>
      <c r="GN9" s="848"/>
      <c r="GO9" s="848"/>
      <c r="GP9" s="848"/>
      <c r="GQ9" s="848"/>
      <c r="GR9" s="848"/>
      <c r="GS9" s="848"/>
      <c r="GT9" s="848"/>
      <c r="GU9" s="848"/>
      <c r="GV9" s="848"/>
      <c r="GW9" s="848"/>
      <c r="GX9" s="848"/>
      <c r="GY9" s="848"/>
      <c r="GZ9" s="848"/>
      <c r="HA9" s="848"/>
      <c r="HB9" s="848"/>
      <c r="HC9" s="848"/>
      <c r="HD9" s="848"/>
      <c r="HE9" s="848"/>
      <c r="HF9" s="848"/>
      <c r="HG9" s="848"/>
      <c r="HH9" s="848"/>
      <c r="HI9" s="848"/>
      <c r="HJ9" s="848"/>
      <c r="HK9" s="848"/>
      <c r="HL9" s="848"/>
      <c r="HM9" s="848"/>
      <c r="HN9" s="848"/>
      <c r="HO9" s="848"/>
      <c r="HP9" s="848"/>
      <c r="HQ9" s="848"/>
      <c r="HR9" s="848"/>
      <c r="HS9" s="848"/>
      <c r="HT9" s="848"/>
      <c r="HU9" s="848"/>
      <c r="HV9" s="848"/>
      <c r="HW9" s="848"/>
      <c r="HX9" s="848"/>
      <c r="HY9" s="848"/>
      <c r="HZ9" s="848"/>
      <c r="IA9" s="848"/>
      <c r="IB9" s="848"/>
      <c r="IC9" s="848"/>
      <c r="ID9" s="848"/>
      <c r="IE9" s="848"/>
      <c r="IF9" s="848"/>
      <c r="IG9" s="848"/>
      <c r="IH9" s="848"/>
      <c r="II9" s="848"/>
      <c r="IJ9" s="848"/>
      <c r="IK9" s="848"/>
      <c r="IL9" s="848"/>
      <c r="IM9" s="848"/>
      <c r="IN9" s="848"/>
      <c r="IO9" s="848"/>
      <c r="IP9" s="848"/>
      <c r="IQ9" s="848"/>
      <c r="IR9" s="848"/>
      <c r="IS9" s="848"/>
      <c r="IT9" s="848"/>
      <c r="IU9" s="848"/>
      <c r="IV9" s="848"/>
      <c r="IW9" s="848"/>
      <c r="IX9" s="848"/>
      <c r="IY9" s="848"/>
      <c r="IZ9" s="848"/>
      <c r="JA9" s="848"/>
      <c r="JB9" s="848"/>
      <c r="JC9" s="848"/>
      <c r="JD9" s="848"/>
      <c r="JE9" s="848"/>
      <c r="JF9" s="848"/>
      <c r="JG9" s="848"/>
      <c r="JH9" s="848"/>
      <c r="JI9" s="848"/>
      <c r="JJ9" s="848"/>
      <c r="JK9" s="848"/>
      <c r="JL9" s="848"/>
      <c r="JM9" s="848"/>
      <c r="JN9" s="848"/>
      <c r="JO9" s="848"/>
      <c r="JP9" s="848"/>
      <c r="JQ9" s="848"/>
      <c r="JR9" s="848"/>
      <c r="JS9" s="848"/>
      <c r="JT9" s="848"/>
      <c r="JU9" s="848"/>
      <c r="JV9" s="848"/>
      <c r="JW9" s="848"/>
      <c r="JX9" s="848"/>
      <c r="JY9" s="848"/>
      <c r="JZ9" s="848"/>
      <c r="KA9" s="848"/>
      <c r="KB9" s="848"/>
      <c r="KC9" s="848"/>
      <c r="KD9" s="848"/>
      <c r="KE9" s="848"/>
      <c r="KF9" s="848"/>
      <c r="KG9" s="848"/>
      <c r="KH9" s="848"/>
      <c r="KI9" s="848"/>
      <c r="KJ9" s="848"/>
      <c r="KK9" s="848"/>
      <c r="KL9" s="848"/>
      <c r="KM9" s="848"/>
      <c r="KN9" s="848"/>
      <c r="KO9" s="848"/>
      <c r="KP9" s="848"/>
      <c r="KQ9" s="848"/>
      <c r="KR9" s="848"/>
      <c r="KS9" s="848"/>
      <c r="KT9" s="848"/>
      <c r="KU9" s="848"/>
      <c r="KV9" s="848"/>
      <c r="KW9" s="848"/>
      <c r="KX9" s="848"/>
      <c r="KY9" s="848"/>
      <c r="KZ9" s="848"/>
      <c r="LA9" s="848"/>
      <c r="LB9" s="848"/>
      <c r="LC9" s="848"/>
      <c r="LD9" s="848"/>
      <c r="LE9" s="848"/>
      <c r="LF9" s="848"/>
      <c r="LG9" s="848"/>
      <c r="LH9" s="848"/>
      <c r="LI9" s="848"/>
      <c r="LJ9" s="848"/>
      <c r="LK9" s="848"/>
      <c r="LL9" s="848"/>
      <c r="LM9" s="848"/>
      <c r="LN9" s="848"/>
      <c r="LO9" s="848"/>
      <c r="LP9" s="848"/>
      <c r="LQ9" s="848"/>
      <c r="LR9" s="848"/>
      <c r="LS9" s="848"/>
      <c r="LT9" s="848"/>
      <c r="LU9" s="848"/>
      <c r="LV9" s="848"/>
      <c r="LW9" s="848"/>
      <c r="LX9" s="848"/>
      <c r="LY9" s="848"/>
      <c r="LZ9" s="848"/>
      <c r="MA9" s="848"/>
      <c r="MB9" s="848"/>
      <c r="MC9" s="848"/>
      <c r="MD9" s="848"/>
      <c r="ME9" s="848"/>
      <c r="MF9" s="848"/>
      <c r="MG9" s="848"/>
      <c r="MH9" s="848"/>
      <c r="MI9" s="848"/>
      <c r="MJ9" s="848"/>
      <c r="MK9" s="848"/>
      <c r="ML9" s="848"/>
      <c r="MM9" s="848"/>
      <c r="MN9" s="848"/>
      <c r="MO9" s="848"/>
      <c r="MP9" s="848"/>
      <c r="MQ9" s="848"/>
      <c r="MR9" s="848"/>
      <c r="MS9" s="848"/>
      <c r="MT9" s="848"/>
      <c r="MU9" s="848"/>
      <c r="MV9" s="848"/>
      <c r="MW9" s="848"/>
      <c r="MX9" s="848"/>
      <c r="MY9" s="848"/>
      <c r="MZ9" s="848"/>
      <c r="NA9" s="848"/>
      <c r="NB9" s="848"/>
      <c r="NC9" s="848"/>
      <c r="ND9" s="848"/>
      <c r="NE9" s="848"/>
      <c r="NF9" s="848"/>
      <c r="NG9" s="848"/>
      <c r="NH9" s="848"/>
      <c r="NI9" s="848"/>
      <c r="NJ9" s="848"/>
      <c r="NK9" s="848"/>
      <c r="NL9" s="848"/>
      <c r="NM9" s="848"/>
      <c r="NN9" s="848"/>
      <c r="NO9" s="848"/>
      <c r="NP9" s="848"/>
      <c r="NQ9" s="848"/>
      <c r="NR9" s="848"/>
      <c r="NS9" s="848"/>
      <c r="NT9" s="848"/>
    </row>
    <row r="10" spans="1:384" s="890" customFormat="1" ht="14" customHeight="1" thickBot="1">
      <c r="A10" s="849"/>
      <c r="B10" s="859"/>
      <c r="C10" s="846"/>
      <c r="D10" s="846"/>
      <c r="E10" s="846"/>
      <c r="F10" s="846"/>
      <c r="G10" s="846"/>
      <c r="H10" s="846"/>
      <c r="I10" s="846"/>
      <c r="J10" s="846"/>
      <c r="K10" s="846"/>
      <c r="L10" s="846"/>
      <c r="M10" s="846"/>
      <c r="N10" s="846"/>
      <c r="O10" s="853"/>
      <c r="P10" s="853"/>
      <c r="Q10" s="857"/>
      <c r="R10" s="846"/>
      <c r="S10" s="853"/>
      <c r="T10" s="858"/>
      <c r="U10" s="858"/>
      <c r="V10" s="846"/>
      <c r="W10" s="846"/>
      <c r="X10" s="846"/>
      <c r="Y10" s="846"/>
      <c r="Z10" s="846"/>
      <c r="AA10" s="846"/>
      <c r="AB10" s="846"/>
      <c r="AC10" s="846"/>
      <c r="AD10" s="846"/>
      <c r="AE10" s="846"/>
      <c r="AF10" s="846"/>
      <c r="AG10" s="846"/>
      <c r="AH10" s="846"/>
      <c r="AI10" s="848"/>
      <c r="AJ10" s="848"/>
      <c r="AK10" s="848"/>
      <c r="AL10" s="848"/>
      <c r="AM10" s="848"/>
      <c r="AN10" s="848"/>
      <c r="AO10" s="848"/>
      <c r="AP10" s="848"/>
      <c r="AQ10" s="848"/>
      <c r="AR10" s="848"/>
      <c r="AS10" s="848"/>
      <c r="AT10" s="848"/>
      <c r="AU10" s="848"/>
      <c r="AV10" s="848"/>
      <c r="AW10" s="848"/>
      <c r="AX10" s="848"/>
      <c r="AY10" s="848"/>
      <c r="AZ10" s="848"/>
      <c r="BA10" s="848"/>
      <c r="BB10" s="848"/>
      <c r="BC10" s="848"/>
      <c r="BD10" s="848"/>
      <c r="BE10" s="848"/>
      <c r="BF10" s="848"/>
      <c r="BG10" s="848"/>
      <c r="BH10" s="848"/>
      <c r="BI10" s="848"/>
      <c r="BJ10" s="848"/>
      <c r="BK10" s="848"/>
      <c r="BL10" s="848"/>
      <c r="BM10" s="848"/>
      <c r="BN10" s="848"/>
      <c r="BO10" s="848"/>
      <c r="BP10" s="848"/>
      <c r="BQ10" s="848"/>
      <c r="BR10" s="848"/>
      <c r="BS10" s="848"/>
      <c r="BT10" s="848"/>
      <c r="BU10" s="848"/>
      <c r="BV10" s="848"/>
      <c r="BW10" s="848"/>
      <c r="BX10" s="848"/>
      <c r="BY10" s="848"/>
      <c r="BZ10" s="848"/>
      <c r="CA10" s="848"/>
      <c r="CB10" s="848"/>
      <c r="CC10" s="848"/>
      <c r="CD10" s="848"/>
      <c r="CE10" s="848"/>
      <c r="CF10" s="848"/>
      <c r="CG10" s="848"/>
      <c r="CH10" s="848"/>
      <c r="CI10" s="848"/>
      <c r="CJ10" s="848"/>
      <c r="CK10" s="848"/>
      <c r="CL10" s="848"/>
      <c r="CM10" s="848"/>
      <c r="CN10" s="848"/>
      <c r="CO10" s="848"/>
      <c r="CP10" s="848"/>
      <c r="CQ10" s="848"/>
      <c r="CR10" s="848"/>
      <c r="CS10" s="848"/>
      <c r="CT10" s="848"/>
      <c r="CU10" s="848"/>
      <c r="CV10" s="848"/>
      <c r="CW10" s="848"/>
      <c r="CX10" s="848"/>
      <c r="CY10" s="848"/>
      <c r="CZ10" s="848"/>
      <c r="DA10" s="848"/>
      <c r="DB10" s="848"/>
      <c r="DC10" s="848"/>
      <c r="DD10" s="848"/>
      <c r="DE10" s="848"/>
      <c r="DF10" s="848"/>
      <c r="DG10" s="848"/>
      <c r="DH10" s="848"/>
      <c r="DI10" s="848"/>
      <c r="DJ10" s="848"/>
      <c r="DK10" s="848"/>
      <c r="DL10" s="848"/>
      <c r="DM10" s="848"/>
      <c r="DN10" s="848"/>
      <c r="DO10" s="848"/>
      <c r="DP10" s="848"/>
      <c r="DQ10" s="848"/>
      <c r="DR10" s="848"/>
      <c r="DS10" s="848"/>
      <c r="DT10" s="848"/>
      <c r="DU10" s="848"/>
      <c r="DV10" s="848"/>
      <c r="DW10" s="848"/>
      <c r="DX10" s="848"/>
      <c r="DY10" s="848"/>
      <c r="DZ10" s="848"/>
      <c r="EA10" s="848"/>
      <c r="EB10" s="848"/>
      <c r="EC10" s="848"/>
      <c r="ED10" s="848"/>
      <c r="EE10" s="848"/>
      <c r="EF10" s="848"/>
      <c r="EG10" s="848"/>
      <c r="EH10" s="848"/>
      <c r="EI10" s="848"/>
      <c r="EJ10" s="848"/>
      <c r="EK10" s="848"/>
      <c r="EL10" s="848"/>
      <c r="EM10" s="848"/>
      <c r="EN10" s="848"/>
      <c r="EO10" s="848"/>
      <c r="EP10" s="848"/>
      <c r="EQ10" s="848"/>
      <c r="ER10" s="848"/>
      <c r="ES10" s="848"/>
      <c r="ET10" s="848"/>
      <c r="EU10" s="848"/>
      <c r="EV10" s="848"/>
      <c r="EW10" s="848"/>
      <c r="EX10" s="848"/>
      <c r="EY10" s="848"/>
      <c r="EZ10" s="848"/>
      <c r="FA10" s="848"/>
      <c r="FB10" s="848"/>
      <c r="FC10" s="848"/>
      <c r="FD10" s="848"/>
      <c r="FE10" s="848"/>
      <c r="FF10" s="848"/>
      <c r="FG10" s="848"/>
      <c r="FH10" s="848"/>
      <c r="FI10" s="848"/>
      <c r="FJ10" s="848"/>
      <c r="FK10" s="848"/>
      <c r="FL10" s="848"/>
      <c r="FM10" s="848"/>
      <c r="FN10" s="848"/>
      <c r="FO10" s="848"/>
      <c r="FP10" s="848"/>
      <c r="FQ10" s="848"/>
      <c r="FR10" s="848"/>
      <c r="FS10" s="848"/>
      <c r="FT10" s="848"/>
      <c r="FU10" s="848"/>
      <c r="FV10" s="848"/>
      <c r="FW10" s="848"/>
      <c r="FX10" s="848"/>
      <c r="FY10" s="848"/>
      <c r="FZ10" s="848"/>
      <c r="GA10" s="848"/>
      <c r="GB10" s="848"/>
      <c r="GC10" s="848"/>
      <c r="GD10" s="848"/>
      <c r="GE10" s="848"/>
      <c r="GF10" s="848"/>
      <c r="GG10" s="848"/>
      <c r="GH10" s="848"/>
      <c r="GI10" s="848"/>
      <c r="GJ10" s="848"/>
      <c r="GK10" s="848"/>
      <c r="GL10" s="848"/>
      <c r="GM10" s="848"/>
      <c r="GN10" s="848"/>
      <c r="GO10" s="848"/>
      <c r="GP10" s="848"/>
      <c r="GQ10" s="848"/>
      <c r="GR10" s="848"/>
      <c r="GS10" s="848"/>
      <c r="GT10" s="848"/>
      <c r="GU10" s="848"/>
      <c r="GV10" s="848"/>
      <c r="GW10" s="848"/>
      <c r="GX10" s="848"/>
      <c r="GY10" s="848"/>
      <c r="GZ10" s="848"/>
      <c r="HA10" s="848"/>
      <c r="HB10" s="848"/>
      <c r="HC10" s="848"/>
      <c r="HD10" s="848"/>
      <c r="HE10" s="848"/>
      <c r="HF10" s="848"/>
      <c r="HG10" s="848"/>
      <c r="HH10" s="848"/>
      <c r="HI10" s="848"/>
      <c r="HJ10" s="848"/>
      <c r="HK10" s="848"/>
      <c r="HL10" s="848"/>
      <c r="HM10" s="848"/>
      <c r="HN10" s="848"/>
      <c r="HO10" s="848"/>
      <c r="HP10" s="848"/>
      <c r="HQ10" s="848"/>
      <c r="HR10" s="848"/>
      <c r="HS10" s="848"/>
      <c r="HT10" s="848"/>
      <c r="HU10" s="848"/>
      <c r="HV10" s="848"/>
      <c r="HW10" s="848"/>
      <c r="HX10" s="848"/>
      <c r="HY10" s="848"/>
      <c r="HZ10" s="848"/>
      <c r="IA10" s="848"/>
      <c r="IB10" s="848"/>
      <c r="IC10" s="848"/>
      <c r="ID10" s="848"/>
      <c r="IE10" s="848"/>
      <c r="IF10" s="848"/>
      <c r="IG10" s="848"/>
      <c r="IH10" s="848"/>
      <c r="II10" s="848"/>
      <c r="IJ10" s="848"/>
      <c r="IK10" s="848"/>
      <c r="IL10" s="848"/>
      <c r="IM10" s="848"/>
      <c r="IN10" s="848"/>
      <c r="IO10" s="848"/>
      <c r="IP10" s="848"/>
      <c r="IQ10" s="848"/>
      <c r="IR10" s="848"/>
      <c r="IS10" s="848"/>
      <c r="IT10" s="848"/>
      <c r="IU10" s="848"/>
      <c r="IV10" s="848"/>
      <c r="IW10" s="848"/>
      <c r="IX10" s="848"/>
      <c r="IY10" s="848"/>
      <c r="IZ10" s="848"/>
      <c r="JA10" s="848"/>
      <c r="JB10" s="848"/>
      <c r="JC10" s="848"/>
      <c r="JD10" s="848"/>
      <c r="JE10" s="848"/>
      <c r="JF10" s="848"/>
      <c r="JG10" s="848"/>
      <c r="JH10" s="848"/>
      <c r="JI10" s="848"/>
      <c r="JJ10" s="848"/>
      <c r="JK10" s="848"/>
      <c r="JL10" s="848"/>
      <c r="JM10" s="848"/>
      <c r="JN10" s="848"/>
      <c r="JO10" s="848"/>
      <c r="JP10" s="848"/>
      <c r="JQ10" s="848"/>
      <c r="JR10" s="848"/>
      <c r="JS10" s="848"/>
      <c r="JT10" s="848"/>
      <c r="JU10" s="848"/>
      <c r="JV10" s="848"/>
      <c r="JW10" s="848"/>
      <c r="JX10" s="848"/>
      <c r="JY10" s="848"/>
      <c r="JZ10" s="848"/>
      <c r="KA10" s="848"/>
      <c r="KB10" s="848"/>
      <c r="KC10" s="848"/>
      <c r="KD10" s="848"/>
      <c r="KE10" s="848"/>
      <c r="KF10" s="848"/>
      <c r="KG10" s="848"/>
      <c r="KH10" s="848"/>
      <c r="KI10" s="848"/>
      <c r="KJ10" s="848"/>
      <c r="KK10" s="848"/>
      <c r="KL10" s="848"/>
      <c r="KM10" s="848"/>
      <c r="KN10" s="848"/>
      <c r="KO10" s="848"/>
      <c r="KP10" s="848"/>
      <c r="KQ10" s="848"/>
      <c r="KR10" s="848"/>
      <c r="KS10" s="848"/>
      <c r="KT10" s="848"/>
      <c r="KU10" s="848"/>
      <c r="KV10" s="848"/>
      <c r="KW10" s="848"/>
      <c r="KX10" s="848"/>
      <c r="KY10" s="848"/>
      <c r="KZ10" s="848"/>
      <c r="LA10" s="848"/>
      <c r="LB10" s="848"/>
      <c r="LC10" s="848"/>
      <c r="LD10" s="848"/>
      <c r="LE10" s="848"/>
      <c r="LF10" s="848"/>
      <c r="LG10" s="848"/>
      <c r="LH10" s="848"/>
      <c r="LI10" s="848"/>
      <c r="LJ10" s="848"/>
      <c r="LK10" s="848"/>
      <c r="LL10" s="848"/>
      <c r="LM10" s="848"/>
      <c r="LN10" s="848"/>
      <c r="LO10" s="848"/>
      <c r="LP10" s="848"/>
      <c r="LQ10" s="848"/>
      <c r="LR10" s="848"/>
      <c r="LS10" s="848"/>
      <c r="LT10" s="848"/>
      <c r="LU10" s="848"/>
      <c r="LV10" s="848"/>
      <c r="LW10" s="848"/>
      <c r="LX10" s="848"/>
      <c r="LY10" s="848"/>
      <c r="LZ10" s="848"/>
      <c r="MA10" s="848"/>
      <c r="MB10" s="848"/>
      <c r="MC10" s="848"/>
      <c r="MD10" s="848"/>
      <c r="ME10" s="848"/>
      <c r="MF10" s="848"/>
      <c r="MG10" s="848"/>
      <c r="MH10" s="848"/>
      <c r="MI10" s="848"/>
      <c r="MJ10" s="848"/>
      <c r="MK10" s="848"/>
      <c r="ML10" s="848"/>
      <c r="MM10" s="848"/>
      <c r="MN10" s="848"/>
      <c r="MO10" s="848"/>
      <c r="MP10" s="848"/>
      <c r="MQ10" s="848"/>
      <c r="MR10" s="848"/>
      <c r="MS10" s="848"/>
      <c r="MT10" s="848"/>
      <c r="MU10" s="848"/>
      <c r="MV10" s="848"/>
      <c r="MW10" s="848"/>
      <c r="MX10" s="848"/>
      <c r="MY10" s="848"/>
      <c r="MZ10" s="848"/>
      <c r="NA10" s="848"/>
      <c r="NB10" s="848"/>
      <c r="NC10" s="848"/>
      <c r="ND10" s="848"/>
      <c r="NE10" s="848"/>
      <c r="NF10" s="848"/>
      <c r="NG10" s="848"/>
      <c r="NH10" s="848"/>
      <c r="NI10" s="848"/>
      <c r="NJ10" s="848"/>
      <c r="NK10" s="848"/>
      <c r="NL10" s="848"/>
      <c r="NM10" s="848"/>
      <c r="NN10" s="848"/>
      <c r="NO10" s="848"/>
      <c r="NP10" s="848"/>
      <c r="NQ10" s="848"/>
      <c r="NR10" s="848"/>
      <c r="NS10" s="848"/>
      <c r="NT10" s="848"/>
    </row>
    <row r="11" spans="1:384">
      <c r="A11" s="944"/>
      <c r="B11" s="945"/>
      <c r="C11" s="945"/>
      <c r="D11" s="945"/>
      <c r="E11" s="945"/>
      <c r="F11" s="945"/>
      <c r="G11" s="945"/>
      <c r="H11" s="945"/>
      <c r="I11" s="945"/>
      <c r="J11" s="945"/>
      <c r="K11" s="945"/>
      <c r="L11" s="945"/>
      <c r="M11" s="945"/>
      <c r="N11" s="945"/>
      <c r="O11" s="945"/>
      <c r="P11" s="945"/>
      <c r="Q11" s="945"/>
      <c r="R11" s="945"/>
      <c r="S11" s="945"/>
      <c r="T11" s="945"/>
      <c r="U11" s="945"/>
      <c r="V11" s="945"/>
      <c r="W11" s="945"/>
      <c r="X11" s="945"/>
      <c r="Y11" s="945"/>
      <c r="Z11" s="945"/>
      <c r="AA11" s="945"/>
      <c r="AB11" s="945"/>
      <c r="AC11" s="945"/>
      <c r="AD11" s="945"/>
      <c r="AE11" s="945"/>
      <c r="AF11" s="945"/>
      <c r="AG11" s="945"/>
      <c r="AH11" s="945"/>
    </row>
    <row r="12" spans="1:384" ht="15" thickBot="1">
      <c r="A12" s="947"/>
      <c r="B12" s="947"/>
      <c r="C12" s="947"/>
      <c r="D12" s="947"/>
      <c r="E12" s="947"/>
      <c r="F12" s="947"/>
      <c r="G12" s="947"/>
      <c r="H12" s="947"/>
      <c r="I12" s="947"/>
      <c r="J12" s="947"/>
      <c r="K12" s="947"/>
      <c r="L12" s="947"/>
      <c r="M12" s="947"/>
      <c r="N12" s="947"/>
      <c r="O12" s="947"/>
      <c r="P12" s="947"/>
      <c r="Q12" s="947"/>
      <c r="R12" s="947"/>
      <c r="S12" s="947"/>
      <c r="T12" s="947"/>
      <c r="U12" s="947"/>
      <c r="V12" s="947"/>
      <c r="W12" s="947"/>
      <c r="X12" s="947"/>
      <c r="Y12" s="947"/>
      <c r="Z12" s="947"/>
      <c r="AA12" s="947"/>
      <c r="AB12" s="947"/>
      <c r="AC12" s="947"/>
      <c r="AD12" s="947"/>
      <c r="AE12" s="947"/>
      <c r="AF12" s="947"/>
      <c r="AG12" s="947"/>
      <c r="AH12" s="947"/>
    </row>
    <row r="13" spans="1:384">
      <c r="A13" s="948"/>
      <c r="B13" s="948"/>
      <c r="C13" s="948"/>
      <c r="D13" s="948"/>
      <c r="E13" s="948"/>
      <c r="F13" s="948"/>
      <c r="G13" s="948"/>
      <c r="H13" s="948"/>
      <c r="I13" s="948"/>
      <c r="J13" s="948"/>
      <c r="K13" s="948"/>
      <c r="L13" s="948"/>
      <c r="M13" s="948"/>
      <c r="N13" s="948"/>
      <c r="O13" s="948"/>
      <c r="P13" s="948"/>
      <c r="Q13" s="948"/>
      <c r="R13" s="948"/>
      <c r="S13" s="948"/>
      <c r="T13" s="948"/>
      <c r="U13" s="948"/>
      <c r="V13" s="948"/>
      <c r="W13" s="948"/>
      <c r="X13" s="948"/>
      <c r="Y13" s="948"/>
      <c r="Z13" s="948"/>
      <c r="AA13" s="948"/>
      <c r="AB13" s="948"/>
      <c r="AC13" s="948"/>
      <c r="AD13" s="948"/>
      <c r="AE13" s="948"/>
      <c r="AF13" s="948"/>
      <c r="AG13" s="948"/>
      <c r="AH13" s="948"/>
    </row>
    <row r="14" spans="1:384" ht="21">
      <c r="A14" s="849" t="str">
        <f>Summary!B17 &amp; " Online Data"</f>
        <v>Italy Online Data</v>
      </c>
      <c r="B14" s="949"/>
      <c r="C14" s="949"/>
      <c r="D14" s="949"/>
      <c r="E14" s="949"/>
      <c r="F14" s="949"/>
      <c r="G14" s="949"/>
      <c r="H14" s="949"/>
      <c r="I14" s="949"/>
      <c r="J14" s="949"/>
      <c r="K14" s="852"/>
      <c r="L14" s="852"/>
      <c r="M14" s="852"/>
      <c r="N14" s="852"/>
      <c r="O14" s="852"/>
      <c r="P14" s="852"/>
      <c r="Q14" s="852"/>
      <c r="R14" s="852"/>
      <c r="S14" s="852"/>
      <c r="T14" s="852"/>
      <c r="U14" s="949"/>
      <c r="V14" s="949"/>
      <c r="W14" s="949"/>
      <c r="X14" s="949"/>
      <c r="Y14" s="949"/>
      <c r="Z14" s="949"/>
      <c r="AA14" s="949"/>
      <c r="AB14" s="949"/>
      <c r="AC14" s="949"/>
      <c r="AD14" s="949"/>
      <c r="AE14" s="949"/>
      <c r="AF14" s="949"/>
      <c r="AG14" s="949"/>
      <c r="AH14" s="949"/>
    </row>
    <row r="15" spans="1:384">
      <c r="A15" s="949"/>
      <c r="B15" s="949"/>
      <c r="C15" s="949"/>
      <c r="D15" s="949"/>
      <c r="E15" s="949"/>
      <c r="F15" s="949"/>
      <c r="G15" s="949"/>
      <c r="H15" s="949"/>
      <c r="I15" s="949"/>
      <c r="J15" s="949"/>
      <c r="K15" s="949"/>
      <c r="L15" s="852"/>
      <c r="M15" s="852"/>
      <c r="N15" s="852"/>
      <c r="O15" s="852"/>
      <c r="P15" s="852"/>
      <c r="Q15" s="852"/>
      <c r="R15" s="852"/>
      <c r="S15" s="852"/>
      <c r="T15" s="949"/>
      <c r="U15" s="949"/>
      <c r="V15" s="949"/>
      <c r="W15" s="949"/>
      <c r="X15" s="949"/>
      <c r="Y15" s="949"/>
      <c r="Z15" s="949"/>
      <c r="AA15" s="949"/>
      <c r="AB15" s="949"/>
      <c r="AC15" s="949"/>
      <c r="AD15" s="949"/>
      <c r="AE15" s="949"/>
      <c r="AF15" s="949"/>
      <c r="AG15" s="949"/>
      <c r="AH15" s="949"/>
    </row>
    <row r="16" spans="1:384" ht="15" thickBot="1">
      <c r="A16" s="846"/>
      <c r="B16" s="846"/>
      <c r="C16" s="846"/>
      <c r="D16" s="846"/>
      <c r="E16" s="846"/>
      <c r="F16" s="846"/>
      <c r="G16" s="846"/>
      <c r="H16" s="846"/>
      <c r="I16" s="846"/>
      <c r="J16" s="846"/>
      <c r="K16" s="846"/>
      <c r="L16" s="846"/>
      <c r="M16" s="846"/>
      <c r="N16" s="846"/>
      <c r="O16" s="846"/>
      <c r="P16" s="846"/>
      <c r="Q16" s="846"/>
      <c r="R16" s="846"/>
      <c r="S16" s="846"/>
      <c r="T16" s="846"/>
      <c r="U16" s="846"/>
      <c r="V16" s="846"/>
      <c r="W16" s="846"/>
      <c r="X16" s="846"/>
      <c r="Y16" s="846"/>
      <c r="Z16" s="846"/>
      <c r="AA16" s="846"/>
      <c r="AB16" s="846"/>
      <c r="AC16" s="846"/>
      <c r="AD16" s="846"/>
      <c r="AE16" s="846"/>
      <c r="AF16" s="846"/>
      <c r="AG16" s="846"/>
      <c r="AH16" s="846"/>
    </row>
    <row r="17" spans="1:34">
      <c r="A17" s="950" t="str">
        <f>Summary!F32</f>
        <v>EUR (m)</v>
      </c>
      <c r="B17" s="951">
        <v>1998</v>
      </c>
      <c r="C17" s="951">
        <v>1999</v>
      </c>
      <c r="D17" s="951">
        <v>2000</v>
      </c>
      <c r="E17" s="951">
        <v>2001</v>
      </c>
      <c r="F17" s="951">
        <v>2002</v>
      </c>
      <c r="G17" s="951">
        <f>Summary!G$16</f>
        <v>2003</v>
      </c>
      <c r="H17" s="951">
        <f>Summary!H$16</f>
        <v>2004</v>
      </c>
      <c r="I17" s="951">
        <f>Summary!I$16</f>
        <v>2005</v>
      </c>
      <c r="J17" s="951">
        <f>Summary!J$16</f>
        <v>2006</v>
      </c>
      <c r="K17" s="951">
        <f>Summary!K$16</f>
        <v>2007</v>
      </c>
      <c r="L17" s="951">
        <f>Summary!L$16</f>
        <v>2008</v>
      </c>
      <c r="M17" s="951">
        <f>Summary!M$16</f>
        <v>2009</v>
      </c>
      <c r="N17" s="951">
        <f>Summary!N$16</f>
        <v>2010</v>
      </c>
      <c r="O17" s="951">
        <f>Summary!O$16</f>
        <v>2011</v>
      </c>
      <c r="P17" s="951">
        <f>Summary!P$16</f>
        <v>2012</v>
      </c>
      <c r="Q17" s="951">
        <f>Summary!Q$16</f>
        <v>2013</v>
      </c>
      <c r="R17" s="951">
        <f>Summary!R$16</f>
        <v>2014</v>
      </c>
      <c r="S17" s="951">
        <f>Summary!S$16</f>
        <v>2015</v>
      </c>
      <c r="T17" s="951">
        <f>Summary!T$16</f>
        <v>2016</v>
      </c>
      <c r="U17" s="951">
        <f>Summary!U$16</f>
        <v>2017</v>
      </c>
      <c r="V17" s="951">
        <f>Summary!V$16</f>
        <v>2018</v>
      </c>
      <c r="W17" s="951">
        <f>Summary!W$16</f>
        <v>2019</v>
      </c>
      <c r="X17" s="951">
        <f>Summary!X$16</f>
        <v>2020</v>
      </c>
      <c r="Y17" s="951">
        <f>Summary!Y$16</f>
        <v>2021</v>
      </c>
      <c r="Z17" s="951">
        <f>Summary!Z$16</f>
        <v>2022</v>
      </c>
      <c r="AA17" s="951">
        <f>Summary!AA$16</f>
        <v>2023</v>
      </c>
      <c r="AB17" s="951">
        <f>Summary!AB$16</f>
        <v>2024</v>
      </c>
      <c r="AC17" s="951">
        <f>Summary!AC$16</f>
        <v>2025</v>
      </c>
      <c r="AD17" s="951">
        <f>Summary!AD$16</f>
        <v>2026</v>
      </c>
      <c r="AE17" s="951">
        <f>Summary!AE$16</f>
        <v>2027</v>
      </c>
      <c r="AF17" s="951">
        <f>Summary!AF$16</f>
        <v>2028</v>
      </c>
      <c r="AG17" s="951">
        <f>Summary!AG$16</f>
        <v>2029</v>
      </c>
      <c r="AH17" s="951">
        <f>Summary!AH$16</f>
        <v>2030</v>
      </c>
    </row>
    <row r="18" spans="1:34">
      <c r="A18" s="952"/>
      <c r="B18" s="949"/>
      <c r="C18" s="949"/>
      <c r="D18" s="949"/>
      <c r="E18" s="949"/>
      <c r="F18" s="949"/>
      <c r="G18" s="949"/>
      <c r="H18" s="949"/>
      <c r="I18" s="949"/>
      <c r="J18" s="949"/>
      <c r="K18" s="949"/>
      <c r="L18" s="949"/>
      <c r="M18" s="949"/>
      <c r="N18" s="949"/>
      <c r="O18" s="949"/>
      <c r="P18" s="949"/>
      <c r="Q18" s="949"/>
      <c r="R18" s="949"/>
      <c r="S18" s="949"/>
      <c r="T18" s="949"/>
      <c r="U18" s="949"/>
      <c r="V18" s="949"/>
      <c r="W18" s="949"/>
      <c r="X18" s="949"/>
      <c r="Y18" s="949"/>
      <c r="Z18" s="949"/>
      <c r="AA18" s="949"/>
      <c r="AB18" s="949"/>
      <c r="AC18" s="949"/>
      <c r="AD18" s="949"/>
      <c r="AE18" s="949"/>
      <c r="AF18" s="949"/>
      <c r="AG18" s="949"/>
      <c r="AH18" s="949"/>
    </row>
    <row r="19" spans="1:34" ht="14" customHeight="1">
      <c r="A19" s="953" t="s">
        <v>905</v>
      </c>
      <c r="B19" s="846"/>
      <c r="C19" s="954"/>
      <c r="D19" s="954"/>
      <c r="E19" s="954"/>
      <c r="F19" s="954"/>
      <c r="G19" s="954">
        <f>G45</f>
        <v>0</v>
      </c>
      <c r="H19" s="954">
        <f t="shared" ref="H19:AG19" si="0">H45</f>
        <v>0</v>
      </c>
      <c r="I19" s="954">
        <f t="shared" si="0"/>
        <v>0</v>
      </c>
      <c r="J19" s="954">
        <f t="shared" si="0"/>
        <v>0</v>
      </c>
      <c r="K19" s="954">
        <f t="shared" si="0"/>
        <v>72.78574382303735</v>
      </c>
      <c r="L19" s="954">
        <f t="shared" si="0"/>
        <v>178.13139020354407</v>
      </c>
      <c r="M19" s="954">
        <f t="shared" si="0"/>
        <v>204.05445207847174</v>
      </c>
      <c r="N19" s="954">
        <f t="shared" si="0"/>
        <v>241.66928099999998</v>
      </c>
      <c r="O19" s="954">
        <f t="shared" si="0"/>
        <v>229.41710399999997</v>
      </c>
      <c r="P19" s="954">
        <f t="shared" si="0"/>
        <v>185</v>
      </c>
      <c r="Q19" s="954">
        <f t="shared" si="0"/>
        <v>207.2</v>
      </c>
      <c r="R19" s="954">
        <f t="shared" si="0"/>
        <v>240</v>
      </c>
      <c r="S19" s="954">
        <f t="shared" si="0"/>
        <v>294</v>
      </c>
      <c r="T19" s="954">
        <f t="shared" si="0"/>
        <v>382</v>
      </c>
      <c r="U19" s="954">
        <f t="shared" si="0"/>
        <v>589</v>
      </c>
      <c r="V19" s="954">
        <f t="shared" si="0"/>
        <v>684.82071189999999</v>
      </c>
      <c r="W19" s="954">
        <f t="shared" si="0"/>
        <v>782.74998779999999</v>
      </c>
      <c r="X19" s="954">
        <f t="shared" si="0"/>
        <v>1111.3394152094272</v>
      </c>
      <c r="Y19" s="954">
        <f t="shared" si="0"/>
        <v>1603.5768882136249</v>
      </c>
      <c r="Z19" s="954">
        <f t="shared" si="0"/>
        <v>1515.3413360599998</v>
      </c>
      <c r="AA19" s="954">
        <f t="shared" si="0"/>
        <v>1673.2466528952177</v>
      </c>
      <c r="AB19" s="954">
        <f t="shared" si="0"/>
        <v>1858.4817272822183</v>
      </c>
      <c r="AC19" s="954">
        <f t="shared" si="0"/>
        <v>2090.4469731932941</v>
      </c>
      <c r="AD19" s="954">
        <f t="shared" si="0"/>
        <v>2376.8372759139252</v>
      </c>
      <c r="AE19" s="954">
        <f t="shared" si="0"/>
        <v>2623.7092871900059</v>
      </c>
      <c r="AF19" s="954">
        <f t="shared" si="0"/>
        <v>2891.6768237017232</v>
      </c>
      <c r="AG19" s="954">
        <f t="shared" si="0"/>
        <v>3179.4977526119683</v>
      </c>
      <c r="AH19" s="954">
        <f t="shared" ref="AH19" si="1">AH45</f>
        <v>3383.7996357289662</v>
      </c>
    </row>
    <row r="20" spans="1:34" ht="14" customHeight="1">
      <c r="A20" s="953" t="s">
        <v>906</v>
      </c>
      <c r="B20" s="846"/>
      <c r="C20" s="954"/>
      <c r="D20" s="954"/>
      <c r="E20" s="954"/>
      <c r="F20" s="954"/>
      <c r="G20" s="954">
        <f>G51</f>
        <v>0</v>
      </c>
      <c r="H20" s="954">
        <f t="shared" ref="H20:AG20" si="2">H51</f>
        <v>0</v>
      </c>
      <c r="I20" s="954">
        <f t="shared" si="2"/>
        <v>0</v>
      </c>
      <c r="J20" s="954">
        <f t="shared" si="2"/>
        <v>0</v>
      </c>
      <c r="K20" s="954">
        <f t="shared" si="2"/>
        <v>0</v>
      </c>
      <c r="L20" s="954">
        <f t="shared" si="2"/>
        <v>29.639246485482197</v>
      </c>
      <c r="M20" s="954">
        <f t="shared" si="2"/>
        <v>287.03801776042059</v>
      </c>
      <c r="N20" s="954">
        <f t="shared" si="2"/>
        <v>420.69031800000005</v>
      </c>
      <c r="O20" s="954">
        <f t="shared" si="2"/>
        <v>488.46374200000002</v>
      </c>
      <c r="P20" s="954">
        <f t="shared" si="2"/>
        <v>545.7541486572045</v>
      </c>
      <c r="Q20" s="954">
        <f t="shared" si="2"/>
        <v>506</v>
      </c>
      <c r="R20" s="954">
        <f t="shared" si="2"/>
        <v>471</v>
      </c>
      <c r="S20" s="954">
        <f t="shared" si="2"/>
        <v>510</v>
      </c>
      <c r="T20" s="954">
        <f t="shared" si="2"/>
        <v>608</v>
      </c>
      <c r="U20" s="954">
        <f t="shared" si="2"/>
        <v>749.88</v>
      </c>
      <c r="V20" s="954">
        <f t="shared" si="2"/>
        <v>888.10925481000004</v>
      </c>
      <c r="W20" s="954">
        <f t="shared" si="2"/>
        <v>1006.352140160761</v>
      </c>
      <c r="X20" s="954">
        <f t="shared" si="2"/>
        <v>1482.9805810092807</v>
      </c>
      <c r="Y20" s="954">
        <f t="shared" si="2"/>
        <v>2017.3645703459999</v>
      </c>
      <c r="Z20" s="954">
        <f t="shared" si="2"/>
        <v>2244.046242505</v>
      </c>
      <c r="AA20" s="954">
        <f t="shared" si="2"/>
        <v>2609.5948962358493</v>
      </c>
      <c r="AB20" s="954">
        <f t="shared" si="2"/>
        <v>3039.7373288900003</v>
      </c>
      <c r="AC20" s="954">
        <f t="shared" si="2"/>
        <v>3399.1654284565279</v>
      </c>
      <c r="AD20" s="954">
        <f t="shared" si="2"/>
        <v>3758.7979999999998</v>
      </c>
      <c r="AE20" s="954">
        <f t="shared" si="2"/>
        <v>4120.2779999999993</v>
      </c>
      <c r="AF20" s="954">
        <f t="shared" si="2"/>
        <v>4493.030999999999</v>
      </c>
      <c r="AG20" s="954">
        <f t="shared" si="2"/>
        <v>4872.1579999999994</v>
      </c>
      <c r="AH20" s="954">
        <f t="shared" ref="AH20" si="3">AH51</f>
        <v>5255.3179999999984</v>
      </c>
    </row>
    <row r="21" spans="1:34" ht="14" customHeight="1">
      <c r="A21" s="955" t="s">
        <v>907</v>
      </c>
      <c r="B21" s="956"/>
      <c r="C21" s="957"/>
      <c r="D21" s="957"/>
      <c r="E21" s="957"/>
      <c r="F21" s="957"/>
      <c r="G21" s="957">
        <f t="shared" ref="G21:AG21" si="4">SUM(G19:G20)</f>
        <v>0</v>
      </c>
      <c r="H21" s="957">
        <f t="shared" si="4"/>
        <v>0</v>
      </c>
      <c r="I21" s="957">
        <f t="shared" si="4"/>
        <v>0</v>
      </c>
      <c r="J21" s="957">
        <f t="shared" si="4"/>
        <v>0</v>
      </c>
      <c r="K21" s="957">
        <f t="shared" si="4"/>
        <v>72.78574382303735</v>
      </c>
      <c r="L21" s="957">
        <f t="shared" si="4"/>
        <v>207.77063668902628</v>
      </c>
      <c r="M21" s="957">
        <f t="shared" si="4"/>
        <v>491.09246983889233</v>
      </c>
      <c r="N21" s="957">
        <f t="shared" si="4"/>
        <v>662.359599</v>
      </c>
      <c r="O21" s="957">
        <f t="shared" si="4"/>
        <v>717.88084600000002</v>
      </c>
      <c r="P21" s="957">
        <f t="shared" si="4"/>
        <v>730.7541486572045</v>
      </c>
      <c r="Q21" s="957">
        <f t="shared" si="4"/>
        <v>713.2</v>
      </c>
      <c r="R21" s="957">
        <f t="shared" si="4"/>
        <v>711</v>
      </c>
      <c r="S21" s="957">
        <f t="shared" si="4"/>
        <v>804</v>
      </c>
      <c r="T21" s="957">
        <f t="shared" si="4"/>
        <v>990</v>
      </c>
      <c r="U21" s="957">
        <f t="shared" si="4"/>
        <v>1338.88</v>
      </c>
      <c r="V21" s="957">
        <f t="shared" si="4"/>
        <v>1572.9299667099999</v>
      </c>
      <c r="W21" s="957">
        <f t="shared" si="4"/>
        <v>1789.102127960761</v>
      </c>
      <c r="X21" s="957">
        <f t="shared" si="4"/>
        <v>2594.3199962187082</v>
      </c>
      <c r="Y21" s="957">
        <f t="shared" si="4"/>
        <v>3620.9414585596251</v>
      </c>
      <c r="Z21" s="957">
        <f t="shared" si="4"/>
        <v>3759.3875785649998</v>
      </c>
      <c r="AA21" s="957">
        <f t="shared" si="4"/>
        <v>4282.841549131067</v>
      </c>
      <c r="AB21" s="957">
        <f t="shared" si="4"/>
        <v>4898.2190561722182</v>
      </c>
      <c r="AC21" s="957">
        <f t="shared" si="4"/>
        <v>5489.6124016498215</v>
      </c>
      <c r="AD21" s="957">
        <f t="shared" si="4"/>
        <v>6135.6352759139245</v>
      </c>
      <c r="AE21" s="957">
        <f t="shared" si="4"/>
        <v>6743.9872871900052</v>
      </c>
      <c r="AF21" s="957">
        <f t="shared" si="4"/>
        <v>7384.7078237017222</v>
      </c>
      <c r="AG21" s="957">
        <f t="shared" si="4"/>
        <v>8051.6557526119677</v>
      </c>
      <c r="AH21" s="957">
        <f t="shared" ref="AH21" si="5">SUM(AH19:AH20)</f>
        <v>8639.1176357289642</v>
      </c>
    </row>
    <row r="22" spans="1:34" ht="14" customHeight="1">
      <c r="A22" s="958"/>
      <c r="B22" s="959"/>
      <c r="C22" s="960"/>
      <c r="D22" s="960"/>
      <c r="E22" s="960"/>
      <c r="F22" s="960"/>
      <c r="G22" s="960"/>
      <c r="H22" s="960"/>
      <c r="I22" s="960"/>
      <c r="J22" s="960"/>
      <c r="K22" s="960"/>
      <c r="L22" s="960"/>
      <c r="M22" s="960"/>
      <c r="N22" s="960"/>
      <c r="O22" s="960"/>
      <c r="P22" s="960"/>
      <c r="Q22" s="960"/>
      <c r="R22" s="960"/>
      <c r="S22" s="960"/>
      <c r="T22" s="960"/>
      <c r="U22" s="960"/>
      <c r="V22" s="960"/>
      <c r="W22" s="960"/>
      <c r="X22" s="960"/>
      <c r="Y22" s="960"/>
      <c r="Z22" s="960"/>
      <c r="AA22" s="960"/>
      <c r="AB22" s="960"/>
      <c r="AC22" s="960"/>
      <c r="AD22" s="960"/>
      <c r="AE22" s="960"/>
      <c r="AF22" s="960"/>
      <c r="AG22" s="960"/>
      <c r="AH22" s="960"/>
    </row>
    <row r="23" spans="1:34" ht="14" customHeight="1">
      <c r="A23" s="953" t="s">
        <v>908</v>
      </c>
      <c r="B23" s="846"/>
      <c r="C23" s="954"/>
      <c r="D23" s="954"/>
      <c r="E23" s="954"/>
      <c r="F23" s="954"/>
      <c r="G23" s="954">
        <f>G65</f>
        <v>57.407924107142854</v>
      </c>
      <c r="H23" s="954">
        <f t="shared" ref="H23:AG23" si="6">H65</f>
        <v>68.059490217803585</v>
      </c>
      <c r="I23" s="954">
        <f t="shared" si="6"/>
        <v>91.247961805547504</v>
      </c>
      <c r="J23" s="954">
        <f t="shared" si="6"/>
        <v>105.7694126398266</v>
      </c>
      <c r="K23" s="954">
        <f t="shared" si="6"/>
        <v>101.07573123016772</v>
      </c>
      <c r="L23" s="954">
        <f t="shared" si="6"/>
        <v>42.242109320323067</v>
      </c>
      <c r="M23" s="954">
        <f t="shared" si="6"/>
        <v>35.33319073751877</v>
      </c>
      <c r="N23" s="954">
        <f t="shared" si="6"/>
        <v>37.832529189371392</v>
      </c>
      <c r="O23" s="954">
        <f t="shared" si="6"/>
        <v>37.094137731570889</v>
      </c>
      <c r="P23" s="954">
        <f t="shared" si="6"/>
        <v>36.160212313207516</v>
      </c>
      <c r="Q23" s="954">
        <f t="shared" si="6"/>
        <v>45.514620728233055</v>
      </c>
      <c r="R23" s="954">
        <f t="shared" si="6"/>
        <v>49.549366629931249</v>
      </c>
      <c r="S23" s="954">
        <f t="shared" si="6"/>
        <v>50.056346225428584</v>
      </c>
      <c r="T23" s="954">
        <f t="shared" si="6"/>
        <v>51.335228266655392</v>
      </c>
      <c r="U23" s="954">
        <f t="shared" si="6"/>
        <v>49.215683703909129</v>
      </c>
      <c r="V23" s="954">
        <f t="shared" si="6"/>
        <v>56.43397019517333</v>
      </c>
      <c r="W23" s="954">
        <f t="shared" si="6"/>
        <v>55.71299466914494</v>
      </c>
      <c r="X23" s="954">
        <f t="shared" si="6"/>
        <v>34.835000000000001</v>
      </c>
      <c r="Y23" s="954">
        <f t="shared" si="6"/>
        <v>42.436</v>
      </c>
      <c r="Z23" s="954">
        <f t="shared" si="6"/>
        <v>39.401190996346784</v>
      </c>
      <c r="AA23" s="954">
        <f t="shared" si="6"/>
        <v>40.078644042506106</v>
      </c>
      <c r="AB23" s="954">
        <f t="shared" si="6"/>
        <v>40.390556185426149</v>
      </c>
      <c r="AC23" s="954">
        <f t="shared" si="6"/>
        <v>37.965053244942339</v>
      </c>
      <c r="AD23" s="954">
        <f t="shared" si="6"/>
        <v>32.62191526156623</v>
      </c>
      <c r="AE23" s="954">
        <f t="shared" si="6"/>
        <v>30.72418276213633</v>
      </c>
      <c r="AF23" s="954">
        <f t="shared" si="6"/>
        <v>28.338297415476319</v>
      </c>
      <c r="AG23" s="954">
        <f t="shared" si="6"/>
        <v>25.41643751481746</v>
      </c>
      <c r="AH23" s="954">
        <f t="shared" ref="AH23" si="7">AH65</f>
        <v>27.448661993648969</v>
      </c>
    </row>
    <row r="24" spans="1:34" ht="14" customHeight="1">
      <c r="A24" s="953" t="s">
        <v>909</v>
      </c>
      <c r="B24" s="846"/>
      <c r="C24" s="954"/>
      <c r="D24" s="954"/>
      <c r="E24" s="954"/>
      <c r="F24" s="954"/>
      <c r="G24" s="954">
        <f>G71</f>
        <v>19.657281527326969</v>
      </c>
      <c r="H24" s="954">
        <f t="shared" ref="H24:AG24" si="8">H71</f>
        <v>70.651386864529613</v>
      </c>
      <c r="I24" s="954">
        <f t="shared" si="8"/>
        <v>139.45380718554227</v>
      </c>
      <c r="J24" s="954">
        <f t="shared" si="8"/>
        <v>175.61950053052902</v>
      </c>
      <c r="K24" s="954">
        <f t="shared" si="8"/>
        <v>259.6160561243903</v>
      </c>
      <c r="L24" s="954">
        <f t="shared" si="8"/>
        <v>319.76653817170637</v>
      </c>
      <c r="M24" s="954">
        <f t="shared" si="8"/>
        <v>339.70995492104765</v>
      </c>
      <c r="N24" s="954">
        <f t="shared" si="8"/>
        <v>348.26549220032933</v>
      </c>
      <c r="O24" s="954">
        <f t="shared" si="8"/>
        <v>340.70970212683739</v>
      </c>
      <c r="P24" s="954">
        <f t="shared" si="8"/>
        <v>288.82569752256961</v>
      </c>
      <c r="Q24" s="954">
        <f t="shared" si="8"/>
        <v>269.39117515711297</v>
      </c>
      <c r="R24" s="954">
        <f t="shared" si="8"/>
        <v>233.97917063109409</v>
      </c>
      <c r="S24" s="954">
        <f t="shared" si="8"/>
        <v>190.62328232420867</v>
      </c>
      <c r="T24" s="954">
        <f t="shared" si="8"/>
        <v>167.45916977680088</v>
      </c>
      <c r="U24" s="954">
        <f t="shared" si="8"/>
        <v>153.63807956266857</v>
      </c>
      <c r="V24" s="954">
        <f t="shared" si="8"/>
        <v>143.95601962453938</v>
      </c>
      <c r="W24" s="954">
        <f t="shared" si="8"/>
        <v>134.48990274105134</v>
      </c>
      <c r="X24" s="954">
        <f t="shared" si="8"/>
        <v>138.3538783584186</v>
      </c>
      <c r="Y24" s="954">
        <f t="shared" si="8"/>
        <v>126.07011619336301</v>
      </c>
      <c r="Z24" s="954">
        <f t="shared" si="8"/>
        <v>125.10798071474193</v>
      </c>
      <c r="AA24" s="954">
        <f t="shared" si="8"/>
        <v>124.13058466691851</v>
      </c>
      <c r="AB24" s="954">
        <f t="shared" si="8"/>
        <v>107.04826082954783</v>
      </c>
      <c r="AC24" s="954">
        <f t="shared" si="8"/>
        <v>97.190673242054089</v>
      </c>
      <c r="AD24" s="954">
        <f t="shared" si="8"/>
        <v>91.061183153840005</v>
      </c>
      <c r="AE24" s="954">
        <f t="shared" si="8"/>
        <v>79.215848909078872</v>
      </c>
      <c r="AF24" s="954">
        <f t="shared" si="8"/>
        <v>67.186983913864424</v>
      </c>
      <c r="AG24" s="954">
        <f t="shared" si="8"/>
        <v>53.610772681374513</v>
      </c>
      <c r="AH24" s="954">
        <f t="shared" ref="AH24" si="9">AH71</f>
        <v>40.394623715129832</v>
      </c>
    </row>
    <row r="25" spans="1:34" ht="14" customHeight="1">
      <c r="A25" s="955" t="s">
        <v>910</v>
      </c>
      <c r="B25" s="956"/>
      <c r="C25" s="957"/>
      <c r="D25" s="957"/>
      <c r="E25" s="957"/>
      <c r="F25" s="957"/>
      <c r="G25" s="957">
        <f t="shared" ref="G25:AG25" si="10">SUM(G23:G24)</f>
        <v>77.06520563446982</v>
      </c>
      <c r="H25" s="957">
        <f t="shared" si="10"/>
        <v>138.71087708233318</v>
      </c>
      <c r="I25" s="957">
        <f t="shared" si="10"/>
        <v>230.70176899108978</v>
      </c>
      <c r="J25" s="957">
        <f t="shared" si="10"/>
        <v>281.38891317035564</v>
      </c>
      <c r="K25" s="957">
        <f t="shared" si="10"/>
        <v>360.69178735455802</v>
      </c>
      <c r="L25" s="957">
        <f t="shared" si="10"/>
        <v>362.00864749202947</v>
      </c>
      <c r="M25" s="957">
        <f t="shared" si="10"/>
        <v>375.0431456585664</v>
      </c>
      <c r="N25" s="957">
        <f t="shared" si="10"/>
        <v>386.0980213897007</v>
      </c>
      <c r="O25" s="957">
        <f t="shared" si="10"/>
        <v>377.80383985840825</v>
      </c>
      <c r="P25" s="957">
        <f t="shared" si="10"/>
        <v>324.98590983577714</v>
      </c>
      <c r="Q25" s="957">
        <f t="shared" si="10"/>
        <v>314.90579588534604</v>
      </c>
      <c r="R25" s="957">
        <f t="shared" si="10"/>
        <v>283.52853726102535</v>
      </c>
      <c r="S25" s="957">
        <f t="shared" si="10"/>
        <v>240.67962854963724</v>
      </c>
      <c r="T25" s="957">
        <f t="shared" si="10"/>
        <v>218.79439804345628</v>
      </c>
      <c r="U25" s="957">
        <f t="shared" si="10"/>
        <v>202.85376326657769</v>
      </c>
      <c r="V25" s="957">
        <f t="shared" si="10"/>
        <v>200.3899898197127</v>
      </c>
      <c r="W25" s="957">
        <f t="shared" si="10"/>
        <v>190.20289741019627</v>
      </c>
      <c r="X25" s="957">
        <f t="shared" si="10"/>
        <v>173.18887835841861</v>
      </c>
      <c r="Y25" s="957">
        <f t="shared" si="10"/>
        <v>168.506116193363</v>
      </c>
      <c r="Z25" s="957">
        <f t="shared" si="10"/>
        <v>164.5091717110887</v>
      </c>
      <c r="AA25" s="957">
        <f t="shared" si="10"/>
        <v>164.20922870942462</v>
      </c>
      <c r="AB25" s="957">
        <f t="shared" si="10"/>
        <v>147.43881701497398</v>
      </c>
      <c r="AC25" s="957">
        <f t="shared" si="10"/>
        <v>135.15572648699643</v>
      </c>
      <c r="AD25" s="957">
        <f t="shared" si="10"/>
        <v>123.68309841540623</v>
      </c>
      <c r="AE25" s="957">
        <f t="shared" si="10"/>
        <v>109.94003167121519</v>
      </c>
      <c r="AF25" s="957">
        <f t="shared" si="10"/>
        <v>95.525281329340743</v>
      </c>
      <c r="AG25" s="957">
        <f t="shared" si="10"/>
        <v>79.027210196191973</v>
      </c>
      <c r="AH25" s="957">
        <f t="shared" ref="AH25" si="11">SUM(AH23:AH24)</f>
        <v>67.843285708778808</v>
      </c>
    </row>
    <row r="26" spans="1:34" ht="14" customHeight="1">
      <c r="A26" s="961"/>
      <c r="B26" s="846"/>
      <c r="C26" s="846"/>
      <c r="D26" s="846"/>
      <c r="E26" s="846"/>
      <c r="F26" s="846"/>
      <c r="G26" s="962"/>
      <c r="H26" s="962"/>
      <c r="I26" s="962"/>
      <c r="J26" s="962"/>
      <c r="K26" s="962"/>
      <c r="L26" s="962"/>
      <c r="M26" s="962"/>
      <c r="N26" s="962"/>
      <c r="O26" s="962"/>
      <c r="P26" s="962"/>
      <c r="Q26" s="962"/>
      <c r="R26" s="962"/>
      <c r="S26" s="962"/>
      <c r="T26" s="962"/>
      <c r="U26" s="962"/>
      <c r="V26" s="962"/>
      <c r="W26" s="962"/>
      <c r="X26" s="962"/>
      <c r="Y26" s="962"/>
      <c r="Z26" s="962"/>
      <c r="AA26" s="962"/>
      <c r="AB26" s="962"/>
      <c r="AC26" s="962"/>
      <c r="AD26" s="962"/>
      <c r="AE26" s="962"/>
      <c r="AF26" s="962"/>
      <c r="AG26" s="962"/>
      <c r="AH26" s="962"/>
    </row>
    <row r="27" spans="1:34" ht="14" customHeight="1">
      <c r="A27" s="953" t="s">
        <v>911</v>
      </c>
      <c r="B27" s="846"/>
      <c r="C27" s="954"/>
      <c r="D27" s="954"/>
      <c r="E27" s="954"/>
      <c r="F27" s="954"/>
      <c r="G27" s="954">
        <f>G19+G23</f>
        <v>57.407924107142854</v>
      </c>
      <c r="H27" s="954">
        <f t="shared" ref="H27:AG28" si="12">H19+H23</f>
        <v>68.059490217803585</v>
      </c>
      <c r="I27" s="954">
        <f t="shared" si="12"/>
        <v>91.247961805547504</v>
      </c>
      <c r="J27" s="954">
        <f t="shared" si="12"/>
        <v>105.7694126398266</v>
      </c>
      <c r="K27" s="954">
        <f t="shared" si="12"/>
        <v>173.86147505320508</v>
      </c>
      <c r="L27" s="954">
        <f t="shared" si="12"/>
        <v>220.37349952386714</v>
      </c>
      <c r="M27" s="954">
        <f t="shared" si="12"/>
        <v>239.38764281599052</v>
      </c>
      <c r="N27" s="954">
        <f t="shared" si="12"/>
        <v>279.50181018937138</v>
      </c>
      <c r="O27" s="954">
        <f t="shared" si="12"/>
        <v>266.51124173157086</v>
      </c>
      <c r="P27" s="954">
        <f t="shared" si="12"/>
        <v>221.16021231320752</v>
      </c>
      <c r="Q27" s="954">
        <f t="shared" si="12"/>
        <v>252.71462072823306</v>
      </c>
      <c r="R27" s="954">
        <f t="shared" si="12"/>
        <v>289.54936662993123</v>
      </c>
      <c r="S27" s="954">
        <f t="shared" si="12"/>
        <v>344.05634622542857</v>
      </c>
      <c r="T27" s="954">
        <f t="shared" si="12"/>
        <v>433.33522826665541</v>
      </c>
      <c r="U27" s="954">
        <f t="shared" si="12"/>
        <v>638.21568370390912</v>
      </c>
      <c r="V27" s="954">
        <f t="shared" si="12"/>
        <v>741.25468209517328</v>
      </c>
      <c r="W27" s="954">
        <f t="shared" si="12"/>
        <v>838.46298246914489</v>
      </c>
      <c r="X27" s="954">
        <f t="shared" si="12"/>
        <v>1146.1744152094273</v>
      </c>
      <c r="Y27" s="954">
        <f t="shared" si="12"/>
        <v>1646.0128882136248</v>
      </c>
      <c r="Z27" s="954">
        <f t="shared" si="12"/>
        <v>1554.7425270563465</v>
      </c>
      <c r="AA27" s="954">
        <f t="shared" si="12"/>
        <v>1713.3252969377238</v>
      </c>
      <c r="AB27" s="954">
        <f t="shared" si="12"/>
        <v>1898.8722834676446</v>
      </c>
      <c r="AC27" s="954">
        <f t="shared" si="12"/>
        <v>2128.4120264382364</v>
      </c>
      <c r="AD27" s="954">
        <f t="shared" si="12"/>
        <v>2409.4591911754915</v>
      </c>
      <c r="AE27" s="954">
        <f t="shared" si="12"/>
        <v>2654.4334699521423</v>
      </c>
      <c r="AF27" s="954">
        <f t="shared" si="12"/>
        <v>2920.0151211171997</v>
      </c>
      <c r="AG27" s="954">
        <f t="shared" si="12"/>
        <v>3204.9141901267858</v>
      </c>
      <c r="AH27" s="954">
        <f t="shared" ref="AH27" si="13">AH19+AH23</f>
        <v>3411.248297722615</v>
      </c>
    </row>
    <row r="28" spans="1:34" ht="14" customHeight="1">
      <c r="A28" s="953" t="s">
        <v>912</v>
      </c>
      <c r="B28" s="846"/>
      <c r="C28" s="954"/>
      <c r="D28" s="954"/>
      <c r="E28" s="954"/>
      <c r="F28" s="954"/>
      <c r="G28" s="954">
        <f>G20+G24</f>
        <v>19.657281527326969</v>
      </c>
      <c r="H28" s="954">
        <f t="shared" si="12"/>
        <v>70.651386864529613</v>
      </c>
      <c r="I28" s="954">
        <f t="shared" si="12"/>
        <v>139.45380718554227</v>
      </c>
      <c r="J28" s="954">
        <f t="shared" si="12"/>
        <v>175.61950053052902</v>
      </c>
      <c r="K28" s="954">
        <f t="shared" si="12"/>
        <v>259.6160561243903</v>
      </c>
      <c r="L28" s="954">
        <f t="shared" si="12"/>
        <v>349.40578465718858</v>
      </c>
      <c r="M28" s="954">
        <f t="shared" si="12"/>
        <v>626.74797268146824</v>
      </c>
      <c r="N28" s="954">
        <f t="shared" si="12"/>
        <v>768.95581020032932</v>
      </c>
      <c r="O28" s="954">
        <f t="shared" si="12"/>
        <v>829.17344412683747</v>
      </c>
      <c r="P28" s="954">
        <f t="shared" si="12"/>
        <v>834.57984617977411</v>
      </c>
      <c r="Q28" s="954">
        <f t="shared" si="12"/>
        <v>775.39117515711291</v>
      </c>
      <c r="R28" s="954">
        <f t="shared" si="12"/>
        <v>704.97917063109412</v>
      </c>
      <c r="S28" s="954">
        <f t="shared" si="12"/>
        <v>700.62328232420873</v>
      </c>
      <c r="T28" s="954">
        <f t="shared" si="12"/>
        <v>775.45916977680088</v>
      </c>
      <c r="U28" s="954">
        <f t="shared" si="12"/>
        <v>903.51807956266862</v>
      </c>
      <c r="V28" s="954">
        <f t="shared" si="12"/>
        <v>1032.0652744345393</v>
      </c>
      <c r="W28" s="954">
        <f t="shared" si="12"/>
        <v>1140.8420429018124</v>
      </c>
      <c r="X28" s="954">
        <f t="shared" si="12"/>
        <v>1621.3344593676993</v>
      </c>
      <c r="Y28" s="954">
        <f t="shared" si="12"/>
        <v>2143.4346865393632</v>
      </c>
      <c r="Z28" s="954">
        <f t="shared" si="12"/>
        <v>2369.1542232197421</v>
      </c>
      <c r="AA28" s="954">
        <f t="shared" si="12"/>
        <v>2733.7254809027677</v>
      </c>
      <c r="AB28" s="954">
        <f t="shared" si="12"/>
        <v>3146.7855897195482</v>
      </c>
      <c r="AC28" s="954">
        <f t="shared" si="12"/>
        <v>3496.3561016985818</v>
      </c>
      <c r="AD28" s="954">
        <f t="shared" si="12"/>
        <v>3849.8591831538397</v>
      </c>
      <c r="AE28" s="954">
        <f t="shared" si="12"/>
        <v>4199.4938489090782</v>
      </c>
      <c r="AF28" s="954">
        <f t="shared" si="12"/>
        <v>4560.2179839138635</v>
      </c>
      <c r="AG28" s="954">
        <f t="shared" si="12"/>
        <v>4925.7687726813738</v>
      </c>
      <c r="AH28" s="954">
        <f t="shared" ref="AH28" si="14">AH20+AH24</f>
        <v>5295.7126237151278</v>
      </c>
    </row>
    <row r="29" spans="1:34" ht="14" customHeight="1">
      <c r="A29" s="955" t="s">
        <v>913</v>
      </c>
      <c r="B29" s="956"/>
      <c r="C29" s="957"/>
      <c r="D29" s="957"/>
      <c r="E29" s="957"/>
      <c r="F29" s="957"/>
      <c r="G29" s="957">
        <f t="shared" ref="G29:AG29" si="15">SUM(G27:G28)</f>
        <v>77.06520563446982</v>
      </c>
      <c r="H29" s="957">
        <f t="shared" si="15"/>
        <v>138.71087708233318</v>
      </c>
      <c r="I29" s="957">
        <f t="shared" si="15"/>
        <v>230.70176899108978</v>
      </c>
      <c r="J29" s="957">
        <f t="shared" si="15"/>
        <v>281.38891317035564</v>
      </c>
      <c r="K29" s="957">
        <f t="shared" si="15"/>
        <v>433.47753117759538</v>
      </c>
      <c r="L29" s="957">
        <f t="shared" si="15"/>
        <v>569.77928418105569</v>
      </c>
      <c r="M29" s="957">
        <f t="shared" si="15"/>
        <v>866.13561549745873</v>
      </c>
      <c r="N29" s="957">
        <f t="shared" si="15"/>
        <v>1048.4576203897007</v>
      </c>
      <c r="O29" s="957">
        <f t="shared" si="15"/>
        <v>1095.6846858584083</v>
      </c>
      <c r="P29" s="957">
        <f t="shared" si="15"/>
        <v>1055.7400584929817</v>
      </c>
      <c r="Q29" s="957">
        <f t="shared" si="15"/>
        <v>1028.105795885346</v>
      </c>
      <c r="R29" s="957">
        <f t="shared" si="15"/>
        <v>994.52853726102535</v>
      </c>
      <c r="S29" s="957">
        <f t="shared" si="15"/>
        <v>1044.6796285496373</v>
      </c>
      <c r="T29" s="957">
        <f t="shared" si="15"/>
        <v>1208.7943980434563</v>
      </c>
      <c r="U29" s="957">
        <f t="shared" si="15"/>
        <v>1541.7337632665776</v>
      </c>
      <c r="V29" s="957">
        <f t="shared" si="15"/>
        <v>1773.3199565297127</v>
      </c>
      <c r="W29" s="957">
        <f t="shared" si="15"/>
        <v>1979.3050253709573</v>
      </c>
      <c r="X29" s="957">
        <f t="shared" si="15"/>
        <v>2767.5088745771263</v>
      </c>
      <c r="Y29" s="957">
        <f t="shared" si="15"/>
        <v>3789.4475747529877</v>
      </c>
      <c r="Z29" s="957">
        <f t="shared" si="15"/>
        <v>3923.8967502760888</v>
      </c>
      <c r="AA29" s="957">
        <f t="shared" si="15"/>
        <v>4447.0507778404917</v>
      </c>
      <c r="AB29" s="957">
        <f t="shared" si="15"/>
        <v>5045.6578731871923</v>
      </c>
      <c r="AC29" s="957">
        <f t="shared" si="15"/>
        <v>5624.7681281368186</v>
      </c>
      <c r="AD29" s="957">
        <f t="shared" si="15"/>
        <v>6259.3183743293312</v>
      </c>
      <c r="AE29" s="957">
        <f t="shared" si="15"/>
        <v>6853.9273188612206</v>
      </c>
      <c r="AF29" s="957">
        <f t="shared" si="15"/>
        <v>7480.2331050310631</v>
      </c>
      <c r="AG29" s="957">
        <f t="shared" si="15"/>
        <v>8130.6829628081596</v>
      </c>
      <c r="AH29" s="957">
        <f t="shared" ref="AH29" si="16">SUM(AH27:AH28)</f>
        <v>8706.9609214377433</v>
      </c>
    </row>
    <row r="30" spans="1:34" ht="14" customHeight="1">
      <c r="A30" s="958"/>
      <c r="B30" s="959"/>
      <c r="C30" s="960"/>
      <c r="D30" s="960"/>
      <c r="E30" s="960"/>
      <c r="F30" s="960"/>
      <c r="G30" s="960"/>
      <c r="H30" s="960"/>
      <c r="I30" s="960"/>
      <c r="J30" s="960"/>
      <c r="K30" s="960"/>
      <c r="L30" s="960"/>
      <c r="M30" s="960"/>
      <c r="N30" s="960"/>
      <c r="O30" s="960"/>
      <c r="P30" s="960"/>
      <c r="Q30" s="960"/>
      <c r="R30" s="960"/>
      <c r="S30" s="960"/>
      <c r="T30" s="960"/>
      <c r="U30" s="960"/>
      <c r="V30" s="960"/>
      <c r="W30" s="960"/>
      <c r="X30" s="960"/>
      <c r="Y30" s="960"/>
      <c r="Z30" s="960"/>
      <c r="AA30" s="960"/>
      <c r="AB30" s="960"/>
      <c r="AC30" s="960"/>
      <c r="AD30" s="960"/>
      <c r="AE30" s="960"/>
      <c r="AF30" s="960"/>
      <c r="AG30" s="960"/>
      <c r="AH30" s="960"/>
    </row>
    <row r="31" spans="1:34" ht="14" customHeight="1">
      <c r="A31" s="953" t="s">
        <v>905</v>
      </c>
      <c r="B31" s="846"/>
      <c r="C31" s="954"/>
      <c r="D31" s="954"/>
      <c r="E31" s="954"/>
      <c r="F31" s="954"/>
      <c r="G31" s="963">
        <f>IFERROR(G19/G27,"-")</f>
        <v>0</v>
      </c>
      <c r="H31" s="963">
        <f t="shared" ref="H31:AG33" si="17">IFERROR(H19/H27,"-")</f>
        <v>0</v>
      </c>
      <c r="I31" s="963">
        <f t="shared" si="17"/>
        <v>0</v>
      </c>
      <c r="J31" s="963">
        <f t="shared" si="17"/>
        <v>0</v>
      </c>
      <c r="K31" s="963">
        <f t="shared" si="17"/>
        <v>0.41864216210499455</v>
      </c>
      <c r="L31" s="963">
        <f t="shared" si="17"/>
        <v>0.80831583919305094</v>
      </c>
      <c r="M31" s="963">
        <f t="shared" si="17"/>
        <v>0.852401776792304</v>
      </c>
      <c r="N31" s="963">
        <f t="shared" si="17"/>
        <v>0.86464299045598791</v>
      </c>
      <c r="O31" s="963">
        <f t="shared" si="17"/>
        <v>0.86081586093493201</v>
      </c>
      <c r="P31" s="963">
        <f t="shared" si="17"/>
        <v>0.83649765961520528</v>
      </c>
      <c r="Q31" s="963">
        <f t="shared" si="17"/>
        <v>0.81989716069028284</v>
      </c>
      <c r="R31" s="963">
        <f t="shared" si="17"/>
        <v>0.82887420129203893</v>
      </c>
      <c r="S31" s="963">
        <f t="shared" si="17"/>
        <v>0.85451119627762584</v>
      </c>
      <c r="T31" s="963">
        <f t="shared" si="17"/>
        <v>0.88153460665545991</v>
      </c>
      <c r="U31" s="963">
        <f t="shared" si="17"/>
        <v>0.92288549943134579</v>
      </c>
      <c r="V31" s="963">
        <f t="shared" si="17"/>
        <v>0.92386696292337556</v>
      </c>
      <c r="W31" s="963">
        <f t="shared" si="17"/>
        <v>0.93355342354521287</v>
      </c>
      <c r="X31" s="963">
        <f t="shared" si="17"/>
        <v>0.96960759240674987</v>
      </c>
      <c r="Y31" s="963">
        <f t="shared" si="17"/>
        <v>0.97421891389559256</v>
      </c>
      <c r="Z31" s="963">
        <f t="shared" si="17"/>
        <v>0.97465741734681532</v>
      </c>
      <c r="AA31" s="963">
        <f t="shared" si="17"/>
        <v>0.97660768558420297</v>
      </c>
      <c r="AB31" s="963">
        <f t="shared" si="17"/>
        <v>0.97872918756196359</v>
      </c>
      <c r="AC31" s="963">
        <f t="shared" si="17"/>
        <v>0.98216273316756508</v>
      </c>
      <c r="AD31" s="963">
        <f t="shared" si="17"/>
        <v>0.98646089737438081</v>
      </c>
      <c r="AE31" s="963">
        <f t="shared" si="17"/>
        <v>0.98842533327358528</v>
      </c>
      <c r="AF31" s="963">
        <f t="shared" si="17"/>
        <v>0.99029515388104072</v>
      </c>
      <c r="AG31" s="963">
        <f t="shared" si="17"/>
        <v>0.99206954195743624</v>
      </c>
      <c r="AH31" s="963">
        <f t="shared" ref="AH31" si="18">IFERROR(AH19/AH27,"-")</f>
        <v>0.99195348459038479</v>
      </c>
    </row>
    <row r="32" spans="1:34" ht="14" customHeight="1">
      <c r="A32" s="953" t="s">
        <v>906</v>
      </c>
      <c r="B32" s="846"/>
      <c r="C32" s="954"/>
      <c r="D32" s="954"/>
      <c r="E32" s="954"/>
      <c r="F32" s="954"/>
      <c r="G32" s="963">
        <f>IFERROR(G20/G28,"-")</f>
        <v>0</v>
      </c>
      <c r="H32" s="963">
        <f t="shared" si="17"/>
        <v>0</v>
      </c>
      <c r="I32" s="963">
        <f t="shared" si="17"/>
        <v>0</v>
      </c>
      <c r="J32" s="963">
        <f t="shared" si="17"/>
        <v>0</v>
      </c>
      <c r="K32" s="963">
        <f t="shared" si="17"/>
        <v>0</v>
      </c>
      <c r="L32" s="963">
        <f t="shared" si="17"/>
        <v>8.4827578096802428E-2</v>
      </c>
      <c r="M32" s="963">
        <f t="shared" si="17"/>
        <v>0.45797997005456892</v>
      </c>
      <c r="N32" s="963">
        <f t="shared" si="17"/>
        <v>0.54709296999836865</v>
      </c>
      <c r="O32" s="963">
        <f t="shared" si="17"/>
        <v>0.58909718522688292</v>
      </c>
      <c r="P32" s="963">
        <f t="shared" si="17"/>
        <v>0.65392682456370432</v>
      </c>
      <c r="Q32" s="963">
        <f t="shared" si="17"/>
        <v>0.65257384428894516</v>
      </c>
      <c r="R32" s="963">
        <f t="shared" si="17"/>
        <v>0.668104845677019</v>
      </c>
      <c r="S32" s="963">
        <f t="shared" si="17"/>
        <v>0.72792328326308875</v>
      </c>
      <c r="T32" s="963">
        <f t="shared" si="17"/>
        <v>0.78405159639159294</v>
      </c>
      <c r="U32" s="963">
        <f t="shared" si="17"/>
        <v>0.82995572192973233</v>
      </c>
      <c r="V32" s="963">
        <f t="shared" si="17"/>
        <v>0.86051655530856641</v>
      </c>
      <c r="W32" s="963">
        <f t="shared" si="17"/>
        <v>0.88211347611368984</v>
      </c>
      <c r="X32" s="963">
        <f t="shared" si="17"/>
        <v>0.91466666389587814</v>
      </c>
      <c r="Y32" s="963">
        <f t="shared" si="17"/>
        <v>0.9411831314548208</v>
      </c>
      <c r="Z32" s="963">
        <f t="shared" si="17"/>
        <v>0.94719297735513519</v>
      </c>
      <c r="AA32" s="963">
        <f t="shared" si="17"/>
        <v>0.95459288595944669</v>
      </c>
      <c r="AB32" s="963">
        <f t="shared" si="17"/>
        <v>0.96598171124868781</v>
      </c>
      <c r="AC32" s="963">
        <f t="shared" si="17"/>
        <v>0.97220229564293026</v>
      </c>
      <c r="AD32" s="963">
        <f t="shared" si="17"/>
        <v>0.97634687950346233</v>
      </c>
      <c r="AE32" s="963">
        <f t="shared" si="17"/>
        <v>0.98113681034926215</v>
      </c>
      <c r="AF32" s="963">
        <f t="shared" si="17"/>
        <v>0.98526671660195497</v>
      </c>
      <c r="AG32" s="963">
        <f t="shared" si="17"/>
        <v>0.98911626283013865</v>
      </c>
      <c r="AH32" s="963">
        <f t="shared" ref="AH32" si="19">IFERROR(AH20/AH28,"-")</f>
        <v>0.99237220246162239</v>
      </c>
    </row>
    <row r="33" spans="1:384" ht="14" customHeight="1">
      <c r="A33" s="955" t="s">
        <v>907</v>
      </c>
      <c r="B33" s="956"/>
      <c r="C33" s="957"/>
      <c r="D33" s="957"/>
      <c r="E33" s="957"/>
      <c r="F33" s="957"/>
      <c r="G33" s="964">
        <f>IFERROR(G21/G29,"-")</f>
        <v>0</v>
      </c>
      <c r="H33" s="964">
        <f t="shared" si="17"/>
        <v>0</v>
      </c>
      <c r="I33" s="964">
        <f t="shared" si="17"/>
        <v>0</v>
      </c>
      <c r="J33" s="964">
        <f t="shared" si="17"/>
        <v>0</v>
      </c>
      <c r="K33" s="964">
        <f t="shared" si="17"/>
        <v>0.16791122627580227</v>
      </c>
      <c r="L33" s="964">
        <f t="shared" si="17"/>
        <v>0.36465108939096513</v>
      </c>
      <c r="M33" s="964">
        <f t="shared" si="17"/>
        <v>0.56699258297655486</v>
      </c>
      <c r="N33" s="964">
        <f t="shared" si="17"/>
        <v>0.63174665920574635</v>
      </c>
      <c r="O33" s="964">
        <f t="shared" si="17"/>
        <v>0.65518926682595746</v>
      </c>
      <c r="P33" s="964">
        <f t="shared" si="17"/>
        <v>0.69217241761226811</v>
      </c>
      <c r="Q33" s="964">
        <f t="shared" si="17"/>
        <v>0.69370292712515347</v>
      </c>
      <c r="R33" s="964">
        <f t="shared" si="17"/>
        <v>0.71491161224807565</v>
      </c>
      <c r="S33" s="964">
        <f t="shared" si="17"/>
        <v>0.76961393524655908</v>
      </c>
      <c r="T33" s="964">
        <f t="shared" si="17"/>
        <v>0.81899783917133062</v>
      </c>
      <c r="U33" s="964">
        <f t="shared" si="17"/>
        <v>0.86842490701067787</v>
      </c>
      <c r="V33" s="964">
        <f t="shared" si="17"/>
        <v>0.88699727362688419</v>
      </c>
      <c r="W33" s="964">
        <f t="shared" si="17"/>
        <v>0.90390420123621473</v>
      </c>
      <c r="X33" s="964">
        <f t="shared" si="17"/>
        <v>0.93742066016504422</v>
      </c>
      <c r="Y33" s="964">
        <f t="shared" si="17"/>
        <v>0.95553280184794576</v>
      </c>
      <c r="Z33" s="964">
        <f t="shared" si="17"/>
        <v>0.9580750508535899</v>
      </c>
      <c r="AA33" s="964">
        <f t="shared" si="17"/>
        <v>0.96307457753177139</v>
      </c>
      <c r="AB33" s="964">
        <f t="shared" si="17"/>
        <v>0.97077906970298777</v>
      </c>
      <c r="AC33" s="964">
        <f t="shared" si="17"/>
        <v>0.975971324789211</v>
      </c>
      <c r="AD33" s="964">
        <f t="shared" si="17"/>
        <v>0.98024016497983957</v>
      </c>
      <c r="AE33" s="964">
        <f t="shared" si="17"/>
        <v>0.98395955682683223</v>
      </c>
      <c r="AF33" s="964">
        <f t="shared" si="17"/>
        <v>0.98722963843665612</v>
      </c>
      <c r="AG33" s="964">
        <f t="shared" si="17"/>
        <v>0.99028037244132106</v>
      </c>
      <c r="AH33" s="964">
        <f t="shared" ref="AH33" si="20">IFERROR(AH21/AH29,"-")</f>
        <v>0.99220815548376473</v>
      </c>
    </row>
    <row r="34" spans="1:384" ht="14" customHeight="1">
      <c r="A34" s="961"/>
      <c r="B34" s="846"/>
      <c r="C34" s="846"/>
      <c r="D34" s="846"/>
      <c r="E34" s="846"/>
      <c r="F34" s="846"/>
      <c r="G34" s="962"/>
      <c r="H34" s="962"/>
      <c r="I34" s="962"/>
      <c r="J34" s="962"/>
      <c r="K34" s="962"/>
      <c r="L34" s="962"/>
      <c r="M34" s="962"/>
      <c r="N34" s="962"/>
      <c r="O34" s="962"/>
      <c r="P34" s="962"/>
      <c r="Q34" s="962"/>
      <c r="R34" s="962"/>
      <c r="S34" s="962"/>
      <c r="T34" s="962"/>
      <c r="U34" s="962"/>
      <c r="V34" s="962"/>
      <c r="W34" s="962"/>
      <c r="X34" s="962"/>
      <c r="Y34" s="962"/>
      <c r="Z34" s="962"/>
      <c r="AA34" s="962"/>
      <c r="AB34" s="962"/>
      <c r="AC34" s="962"/>
      <c r="AD34" s="962"/>
      <c r="AE34" s="962"/>
      <c r="AF34" s="962"/>
      <c r="AG34" s="962"/>
      <c r="AH34" s="962"/>
    </row>
    <row r="35" spans="1:384">
      <c r="A35" s="846"/>
      <c r="B35" s="846"/>
      <c r="C35" s="846"/>
      <c r="D35" s="846"/>
      <c r="E35" s="846"/>
      <c r="F35" s="846"/>
      <c r="G35" s="846"/>
      <c r="H35" s="846"/>
      <c r="I35" s="846"/>
      <c r="J35" s="846"/>
      <c r="K35" s="846"/>
      <c r="L35" s="846"/>
      <c r="M35" s="846"/>
      <c r="N35" s="846"/>
      <c r="O35" s="846"/>
      <c r="P35" s="846"/>
      <c r="Q35" s="846"/>
      <c r="R35" s="846"/>
      <c r="S35" s="846"/>
      <c r="T35" s="846"/>
      <c r="U35" s="846"/>
      <c r="V35" s="846"/>
      <c r="W35" s="846"/>
      <c r="X35" s="846"/>
      <c r="Y35" s="846"/>
      <c r="Z35" s="846"/>
      <c r="AA35" s="846"/>
      <c r="AB35" s="846"/>
      <c r="AC35" s="846"/>
      <c r="AD35" s="846"/>
      <c r="AE35" s="846"/>
      <c r="AF35" s="846"/>
      <c r="AG35" s="846"/>
      <c r="AH35" s="846"/>
    </row>
    <row r="36" spans="1:384" s="890" customFormat="1" ht="14" customHeight="1" thickBot="1">
      <c r="A36" s="849"/>
      <c r="B36" s="859"/>
      <c r="C36" s="846"/>
      <c r="D36" s="846"/>
      <c r="E36" s="846"/>
      <c r="F36" s="846"/>
      <c r="G36" s="846"/>
      <c r="H36" s="846"/>
      <c r="I36" s="846"/>
      <c r="J36" s="846"/>
      <c r="K36" s="846"/>
      <c r="L36" s="846"/>
      <c r="M36" s="846"/>
      <c r="N36" s="846"/>
      <c r="O36" s="853"/>
      <c r="P36" s="853"/>
      <c r="Q36" s="857"/>
      <c r="R36" s="846"/>
      <c r="S36" s="853"/>
      <c r="T36" s="858"/>
      <c r="U36" s="858"/>
      <c r="V36" s="846"/>
      <c r="W36" s="846"/>
      <c r="X36" s="846"/>
      <c r="Y36" s="846"/>
      <c r="Z36" s="846"/>
      <c r="AA36" s="846"/>
      <c r="AB36" s="846"/>
      <c r="AC36" s="846"/>
      <c r="AD36" s="846"/>
      <c r="AE36" s="846"/>
      <c r="AF36" s="846"/>
      <c r="AG36" s="846"/>
      <c r="AH36" s="846"/>
      <c r="AI36" s="848"/>
      <c r="AJ36" s="848"/>
      <c r="AK36" s="848"/>
      <c r="AL36" s="848"/>
      <c r="AM36" s="848"/>
      <c r="AN36" s="848"/>
      <c r="AO36" s="848"/>
      <c r="AP36" s="848"/>
      <c r="AQ36" s="848"/>
      <c r="AR36" s="848"/>
      <c r="AS36" s="848"/>
      <c r="AT36" s="848"/>
      <c r="AU36" s="848"/>
      <c r="AV36" s="848"/>
      <c r="AW36" s="848"/>
      <c r="AX36" s="848"/>
      <c r="AY36" s="848"/>
      <c r="AZ36" s="848"/>
      <c r="BA36" s="848"/>
      <c r="BB36" s="848"/>
      <c r="BC36" s="848"/>
      <c r="BD36" s="848"/>
      <c r="BE36" s="848"/>
      <c r="BF36" s="848"/>
      <c r="BG36" s="848"/>
      <c r="BH36" s="848"/>
      <c r="BI36" s="848"/>
      <c r="BJ36" s="848"/>
      <c r="BK36" s="848"/>
      <c r="BL36" s="848"/>
      <c r="BM36" s="848"/>
      <c r="BN36" s="848"/>
      <c r="BO36" s="848"/>
      <c r="BP36" s="848"/>
      <c r="BQ36" s="848"/>
      <c r="BR36" s="848"/>
      <c r="BS36" s="848"/>
      <c r="BT36" s="848"/>
      <c r="BU36" s="848"/>
      <c r="BV36" s="848"/>
      <c r="BW36" s="848"/>
      <c r="BX36" s="848"/>
      <c r="BY36" s="848"/>
      <c r="BZ36" s="848"/>
      <c r="CA36" s="848"/>
      <c r="CB36" s="848"/>
      <c r="CC36" s="848"/>
      <c r="CD36" s="848"/>
      <c r="CE36" s="848"/>
      <c r="CF36" s="848"/>
      <c r="CG36" s="848"/>
      <c r="CH36" s="848"/>
      <c r="CI36" s="848"/>
      <c r="CJ36" s="848"/>
      <c r="CK36" s="848"/>
      <c r="CL36" s="848"/>
      <c r="CM36" s="848"/>
      <c r="CN36" s="848"/>
      <c r="CO36" s="848"/>
      <c r="CP36" s="848"/>
      <c r="CQ36" s="848"/>
      <c r="CR36" s="848"/>
      <c r="CS36" s="848"/>
      <c r="CT36" s="848"/>
      <c r="CU36" s="848"/>
      <c r="CV36" s="848"/>
      <c r="CW36" s="848"/>
      <c r="CX36" s="848"/>
      <c r="CY36" s="848"/>
      <c r="CZ36" s="848"/>
      <c r="DA36" s="848"/>
      <c r="DB36" s="848"/>
      <c r="DC36" s="848"/>
      <c r="DD36" s="848"/>
      <c r="DE36" s="848"/>
      <c r="DF36" s="848"/>
      <c r="DG36" s="848"/>
      <c r="DH36" s="848"/>
      <c r="DI36" s="848"/>
      <c r="DJ36" s="848"/>
      <c r="DK36" s="848"/>
      <c r="DL36" s="848"/>
      <c r="DM36" s="848"/>
      <c r="DN36" s="848"/>
      <c r="DO36" s="848"/>
      <c r="DP36" s="848"/>
      <c r="DQ36" s="848"/>
      <c r="DR36" s="848"/>
      <c r="DS36" s="848"/>
      <c r="DT36" s="848"/>
      <c r="DU36" s="848"/>
      <c r="DV36" s="848"/>
      <c r="DW36" s="848"/>
      <c r="DX36" s="848"/>
      <c r="DY36" s="848"/>
      <c r="DZ36" s="848"/>
      <c r="EA36" s="848"/>
      <c r="EB36" s="848"/>
      <c r="EC36" s="848"/>
      <c r="ED36" s="848"/>
      <c r="EE36" s="848"/>
      <c r="EF36" s="848"/>
      <c r="EG36" s="848"/>
      <c r="EH36" s="848"/>
      <c r="EI36" s="848"/>
      <c r="EJ36" s="848"/>
      <c r="EK36" s="848"/>
      <c r="EL36" s="848"/>
      <c r="EM36" s="848"/>
      <c r="EN36" s="848"/>
      <c r="EO36" s="848"/>
      <c r="EP36" s="848"/>
      <c r="EQ36" s="848"/>
      <c r="ER36" s="848"/>
      <c r="ES36" s="848"/>
      <c r="ET36" s="848"/>
      <c r="EU36" s="848"/>
      <c r="EV36" s="848"/>
      <c r="EW36" s="848"/>
      <c r="EX36" s="848"/>
      <c r="EY36" s="848"/>
      <c r="EZ36" s="848"/>
      <c r="FA36" s="848"/>
      <c r="FB36" s="848"/>
      <c r="FC36" s="848"/>
      <c r="FD36" s="848"/>
      <c r="FE36" s="848"/>
      <c r="FF36" s="848"/>
      <c r="FG36" s="848"/>
      <c r="FH36" s="848"/>
      <c r="FI36" s="848"/>
      <c r="FJ36" s="848"/>
      <c r="FK36" s="848"/>
      <c r="FL36" s="848"/>
      <c r="FM36" s="848"/>
      <c r="FN36" s="848"/>
      <c r="FO36" s="848"/>
      <c r="FP36" s="848"/>
      <c r="FQ36" s="848"/>
      <c r="FR36" s="848"/>
      <c r="FS36" s="848"/>
      <c r="FT36" s="848"/>
      <c r="FU36" s="848"/>
      <c r="FV36" s="848"/>
      <c r="FW36" s="848"/>
      <c r="FX36" s="848"/>
      <c r="FY36" s="848"/>
      <c r="FZ36" s="848"/>
      <c r="GA36" s="848"/>
      <c r="GB36" s="848"/>
      <c r="GC36" s="848"/>
      <c r="GD36" s="848"/>
      <c r="GE36" s="848"/>
      <c r="GF36" s="848"/>
      <c r="GG36" s="848"/>
      <c r="GH36" s="848"/>
      <c r="GI36" s="848"/>
      <c r="GJ36" s="848"/>
      <c r="GK36" s="848"/>
      <c r="GL36" s="848"/>
      <c r="GM36" s="848"/>
      <c r="GN36" s="848"/>
      <c r="GO36" s="848"/>
      <c r="GP36" s="848"/>
      <c r="GQ36" s="848"/>
      <c r="GR36" s="848"/>
      <c r="GS36" s="848"/>
      <c r="GT36" s="848"/>
      <c r="GU36" s="848"/>
      <c r="GV36" s="848"/>
      <c r="GW36" s="848"/>
      <c r="GX36" s="848"/>
      <c r="GY36" s="848"/>
      <c r="GZ36" s="848"/>
      <c r="HA36" s="848"/>
      <c r="HB36" s="848"/>
      <c r="HC36" s="848"/>
      <c r="HD36" s="848"/>
      <c r="HE36" s="848"/>
      <c r="HF36" s="848"/>
      <c r="HG36" s="848"/>
      <c r="HH36" s="848"/>
      <c r="HI36" s="848"/>
      <c r="HJ36" s="848"/>
      <c r="HK36" s="848"/>
      <c r="HL36" s="848"/>
      <c r="HM36" s="848"/>
      <c r="HN36" s="848"/>
      <c r="HO36" s="848"/>
      <c r="HP36" s="848"/>
      <c r="HQ36" s="848"/>
      <c r="HR36" s="848"/>
      <c r="HS36" s="848"/>
      <c r="HT36" s="848"/>
      <c r="HU36" s="848"/>
      <c r="HV36" s="848"/>
      <c r="HW36" s="848"/>
      <c r="HX36" s="848"/>
      <c r="HY36" s="848"/>
      <c r="HZ36" s="848"/>
      <c r="IA36" s="848"/>
      <c r="IB36" s="848"/>
      <c r="IC36" s="848"/>
      <c r="ID36" s="848"/>
      <c r="IE36" s="848"/>
      <c r="IF36" s="848"/>
      <c r="IG36" s="848"/>
      <c r="IH36" s="848"/>
      <c r="II36" s="848"/>
      <c r="IJ36" s="848"/>
      <c r="IK36" s="848"/>
      <c r="IL36" s="848"/>
      <c r="IM36" s="848"/>
      <c r="IN36" s="848"/>
      <c r="IO36" s="848"/>
      <c r="IP36" s="848"/>
      <c r="IQ36" s="848"/>
      <c r="IR36" s="848"/>
      <c r="IS36" s="848"/>
      <c r="IT36" s="848"/>
      <c r="IU36" s="848"/>
      <c r="IV36" s="848"/>
      <c r="IW36" s="848"/>
      <c r="IX36" s="848"/>
      <c r="IY36" s="848"/>
      <c r="IZ36" s="848"/>
      <c r="JA36" s="848"/>
      <c r="JB36" s="848"/>
      <c r="JC36" s="848"/>
      <c r="JD36" s="848"/>
      <c r="JE36" s="848"/>
      <c r="JF36" s="848"/>
      <c r="JG36" s="848"/>
      <c r="JH36" s="848"/>
      <c r="JI36" s="848"/>
      <c r="JJ36" s="848"/>
      <c r="JK36" s="848"/>
      <c r="JL36" s="848"/>
      <c r="JM36" s="848"/>
      <c r="JN36" s="848"/>
      <c r="JO36" s="848"/>
      <c r="JP36" s="848"/>
      <c r="JQ36" s="848"/>
      <c r="JR36" s="848"/>
      <c r="JS36" s="848"/>
      <c r="JT36" s="848"/>
      <c r="JU36" s="848"/>
      <c r="JV36" s="848"/>
      <c r="JW36" s="848"/>
      <c r="JX36" s="848"/>
      <c r="JY36" s="848"/>
      <c r="JZ36" s="848"/>
      <c r="KA36" s="848"/>
      <c r="KB36" s="848"/>
      <c r="KC36" s="848"/>
      <c r="KD36" s="848"/>
      <c r="KE36" s="848"/>
      <c r="KF36" s="848"/>
      <c r="KG36" s="848"/>
      <c r="KH36" s="848"/>
      <c r="KI36" s="848"/>
      <c r="KJ36" s="848"/>
      <c r="KK36" s="848"/>
      <c r="KL36" s="848"/>
      <c r="KM36" s="848"/>
      <c r="KN36" s="848"/>
      <c r="KO36" s="848"/>
      <c r="KP36" s="848"/>
      <c r="KQ36" s="848"/>
      <c r="KR36" s="848"/>
      <c r="KS36" s="848"/>
      <c r="KT36" s="848"/>
      <c r="KU36" s="848"/>
      <c r="KV36" s="848"/>
      <c r="KW36" s="848"/>
      <c r="KX36" s="848"/>
      <c r="KY36" s="848"/>
      <c r="KZ36" s="848"/>
      <c r="LA36" s="848"/>
      <c r="LB36" s="848"/>
      <c r="LC36" s="848"/>
      <c r="LD36" s="848"/>
      <c r="LE36" s="848"/>
      <c r="LF36" s="848"/>
      <c r="LG36" s="848"/>
      <c r="LH36" s="848"/>
      <c r="LI36" s="848"/>
      <c r="LJ36" s="848"/>
      <c r="LK36" s="848"/>
      <c r="LL36" s="848"/>
      <c r="LM36" s="848"/>
      <c r="LN36" s="848"/>
      <c r="LO36" s="848"/>
      <c r="LP36" s="848"/>
      <c r="LQ36" s="848"/>
      <c r="LR36" s="848"/>
      <c r="LS36" s="848"/>
      <c r="LT36" s="848"/>
      <c r="LU36" s="848"/>
      <c r="LV36" s="848"/>
      <c r="LW36" s="848"/>
      <c r="LX36" s="848"/>
      <c r="LY36" s="848"/>
      <c r="LZ36" s="848"/>
      <c r="MA36" s="848"/>
      <c r="MB36" s="848"/>
      <c r="MC36" s="848"/>
      <c r="MD36" s="848"/>
      <c r="ME36" s="848"/>
      <c r="MF36" s="848"/>
      <c r="MG36" s="848"/>
      <c r="MH36" s="848"/>
      <c r="MI36" s="848"/>
      <c r="MJ36" s="848"/>
      <c r="MK36" s="848"/>
      <c r="ML36" s="848"/>
      <c r="MM36" s="848"/>
      <c r="MN36" s="848"/>
      <c r="MO36" s="848"/>
      <c r="MP36" s="848"/>
      <c r="MQ36" s="848"/>
      <c r="MR36" s="848"/>
      <c r="MS36" s="848"/>
      <c r="MT36" s="848"/>
      <c r="MU36" s="848"/>
      <c r="MV36" s="848"/>
      <c r="MW36" s="848"/>
      <c r="MX36" s="848"/>
      <c r="MY36" s="848"/>
      <c r="MZ36" s="848"/>
      <c r="NA36" s="848"/>
      <c r="NB36" s="848"/>
      <c r="NC36" s="848"/>
      <c r="ND36" s="848"/>
      <c r="NE36" s="848"/>
      <c r="NF36" s="848"/>
      <c r="NG36" s="848"/>
      <c r="NH36" s="848"/>
      <c r="NI36" s="848"/>
      <c r="NJ36" s="848"/>
      <c r="NK36" s="848"/>
      <c r="NL36" s="848"/>
      <c r="NM36" s="848"/>
      <c r="NN36" s="848"/>
      <c r="NO36" s="848"/>
      <c r="NP36" s="848"/>
      <c r="NQ36" s="848"/>
      <c r="NR36" s="848"/>
      <c r="NS36" s="848"/>
      <c r="NT36" s="848"/>
    </row>
    <row r="37" spans="1:384">
      <c r="A37" s="944"/>
      <c r="B37" s="945"/>
      <c r="C37" s="945"/>
      <c r="D37" s="945"/>
      <c r="E37" s="945"/>
      <c r="F37" s="945"/>
      <c r="G37" s="945"/>
      <c r="H37" s="945"/>
      <c r="I37" s="945"/>
      <c r="J37" s="945"/>
      <c r="K37" s="945"/>
      <c r="L37" s="945"/>
      <c r="M37" s="945"/>
      <c r="N37" s="945"/>
      <c r="O37" s="945"/>
      <c r="P37" s="945"/>
      <c r="Q37" s="945"/>
      <c r="R37" s="945"/>
      <c r="S37" s="945"/>
      <c r="T37" s="945"/>
      <c r="U37" s="945"/>
      <c r="V37" s="945"/>
      <c r="W37" s="945"/>
      <c r="X37" s="945"/>
      <c r="Y37" s="945"/>
      <c r="Z37" s="945"/>
      <c r="AA37" s="945"/>
      <c r="AB37" s="945"/>
      <c r="AC37" s="945"/>
      <c r="AD37" s="945"/>
      <c r="AE37" s="945"/>
      <c r="AF37" s="945"/>
      <c r="AG37" s="945"/>
      <c r="AH37" s="945"/>
    </row>
    <row r="38" spans="1:384" ht="15" thickBot="1">
      <c r="A38" s="947"/>
      <c r="B38" s="947"/>
      <c r="C38" s="947"/>
      <c r="D38" s="947"/>
      <c r="E38" s="947"/>
      <c r="F38" s="947"/>
      <c r="G38" s="947"/>
      <c r="H38" s="947"/>
      <c r="I38" s="947"/>
      <c r="J38" s="947"/>
      <c r="K38" s="947"/>
      <c r="L38" s="947"/>
      <c r="M38" s="947"/>
      <c r="N38" s="947"/>
      <c r="O38" s="947"/>
      <c r="P38" s="947"/>
      <c r="Q38" s="947"/>
      <c r="R38" s="947"/>
      <c r="S38" s="947"/>
      <c r="T38" s="947"/>
      <c r="U38" s="947"/>
      <c r="V38" s="947"/>
      <c r="W38" s="947"/>
      <c r="X38" s="947"/>
      <c r="Y38" s="947"/>
      <c r="Z38" s="947"/>
      <c r="AA38" s="947"/>
      <c r="AB38" s="947"/>
      <c r="AC38" s="947"/>
      <c r="AD38" s="947"/>
      <c r="AE38" s="947"/>
      <c r="AF38" s="947"/>
      <c r="AG38" s="947"/>
      <c r="AH38" s="947"/>
    </row>
    <row r="39" spans="1:384">
      <c r="A39" s="948"/>
      <c r="B39" s="948"/>
      <c r="C39" s="948"/>
      <c r="D39" s="948"/>
      <c r="E39" s="948"/>
      <c r="F39" s="948"/>
      <c r="G39" s="948"/>
      <c r="H39" s="948"/>
      <c r="I39" s="948"/>
      <c r="J39" s="948"/>
      <c r="K39" s="948"/>
      <c r="L39" s="948"/>
      <c r="M39" s="948"/>
      <c r="N39" s="948"/>
      <c r="O39" s="948"/>
      <c r="P39" s="948"/>
      <c r="Q39" s="948"/>
      <c r="R39" s="948"/>
      <c r="S39" s="948"/>
      <c r="T39" s="948"/>
      <c r="U39" s="948"/>
      <c r="V39" s="948"/>
      <c r="W39" s="948"/>
      <c r="X39" s="948"/>
      <c r="Y39" s="948"/>
      <c r="Z39" s="948"/>
      <c r="AA39" s="948"/>
      <c r="AB39" s="948"/>
      <c r="AC39" s="948"/>
      <c r="AD39" s="948"/>
      <c r="AE39" s="948"/>
      <c r="AF39" s="948"/>
      <c r="AG39" s="948"/>
      <c r="AH39" s="948"/>
    </row>
    <row r="40" spans="1:384" ht="15" thickBot="1">
      <c r="A40" s="846"/>
      <c r="B40" s="846"/>
      <c r="C40" s="846"/>
      <c r="D40" s="846"/>
      <c r="E40" s="846"/>
      <c r="F40" s="846"/>
      <c r="G40" s="846"/>
      <c r="H40" s="846"/>
      <c r="I40" s="846"/>
      <c r="J40" s="846"/>
      <c r="K40" s="846"/>
      <c r="L40" s="846"/>
      <c r="M40" s="846"/>
      <c r="N40" s="846"/>
      <c r="O40" s="846"/>
      <c r="P40" s="846"/>
      <c r="Q40" s="846"/>
      <c r="R40" s="846"/>
      <c r="S40" s="846"/>
      <c r="T40" s="846"/>
      <c r="U40" s="846"/>
      <c r="V40" s="846"/>
      <c r="W40" s="846"/>
      <c r="X40" s="846"/>
      <c r="Y40" s="846"/>
      <c r="Z40" s="846"/>
      <c r="AA40" s="846"/>
      <c r="AB40" s="846"/>
      <c r="AC40" s="846"/>
      <c r="AD40" s="846"/>
      <c r="AE40" s="846"/>
      <c r="AF40" s="846"/>
      <c r="AG40" s="846"/>
      <c r="AH40" s="846"/>
    </row>
    <row r="41" spans="1:384">
      <c r="A41" s="950" t="str">
        <f>"Onshore Online GGR " &amp; A17</f>
        <v>Onshore Online GGR EUR (m)</v>
      </c>
      <c r="B41" s="951">
        <v>1998</v>
      </c>
      <c r="C41" s="951">
        <v>1999</v>
      </c>
      <c r="D41" s="951">
        <v>2000</v>
      </c>
      <c r="E41" s="951">
        <v>2001</v>
      </c>
      <c r="F41" s="951">
        <v>2002</v>
      </c>
      <c r="G41" s="951">
        <f>Summary!G$16</f>
        <v>2003</v>
      </c>
      <c r="H41" s="951">
        <f>Summary!H$16</f>
        <v>2004</v>
      </c>
      <c r="I41" s="951">
        <f>Summary!I$16</f>
        <v>2005</v>
      </c>
      <c r="J41" s="951">
        <f>Summary!J$16</f>
        <v>2006</v>
      </c>
      <c r="K41" s="951">
        <f>Summary!K$16</f>
        <v>2007</v>
      </c>
      <c r="L41" s="951">
        <f>Summary!L$16</f>
        <v>2008</v>
      </c>
      <c r="M41" s="951">
        <f>Summary!M$16</f>
        <v>2009</v>
      </c>
      <c r="N41" s="951">
        <f>Summary!N$16</f>
        <v>2010</v>
      </c>
      <c r="O41" s="951">
        <f>Summary!O$16</f>
        <v>2011</v>
      </c>
      <c r="P41" s="951">
        <f>Summary!P$16</f>
        <v>2012</v>
      </c>
      <c r="Q41" s="951">
        <f>Summary!Q$16</f>
        <v>2013</v>
      </c>
      <c r="R41" s="951">
        <f>Summary!R$16</f>
        <v>2014</v>
      </c>
      <c r="S41" s="951">
        <f>Summary!S$16</f>
        <v>2015</v>
      </c>
      <c r="T41" s="951">
        <f>Summary!T$16</f>
        <v>2016</v>
      </c>
      <c r="U41" s="951">
        <f>Summary!U$16</f>
        <v>2017</v>
      </c>
      <c r="V41" s="951">
        <f>Summary!V$16</f>
        <v>2018</v>
      </c>
      <c r="W41" s="951">
        <f>Summary!W$16</f>
        <v>2019</v>
      </c>
      <c r="X41" s="951">
        <f>Summary!X$16</f>
        <v>2020</v>
      </c>
      <c r="Y41" s="951">
        <f>Summary!Y$16</f>
        <v>2021</v>
      </c>
      <c r="Z41" s="951">
        <f>Summary!Z$16</f>
        <v>2022</v>
      </c>
      <c r="AA41" s="951">
        <f>Summary!AA$16</f>
        <v>2023</v>
      </c>
      <c r="AB41" s="951">
        <f>Summary!AB$16</f>
        <v>2024</v>
      </c>
      <c r="AC41" s="951">
        <f>Summary!AC$16</f>
        <v>2025</v>
      </c>
      <c r="AD41" s="951">
        <f>Summary!AD$16</f>
        <v>2026</v>
      </c>
      <c r="AE41" s="951">
        <f>Summary!AE$16</f>
        <v>2027</v>
      </c>
      <c r="AF41" s="951">
        <f>Summary!AF$16</f>
        <v>2028</v>
      </c>
      <c r="AG41" s="951">
        <f>Summary!AG$16</f>
        <v>2029</v>
      </c>
      <c r="AH41" s="951">
        <f>Summary!AH$16</f>
        <v>2030</v>
      </c>
    </row>
    <row r="42" spans="1:384">
      <c r="A42" s="949"/>
      <c r="B42" s="949"/>
      <c r="C42" s="949"/>
      <c r="D42" s="949"/>
      <c r="E42" s="949"/>
      <c r="F42" s="949"/>
      <c r="G42" s="949"/>
      <c r="H42" s="949"/>
      <c r="I42" s="949"/>
      <c r="J42" s="949"/>
      <c r="K42" s="949"/>
      <c r="L42" s="852"/>
      <c r="M42" s="852"/>
      <c r="N42" s="852"/>
      <c r="O42" s="852"/>
      <c r="P42" s="852"/>
      <c r="Q42" s="852"/>
      <c r="R42" s="852"/>
      <c r="S42" s="852"/>
      <c r="T42" s="949"/>
      <c r="U42" s="949"/>
      <c r="V42" s="949"/>
      <c r="W42" s="949"/>
      <c r="X42" s="949"/>
      <c r="Y42" s="949"/>
      <c r="Z42" s="949"/>
      <c r="AA42" s="949"/>
      <c r="AB42" s="949"/>
      <c r="AC42" s="949"/>
      <c r="AD42" s="949"/>
      <c r="AE42" s="949"/>
      <c r="AF42" s="949"/>
      <c r="AG42" s="949"/>
      <c r="AH42" s="949"/>
    </row>
    <row r="43" spans="1:384" ht="15">
      <c r="A43" s="904" t="str">
        <f>Summary!D77</f>
        <v>Race Betting</v>
      </c>
      <c r="B43" s="846"/>
      <c r="C43" s="954"/>
      <c r="D43" s="954"/>
      <c r="E43" s="954"/>
      <c r="F43" s="954"/>
      <c r="G43" s="965">
        <f>Summary!G77</f>
        <v>0</v>
      </c>
      <c r="H43" s="965">
        <f>Summary!H77</f>
        <v>0</v>
      </c>
      <c r="I43" s="965">
        <f>Summary!I77</f>
        <v>0</v>
      </c>
      <c r="J43" s="965">
        <f>Summary!J77</f>
        <v>0</v>
      </c>
      <c r="K43" s="965">
        <f>Summary!K77</f>
        <v>0</v>
      </c>
      <c r="L43" s="965">
        <f>Summary!L77</f>
        <v>28.640897772834748</v>
      </c>
      <c r="M43" s="965">
        <f>Summary!M77</f>
        <v>33.317070368815934</v>
      </c>
      <c r="N43" s="965">
        <f>Summary!N77</f>
        <v>28.830280999999996</v>
      </c>
      <c r="O43" s="965">
        <f>Summary!O77</f>
        <v>20.582395999999999</v>
      </c>
      <c r="P43" s="965">
        <f>Summary!P77</f>
        <v>17</v>
      </c>
      <c r="Q43" s="965">
        <f>Summary!Q77</f>
        <v>15</v>
      </c>
      <c r="R43" s="965">
        <f>Summary!R77</f>
        <v>14</v>
      </c>
      <c r="S43" s="965">
        <f>Summary!S77</f>
        <v>15</v>
      </c>
      <c r="T43" s="965">
        <f>Summary!T77</f>
        <v>16</v>
      </c>
      <c r="U43" s="965">
        <f>Summary!U77</f>
        <v>17</v>
      </c>
      <c r="V43" s="965">
        <f>Summary!V77</f>
        <v>16</v>
      </c>
      <c r="W43" s="965">
        <f>Summary!W77</f>
        <v>18</v>
      </c>
      <c r="X43" s="965">
        <f>Summary!X77</f>
        <v>28.397436879999997</v>
      </c>
      <c r="Y43" s="965">
        <f>Summary!Y77</f>
        <v>42.931747250000001</v>
      </c>
      <c r="Z43" s="965">
        <f>Summary!Z77</f>
        <v>37.375928409999993</v>
      </c>
      <c r="AA43" s="965">
        <f>Summary!AA77</f>
        <v>39.96042541911946</v>
      </c>
      <c r="AB43" s="965">
        <f>Summary!AB77</f>
        <v>41.626344102737903</v>
      </c>
      <c r="AC43" s="965">
        <f>Summary!AC77</f>
        <v>45.0921045953963</v>
      </c>
      <c r="AD43" s="965">
        <f>Summary!AD77</f>
        <v>48.829297594879876</v>
      </c>
      <c r="AE43" s="965">
        <f>Summary!AE77</f>
        <v>52.653238793841226</v>
      </c>
      <c r="AF43" s="965">
        <f>Summary!AF77</f>
        <v>56.740717611845625</v>
      </c>
      <c r="AG43" s="965">
        <f>Summary!AG77</f>
        <v>61.055722371768596</v>
      </c>
      <c r="AH43" s="965">
        <f>Summary!AH77</f>
        <v>62.167780613443767</v>
      </c>
    </row>
    <row r="44" spans="1:384" ht="15">
      <c r="A44" s="904" t="str">
        <f>Summary!D78</f>
        <v>Sport Betting</v>
      </c>
      <c r="B44" s="846"/>
      <c r="C44" s="954"/>
      <c r="D44" s="954"/>
      <c r="E44" s="954"/>
      <c r="F44" s="954"/>
      <c r="G44" s="965">
        <f>Summary!G78</f>
        <v>0</v>
      </c>
      <c r="H44" s="965">
        <f>Summary!H78</f>
        <v>0</v>
      </c>
      <c r="I44" s="965">
        <f>Summary!I78</f>
        <v>0</v>
      </c>
      <c r="J44" s="965">
        <f>Summary!J78</f>
        <v>0</v>
      </c>
      <c r="K44" s="965">
        <f>Summary!K78</f>
        <v>72.78574382303735</v>
      </c>
      <c r="L44" s="965">
        <f>Summary!L78</f>
        <v>149.49049243070931</v>
      </c>
      <c r="M44" s="965">
        <f>Summary!M78</f>
        <v>170.73738170965581</v>
      </c>
      <c r="N44" s="965">
        <f>Summary!N78</f>
        <v>212.839</v>
      </c>
      <c r="O44" s="965">
        <f>Summary!O78</f>
        <v>208.83470799999998</v>
      </c>
      <c r="P44" s="965">
        <f>Summary!P78</f>
        <v>168</v>
      </c>
      <c r="Q44" s="965">
        <f>Summary!Q78</f>
        <v>192.2</v>
      </c>
      <c r="R44" s="965">
        <f>Summary!R78</f>
        <v>226</v>
      </c>
      <c r="S44" s="965">
        <f>Summary!S78</f>
        <v>279</v>
      </c>
      <c r="T44" s="965">
        <f>Summary!T78</f>
        <v>366</v>
      </c>
      <c r="U44" s="965">
        <f>Summary!U78</f>
        <v>572</v>
      </c>
      <c r="V44" s="965">
        <f>Summary!V78</f>
        <v>668.82071189999999</v>
      </c>
      <c r="W44" s="965">
        <f>Summary!W78</f>
        <v>764.74998779999999</v>
      </c>
      <c r="X44" s="965">
        <f>Summary!X78</f>
        <v>1082.9419783294272</v>
      </c>
      <c r="Y44" s="965">
        <f>Summary!Y78</f>
        <v>1560.645140963625</v>
      </c>
      <c r="Z44" s="965">
        <f>Summary!Z78</f>
        <v>1477.9654076499999</v>
      </c>
      <c r="AA44" s="965">
        <f>Summary!AA78</f>
        <v>1633.2862274760982</v>
      </c>
      <c r="AB44" s="965">
        <f>Summary!AB78</f>
        <v>1816.8553831794804</v>
      </c>
      <c r="AC44" s="965">
        <f>Summary!AC78</f>
        <v>2045.3548685978978</v>
      </c>
      <c r="AD44" s="965">
        <f>Summary!AD78</f>
        <v>2328.0079783190454</v>
      </c>
      <c r="AE44" s="965">
        <f>Summary!AE78</f>
        <v>2571.0560483961644</v>
      </c>
      <c r="AF44" s="965">
        <f>Summary!AF78</f>
        <v>2834.9361060898777</v>
      </c>
      <c r="AG44" s="965">
        <f>Summary!AG78</f>
        <v>3118.4420302401995</v>
      </c>
      <c r="AH44" s="965">
        <f>Summary!AH78</f>
        <v>3321.6318551155223</v>
      </c>
    </row>
    <row r="45" spans="1:384">
      <c r="A45" s="955" t="s">
        <v>914</v>
      </c>
      <c r="B45" s="956"/>
      <c r="C45" s="957"/>
      <c r="D45" s="957"/>
      <c r="E45" s="957"/>
      <c r="F45" s="957"/>
      <c r="G45" s="957">
        <f t="shared" ref="G45:AG45" si="21">SUM(G43:G44)</f>
        <v>0</v>
      </c>
      <c r="H45" s="957">
        <f t="shared" si="21"/>
        <v>0</v>
      </c>
      <c r="I45" s="957">
        <f t="shared" si="21"/>
        <v>0</v>
      </c>
      <c r="J45" s="957">
        <f t="shared" si="21"/>
        <v>0</v>
      </c>
      <c r="K45" s="957">
        <f t="shared" si="21"/>
        <v>72.78574382303735</v>
      </c>
      <c r="L45" s="957">
        <f t="shared" si="21"/>
        <v>178.13139020354407</v>
      </c>
      <c r="M45" s="957">
        <f t="shared" si="21"/>
        <v>204.05445207847174</v>
      </c>
      <c r="N45" s="957">
        <f t="shared" si="21"/>
        <v>241.66928099999998</v>
      </c>
      <c r="O45" s="957">
        <f t="shared" si="21"/>
        <v>229.41710399999997</v>
      </c>
      <c r="P45" s="957">
        <f t="shared" si="21"/>
        <v>185</v>
      </c>
      <c r="Q45" s="957">
        <f t="shared" si="21"/>
        <v>207.2</v>
      </c>
      <c r="R45" s="957">
        <f t="shared" si="21"/>
        <v>240</v>
      </c>
      <c r="S45" s="957">
        <f t="shared" si="21"/>
        <v>294</v>
      </c>
      <c r="T45" s="957">
        <f t="shared" si="21"/>
        <v>382</v>
      </c>
      <c r="U45" s="957">
        <f t="shared" si="21"/>
        <v>589</v>
      </c>
      <c r="V45" s="957">
        <f t="shared" si="21"/>
        <v>684.82071189999999</v>
      </c>
      <c r="W45" s="957">
        <f t="shared" si="21"/>
        <v>782.74998779999999</v>
      </c>
      <c r="X45" s="957">
        <f t="shared" si="21"/>
        <v>1111.3394152094272</v>
      </c>
      <c r="Y45" s="957">
        <f t="shared" si="21"/>
        <v>1603.5768882136249</v>
      </c>
      <c r="Z45" s="957">
        <f t="shared" si="21"/>
        <v>1515.3413360599998</v>
      </c>
      <c r="AA45" s="957">
        <f t="shared" si="21"/>
        <v>1673.2466528952177</v>
      </c>
      <c r="AB45" s="957">
        <f t="shared" si="21"/>
        <v>1858.4817272822183</v>
      </c>
      <c r="AC45" s="957">
        <f t="shared" si="21"/>
        <v>2090.4469731932941</v>
      </c>
      <c r="AD45" s="957">
        <f t="shared" si="21"/>
        <v>2376.8372759139252</v>
      </c>
      <c r="AE45" s="957">
        <f t="shared" si="21"/>
        <v>2623.7092871900059</v>
      </c>
      <c r="AF45" s="957">
        <f t="shared" si="21"/>
        <v>2891.6768237017232</v>
      </c>
      <c r="AG45" s="957">
        <f t="shared" si="21"/>
        <v>3179.4977526119683</v>
      </c>
      <c r="AH45" s="957">
        <f t="shared" ref="AH45" si="22">SUM(AH43:AH44)</f>
        <v>3383.7996357289662</v>
      </c>
    </row>
    <row r="46" spans="1:384" ht="15">
      <c r="A46" s="904" t="str">
        <f>Summary!D79</f>
        <v>Casino Slots</v>
      </c>
      <c r="B46" s="846"/>
      <c r="C46" s="954"/>
      <c r="D46" s="954"/>
      <c r="E46" s="954"/>
      <c r="F46" s="954"/>
      <c r="G46" s="965">
        <f>Summary!G79</f>
        <v>0</v>
      </c>
      <c r="H46" s="965">
        <f>Summary!H79</f>
        <v>0</v>
      </c>
      <c r="I46" s="965">
        <f>Summary!I79</f>
        <v>0</v>
      </c>
      <c r="J46" s="965">
        <f>Summary!J79</f>
        <v>0</v>
      </c>
      <c r="K46" s="965">
        <f>Summary!K79</f>
        <v>0</v>
      </c>
      <c r="L46" s="965">
        <f>Summary!L79</f>
        <v>0</v>
      </c>
      <c r="M46" s="965">
        <f>Summary!M79</f>
        <v>0</v>
      </c>
      <c r="N46" s="965">
        <f>Summary!N79</f>
        <v>0</v>
      </c>
      <c r="O46" s="965">
        <f>Summary!O79</f>
        <v>0</v>
      </c>
      <c r="P46" s="965">
        <f>Summary!P79</f>
        <v>7.3387534020027871</v>
      </c>
      <c r="Q46" s="965">
        <f>Summary!Q79</f>
        <v>162.09680095036637</v>
      </c>
      <c r="R46" s="965">
        <f>Summary!R79</f>
        <v>170.48568093964332</v>
      </c>
      <c r="S46" s="965">
        <f>Summary!S79</f>
        <v>193.28364579122936</v>
      </c>
      <c r="T46" s="965">
        <f>Summary!T79</f>
        <v>261.85881050552945</v>
      </c>
      <c r="U46" s="965">
        <f>Summary!U79</f>
        <v>394.61004848450801</v>
      </c>
      <c r="V46" s="965">
        <f>Summary!V79</f>
        <v>507.62269910249012</v>
      </c>
      <c r="W46" s="965">
        <f>Summary!W79</f>
        <v>614.34492266462144</v>
      </c>
      <c r="X46" s="965">
        <f>Summary!X79</f>
        <v>903.42409961186172</v>
      </c>
      <c r="Y46" s="965">
        <f>Summary!Y79</f>
        <v>1365.5857466440862</v>
      </c>
      <c r="Z46" s="965">
        <f>Summary!Z79</f>
        <v>1628.4171055284544</v>
      </c>
      <c r="AA46" s="965">
        <f>Summary!AA79</f>
        <v>1932.3023948753041</v>
      </c>
      <c r="AB46" s="965">
        <f>Summary!AB79</f>
        <v>2282.5752272960867</v>
      </c>
      <c r="AC46" s="965">
        <f>Summary!AC79</f>
        <v>2575.5593135465865</v>
      </c>
      <c r="AD46" s="965">
        <f>Summary!AD79</f>
        <v>2863.6814504961271</v>
      </c>
      <c r="AE46" s="965">
        <f>Summary!AE79</f>
        <v>3152.3747550968587</v>
      </c>
      <c r="AF46" s="965">
        <f>Summary!AF79</f>
        <v>3449.055747256527</v>
      </c>
      <c r="AG46" s="965">
        <f>Summary!AG79</f>
        <v>3750.1646434389072</v>
      </c>
      <c r="AH46" s="965">
        <f>Summary!AH79</f>
        <v>4054.0002864876778</v>
      </c>
    </row>
    <row r="47" spans="1:384" ht="15">
      <c r="A47" s="904" t="str">
        <f>Summary!D80</f>
        <v>Casino RNG</v>
      </c>
      <c r="B47" s="846"/>
      <c r="C47" s="954"/>
      <c r="D47" s="954"/>
      <c r="E47" s="954"/>
      <c r="F47" s="954"/>
      <c r="G47" s="965">
        <f>Summary!G80</f>
        <v>0</v>
      </c>
      <c r="H47" s="965">
        <f>Summary!H80</f>
        <v>0</v>
      </c>
      <c r="I47" s="965">
        <f>Summary!I80</f>
        <v>0</v>
      </c>
      <c r="J47" s="965">
        <f>Summary!J80</f>
        <v>0</v>
      </c>
      <c r="K47" s="965">
        <f>Summary!K80</f>
        <v>0</v>
      </c>
      <c r="L47" s="965">
        <f>Summary!L80</f>
        <v>0</v>
      </c>
      <c r="M47" s="965">
        <f>Summary!M80</f>
        <v>0</v>
      </c>
      <c r="N47" s="965">
        <f>Summary!N80</f>
        <v>0</v>
      </c>
      <c r="O47" s="965">
        <f>Summary!O80</f>
        <v>32.125054380721949</v>
      </c>
      <c r="P47" s="965">
        <f>Summary!P80</f>
        <v>82.029645199944355</v>
      </c>
      <c r="Q47" s="965">
        <f>Summary!Q80</f>
        <v>36.855091575136527</v>
      </c>
      <c r="R47" s="965">
        <f>Summary!R80</f>
        <v>38.16886185339002</v>
      </c>
      <c r="S47" s="965">
        <f>Summary!S80</f>
        <v>39.230117793247842</v>
      </c>
      <c r="T47" s="965">
        <f>Summary!T80</f>
        <v>47.330201267774491</v>
      </c>
      <c r="U47" s="965">
        <f>Summary!U80</f>
        <v>58.022988198721322</v>
      </c>
      <c r="V47" s="965">
        <f>Summary!V80</f>
        <v>57.75960257612293</v>
      </c>
      <c r="W47" s="965">
        <f>Summary!W80</f>
        <v>70.560522991601403</v>
      </c>
      <c r="X47" s="965">
        <f>Summary!X80</f>
        <v>75.712289377700543</v>
      </c>
      <c r="Y47" s="965">
        <f>Summary!Y80</f>
        <v>80.672789746119463</v>
      </c>
      <c r="Z47" s="965">
        <f>Summary!Z80</f>
        <v>70.191441227569925</v>
      </c>
      <c r="AA47" s="965">
        <f>Summary!AA80</f>
        <v>79.287574026025908</v>
      </c>
      <c r="AB47" s="965">
        <f>Summary!AB80</f>
        <v>87.897552300337296</v>
      </c>
      <c r="AC47" s="965">
        <f>Summary!AC80</f>
        <v>92.67746561243375</v>
      </c>
      <c r="AD47" s="965">
        <f>Summary!AD80</f>
        <v>95.815350588509475</v>
      </c>
      <c r="AE47" s="965">
        <f>Summary!AE80</f>
        <v>97.516100079908298</v>
      </c>
      <c r="AF47" s="965">
        <f>Summary!AF80</f>
        <v>102.33988435083873</v>
      </c>
      <c r="AG47" s="965">
        <f>Summary!AG80</f>
        <v>106.54045334794434</v>
      </c>
      <c r="AH47" s="965">
        <f>Summary!AH80</f>
        <v>110.05485714069472</v>
      </c>
    </row>
    <row r="48" spans="1:384" ht="15">
      <c r="A48" s="904" t="str">
        <f>Summary!D81</f>
        <v>Casino Live Casino</v>
      </c>
      <c r="B48" s="846"/>
      <c r="C48" s="954"/>
      <c r="D48" s="954"/>
      <c r="E48" s="954"/>
      <c r="F48" s="954"/>
      <c r="G48" s="965">
        <f>Summary!G81</f>
        <v>0</v>
      </c>
      <c r="H48" s="965">
        <f>Summary!H81</f>
        <v>0</v>
      </c>
      <c r="I48" s="965">
        <f>Summary!I81</f>
        <v>0</v>
      </c>
      <c r="J48" s="965">
        <f>Summary!J81</f>
        <v>0</v>
      </c>
      <c r="K48" s="965">
        <f>Summary!K81</f>
        <v>0</v>
      </c>
      <c r="L48" s="965">
        <f>Summary!L81</f>
        <v>0</v>
      </c>
      <c r="M48" s="965">
        <f>Summary!M81</f>
        <v>0</v>
      </c>
      <c r="N48" s="965">
        <f>Summary!N81</f>
        <v>0</v>
      </c>
      <c r="O48" s="965">
        <f>Summary!O81</f>
        <v>17.033960619278055</v>
      </c>
      <c r="P48" s="965">
        <f>Summary!P81</f>
        <v>57.406669438108594</v>
      </c>
      <c r="Q48" s="965">
        <f>Summary!Q81</f>
        <v>45.299760178731674</v>
      </c>
      <c r="R48" s="965">
        <f>Summary!R81</f>
        <v>46.802647712442194</v>
      </c>
      <c r="S48" s="965">
        <f>Summary!S81</f>
        <v>55.486236415522789</v>
      </c>
      <c r="T48" s="965">
        <f>Summary!T81</f>
        <v>78.810988226696068</v>
      </c>
      <c r="U48" s="965">
        <f>Summary!U81</f>
        <v>116.36696331677071</v>
      </c>
      <c r="V48" s="965">
        <f>Summary!V81</f>
        <v>144.65556123138686</v>
      </c>
      <c r="W48" s="965">
        <f>Summary!W81</f>
        <v>146.26426562500973</v>
      </c>
      <c r="X48" s="965">
        <f>Summary!X81</f>
        <v>238.73566757043736</v>
      </c>
      <c r="Y48" s="965">
        <f>Summary!Y81</f>
        <v>327.34761096979423</v>
      </c>
      <c r="Z48" s="965">
        <f>Summary!Z81</f>
        <v>314.55495363397557</v>
      </c>
      <c r="AA48" s="965">
        <f>Summary!AA81</f>
        <v>356.71003109867019</v>
      </c>
      <c r="AB48" s="965">
        <f>Summary!AB81</f>
        <v>427.13432638357602</v>
      </c>
      <c r="AC48" s="965">
        <f>Summary!AC81</f>
        <v>488.46226466015844</v>
      </c>
      <c r="AD48" s="965">
        <f>Summary!AD81</f>
        <v>550.33519891536343</v>
      </c>
      <c r="AE48" s="965">
        <f>Summary!AE81</f>
        <v>613.77414482323275</v>
      </c>
      <c r="AF48" s="965">
        <f>Summary!AF81</f>
        <v>675.8923683926339</v>
      </c>
      <c r="AG48" s="965">
        <f>Summary!AG81</f>
        <v>739.63290321314821</v>
      </c>
      <c r="AH48" s="965">
        <f>Summary!AH81</f>
        <v>804.67485637162679</v>
      </c>
    </row>
    <row r="49" spans="1:34" ht="15">
      <c r="A49" s="904" t="str">
        <f>Summary!D82</f>
        <v>Poker</v>
      </c>
      <c r="B49" s="846"/>
      <c r="C49" s="954"/>
      <c r="D49" s="954"/>
      <c r="E49" s="954"/>
      <c r="F49" s="954"/>
      <c r="G49" s="965">
        <f>Summary!G82</f>
        <v>0</v>
      </c>
      <c r="H49" s="965">
        <f>Summary!H82</f>
        <v>0</v>
      </c>
      <c r="I49" s="965">
        <f>Summary!I82</f>
        <v>0</v>
      </c>
      <c r="J49" s="965">
        <f>Summary!J82</f>
        <v>0</v>
      </c>
      <c r="K49" s="965">
        <f>Summary!K82</f>
        <v>0</v>
      </c>
      <c r="L49" s="965">
        <f>Summary!L82</f>
        <v>29.639246485482197</v>
      </c>
      <c r="M49" s="965">
        <f>Summary!M82</f>
        <v>287.01451917277438</v>
      </c>
      <c r="N49" s="965">
        <f>Summary!N82</f>
        <v>376.48407700000001</v>
      </c>
      <c r="O49" s="965">
        <f>Summary!O82</f>
        <v>384.37030100000004</v>
      </c>
      <c r="P49" s="965">
        <f>Summary!P82</f>
        <v>356.22493195994423</v>
      </c>
      <c r="Q49" s="965">
        <f>Summary!Q82</f>
        <v>229.74834729576543</v>
      </c>
      <c r="R49" s="965">
        <f>Summary!R82</f>
        <v>188.54280949452448</v>
      </c>
      <c r="S49" s="965">
        <f>Summary!S82</f>
        <v>197</v>
      </c>
      <c r="T49" s="965">
        <f>Summary!T82</f>
        <v>193</v>
      </c>
      <c r="U49" s="965">
        <f>Summary!U82</f>
        <v>153</v>
      </c>
      <c r="V49" s="965">
        <f>Summary!V82</f>
        <v>146.99616877</v>
      </c>
      <c r="W49" s="965">
        <f>Summary!W82</f>
        <v>137.76038955649599</v>
      </c>
      <c r="X49" s="965">
        <f>Summary!X82</f>
        <v>206.935153318495</v>
      </c>
      <c r="Y49" s="965">
        <f>Summary!Y82</f>
        <v>177.18353522000001</v>
      </c>
      <c r="Z49" s="965">
        <f>Summary!Z82</f>
        <v>169.78227893999997</v>
      </c>
      <c r="AA49" s="965">
        <f>Summary!AA82</f>
        <v>177.49882953584907</v>
      </c>
      <c r="AB49" s="965">
        <f>Summary!AB82</f>
        <v>174.91625307999999</v>
      </c>
      <c r="AC49" s="965">
        <f>Summary!AC82</f>
        <v>176.29163503849381</v>
      </c>
      <c r="AD49" s="965">
        <f>Summary!AD82</f>
        <v>175.95099999999999</v>
      </c>
      <c r="AE49" s="965">
        <f>Summary!AE82</f>
        <v>176.72</v>
      </c>
      <c r="AF49" s="965">
        <f>Summary!AF82</f>
        <v>178.73099999999999</v>
      </c>
      <c r="AG49" s="965">
        <f>Summary!AG82</f>
        <v>181.53</v>
      </c>
      <c r="AH49" s="965">
        <f>Summary!AH82</f>
        <v>184.89699999999999</v>
      </c>
    </row>
    <row r="50" spans="1:34" ht="15">
      <c r="A50" s="904" t="str">
        <f>Summary!D83</f>
        <v>Bingo/Other Gaming</v>
      </c>
      <c r="B50" s="846"/>
      <c r="C50" s="954"/>
      <c r="D50" s="954"/>
      <c r="E50" s="954"/>
      <c r="F50" s="954"/>
      <c r="G50" s="965">
        <f>Summary!G83</f>
        <v>0</v>
      </c>
      <c r="H50" s="965">
        <f>Summary!H83</f>
        <v>0</v>
      </c>
      <c r="I50" s="965">
        <f>Summary!I83</f>
        <v>0</v>
      </c>
      <c r="J50" s="965">
        <f>Summary!J83</f>
        <v>0</v>
      </c>
      <c r="K50" s="965">
        <f>Summary!K83</f>
        <v>0</v>
      </c>
      <c r="L50" s="965">
        <f>Summary!L83</f>
        <v>0</v>
      </c>
      <c r="M50" s="965">
        <f>Summary!M83</f>
        <v>2.3498587646205524E-2</v>
      </c>
      <c r="N50" s="965">
        <f>Summary!N83</f>
        <v>44.206241000000006</v>
      </c>
      <c r="O50" s="965">
        <f>Summary!O83</f>
        <v>54.934426000000002</v>
      </c>
      <c r="P50" s="965">
        <f>Summary!P83</f>
        <v>42.754148657204496</v>
      </c>
      <c r="Q50" s="965">
        <f>Summary!Q83</f>
        <v>32</v>
      </c>
      <c r="R50" s="965">
        <f>Summary!R83</f>
        <v>27</v>
      </c>
      <c r="S50" s="965">
        <f>Summary!S83</f>
        <v>25</v>
      </c>
      <c r="T50" s="965">
        <f>Summary!T83</f>
        <v>27</v>
      </c>
      <c r="U50" s="965">
        <f>Summary!U83</f>
        <v>27.88</v>
      </c>
      <c r="V50" s="965">
        <f>Summary!V83</f>
        <v>31.075223130000001</v>
      </c>
      <c r="W50" s="965">
        <f>Summary!W83</f>
        <v>37.422039323032401</v>
      </c>
      <c r="X50" s="965">
        <f>Summary!X83</f>
        <v>58.173371130786002</v>
      </c>
      <c r="Y50" s="965">
        <f>Summary!Y83</f>
        <v>66.574887765999989</v>
      </c>
      <c r="Z50" s="965">
        <f>Summary!Z83</f>
        <v>61.100463175000009</v>
      </c>
      <c r="AA50" s="965">
        <f>Summary!AA83</f>
        <v>63.79606669999999</v>
      </c>
      <c r="AB50" s="965">
        <f>Summary!AB83</f>
        <v>67.213969830000011</v>
      </c>
      <c r="AC50" s="965">
        <f>Summary!AC83</f>
        <v>66.174749598855428</v>
      </c>
      <c r="AD50" s="965">
        <f>Summary!AD83</f>
        <v>73.015000000000001</v>
      </c>
      <c r="AE50" s="965">
        <f>Summary!AE83</f>
        <v>79.893000000000001</v>
      </c>
      <c r="AF50" s="965">
        <f>Summary!AF83</f>
        <v>87.012</v>
      </c>
      <c r="AG50" s="965">
        <f>Summary!AG83</f>
        <v>94.29</v>
      </c>
      <c r="AH50" s="965">
        <f>Summary!AH83</f>
        <v>101.691</v>
      </c>
    </row>
    <row r="51" spans="1:34">
      <c r="A51" s="955" t="s">
        <v>915</v>
      </c>
      <c r="B51" s="956"/>
      <c r="C51" s="957"/>
      <c r="D51" s="957"/>
      <c r="E51" s="957"/>
      <c r="F51" s="957"/>
      <c r="G51" s="957">
        <f>SUM(G46:G50)</f>
        <v>0</v>
      </c>
      <c r="H51" s="957">
        <f t="shared" ref="H51:AG51" si="23">SUM(H46:H50)</f>
        <v>0</v>
      </c>
      <c r="I51" s="957">
        <f t="shared" si="23"/>
        <v>0</v>
      </c>
      <c r="J51" s="957">
        <f t="shared" si="23"/>
        <v>0</v>
      </c>
      <c r="K51" s="957">
        <f t="shared" si="23"/>
        <v>0</v>
      </c>
      <c r="L51" s="957">
        <f t="shared" si="23"/>
        <v>29.639246485482197</v>
      </c>
      <c r="M51" s="957">
        <f t="shared" si="23"/>
        <v>287.03801776042059</v>
      </c>
      <c r="N51" s="957">
        <f t="shared" si="23"/>
        <v>420.69031800000005</v>
      </c>
      <c r="O51" s="957">
        <f t="shared" si="23"/>
        <v>488.46374200000002</v>
      </c>
      <c r="P51" s="957">
        <f t="shared" si="23"/>
        <v>545.7541486572045</v>
      </c>
      <c r="Q51" s="957">
        <f t="shared" si="23"/>
        <v>506</v>
      </c>
      <c r="R51" s="957">
        <f t="shared" si="23"/>
        <v>471</v>
      </c>
      <c r="S51" s="957">
        <f t="shared" si="23"/>
        <v>510</v>
      </c>
      <c r="T51" s="957">
        <f t="shared" si="23"/>
        <v>608</v>
      </c>
      <c r="U51" s="957">
        <f t="shared" si="23"/>
        <v>749.88</v>
      </c>
      <c r="V51" s="957">
        <f t="shared" si="23"/>
        <v>888.10925481000004</v>
      </c>
      <c r="W51" s="957">
        <f t="shared" si="23"/>
        <v>1006.352140160761</v>
      </c>
      <c r="X51" s="957">
        <f t="shared" si="23"/>
        <v>1482.9805810092807</v>
      </c>
      <c r="Y51" s="957">
        <f t="shared" si="23"/>
        <v>2017.3645703459999</v>
      </c>
      <c r="Z51" s="957">
        <f t="shared" si="23"/>
        <v>2244.046242505</v>
      </c>
      <c r="AA51" s="957">
        <f t="shared" si="23"/>
        <v>2609.5948962358493</v>
      </c>
      <c r="AB51" s="957">
        <f t="shared" si="23"/>
        <v>3039.7373288900003</v>
      </c>
      <c r="AC51" s="957">
        <f t="shared" si="23"/>
        <v>3399.1654284565279</v>
      </c>
      <c r="AD51" s="957">
        <f t="shared" si="23"/>
        <v>3758.7979999999998</v>
      </c>
      <c r="AE51" s="957">
        <f t="shared" si="23"/>
        <v>4120.2779999999993</v>
      </c>
      <c r="AF51" s="957">
        <f t="shared" si="23"/>
        <v>4493.030999999999</v>
      </c>
      <c r="AG51" s="957">
        <f t="shared" si="23"/>
        <v>4872.1579999999994</v>
      </c>
      <c r="AH51" s="957">
        <f t="shared" ref="AH51" si="24">SUM(AH46:AH50)</f>
        <v>5255.3179999999984</v>
      </c>
    </row>
    <row r="52" spans="1:34" ht="15">
      <c r="A52" s="904" t="str">
        <f>Summary!D84</f>
        <v>Draw Lottery</v>
      </c>
      <c r="B52" s="846"/>
      <c r="C52" s="954"/>
      <c r="D52" s="954"/>
      <c r="E52" s="954"/>
      <c r="F52" s="954"/>
      <c r="G52" s="965">
        <f>Summary!G84</f>
        <v>0</v>
      </c>
      <c r="H52" s="965">
        <f>Summary!H84</f>
        <v>0</v>
      </c>
      <c r="I52" s="965">
        <f>Summary!I84</f>
        <v>0</v>
      </c>
      <c r="J52" s="965">
        <f>Summary!J84</f>
        <v>0</v>
      </c>
      <c r="K52" s="965">
        <f>Summary!K84</f>
        <v>0</v>
      </c>
      <c r="L52" s="965">
        <f>Summary!L84</f>
        <v>0</v>
      </c>
      <c r="M52" s="965">
        <f>Summary!M84</f>
        <v>3.8088797412717925</v>
      </c>
      <c r="N52" s="965">
        <f>Summary!N84</f>
        <v>10.569165</v>
      </c>
      <c r="O52" s="965">
        <f>Summary!O84</f>
        <v>7.5885309999999997</v>
      </c>
      <c r="P52" s="965">
        <f>Summary!P84</f>
        <v>7</v>
      </c>
      <c r="Q52" s="965">
        <f>Summary!Q84</f>
        <v>10</v>
      </c>
      <c r="R52" s="965">
        <f>Summary!R84</f>
        <v>13</v>
      </c>
      <c r="S52" s="965">
        <f>Summary!S84</f>
        <v>16</v>
      </c>
      <c r="T52" s="965">
        <f>Summary!T84</f>
        <v>26</v>
      </c>
      <c r="U52" s="965">
        <f>Summary!U84</f>
        <v>32.899999999999977</v>
      </c>
      <c r="V52" s="965">
        <f>Summary!V84</f>
        <v>42.629999999999995</v>
      </c>
      <c r="W52" s="965">
        <f>Summary!W84</f>
        <v>50.9</v>
      </c>
      <c r="X52" s="965">
        <f>Summary!X84</f>
        <v>65.58</v>
      </c>
      <c r="Y52" s="965">
        <f>Summary!Y84</f>
        <v>79.709999999999994</v>
      </c>
      <c r="Z52" s="965">
        <f>Summary!Z84</f>
        <v>99.87</v>
      </c>
      <c r="AA52" s="965">
        <f>Summary!AA84</f>
        <v>83.380185885598195</v>
      </c>
      <c r="AB52" s="965">
        <f>Summary!AB84</f>
        <v>105.75206724108511</v>
      </c>
      <c r="AC52" s="965">
        <f>Summary!AC84</f>
        <v>113.01608998210131</v>
      </c>
      <c r="AD52" s="965">
        <f>Summary!AD84</f>
        <v>121.00261489509805</v>
      </c>
      <c r="AE52" s="965">
        <f>Summary!AE84</f>
        <v>130.57622163399262</v>
      </c>
      <c r="AF52" s="965">
        <f>Summary!AF84</f>
        <v>140.79364527515622</v>
      </c>
      <c r="AG52" s="965">
        <f>Summary!AG84</f>
        <v>152.1654753876241</v>
      </c>
      <c r="AH52" s="965">
        <f>Summary!AH84</f>
        <v>164.94884294669504</v>
      </c>
    </row>
    <row r="53" spans="1:34" ht="15">
      <c r="A53" s="904" t="str">
        <f>Summary!D85</f>
        <v>Instant Lottery</v>
      </c>
      <c r="B53" s="846"/>
      <c r="C53" s="954"/>
      <c r="D53" s="954"/>
      <c r="E53" s="954"/>
      <c r="F53" s="954"/>
      <c r="G53" s="965">
        <f>Summary!G85</f>
        <v>0</v>
      </c>
      <c r="H53" s="965">
        <f>Summary!H85</f>
        <v>0</v>
      </c>
      <c r="I53" s="965">
        <f>Summary!I85</f>
        <v>0</v>
      </c>
      <c r="J53" s="965">
        <f>Summary!J85</f>
        <v>0</v>
      </c>
      <c r="K53" s="965">
        <f>Summary!K85</f>
        <v>0</v>
      </c>
      <c r="L53" s="965">
        <f>Summary!L85</f>
        <v>0</v>
      </c>
      <c r="M53" s="965">
        <f>Summary!M85</f>
        <v>0</v>
      </c>
      <c r="N53" s="965">
        <f>Summary!N85</f>
        <v>0</v>
      </c>
      <c r="O53" s="965">
        <f>Summary!O85</f>
        <v>0</v>
      </c>
      <c r="P53" s="965">
        <f>Summary!P85</f>
        <v>6</v>
      </c>
      <c r="Q53" s="965">
        <f>Summary!Q85</f>
        <v>3</v>
      </c>
      <c r="R53" s="965">
        <f>Summary!R85</f>
        <v>4</v>
      </c>
      <c r="S53" s="965">
        <f>Summary!S85</f>
        <v>2</v>
      </c>
      <c r="T53" s="965">
        <f>Summary!T85</f>
        <v>4</v>
      </c>
      <c r="U53" s="965">
        <f>Summary!U85</f>
        <v>5</v>
      </c>
      <c r="V53" s="965">
        <f>Summary!V85</f>
        <v>6.16</v>
      </c>
      <c r="W53" s="965">
        <f>Summary!W85</f>
        <v>7.21</v>
      </c>
      <c r="X53" s="965">
        <f>Summary!X85</f>
        <v>11.36</v>
      </c>
      <c r="Y53" s="965">
        <f>Summary!Y85</f>
        <v>16.77</v>
      </c>
      <c r="Z53" s="965">
        <f>Summary!Z85</f>
        <v>20.91</v>
      </c>
      <c r="AA53" s="965">
        <f>Summary!AA85</f>
        <v>26.931590247019926</v>
      </c>
      <c r="AB53" s="965">
        <f>Summary!AB85</f>
        <v>33.427597381399835</v>
      </c>
      <c r="AC53" s="965">
        <f>Summary!AC85</f>
        <v>41.033710098320341</v>
      </c>
      <c r="AD53" s="965">
        <f>Summary!AD85</f>
        <v>50.517266484521919</v>
      </c>
      <c r="AE53" s="965">
        <f>Summary!AE85</f>
        <v>62.011525801300301</v>
      </c>
      <c r="AF53" s="965">
        <f>Summary!AF85</f>
        <v>76.149588531159964</v>
      </c>
      <c r="AG53" s="965">
        <f>Summary!AG85</f>
        <v>93.465100055038704</v>
      </c>
      <c r="AH53" s="965">
        <f>Summary!AH85</f>
        <v>114.64163655905257</v>
      </c>
    </row>
    <row r="54" spans="1:34" ht="15">
      <c r="A54" s="904" t="str">
        <f>Summary!D86</f>
        <v>Other Lottery</v>
      </c>
      <c r="B54" s="846"/>
      <c r="C54" s="954"/>
      <c r="D54" s="954"/>
      <c r="E54" s="954"/>
      <c r="F54" s="954"/>
      <c r="G54" s="965">
        <f>Summary!G86</f>
        <v>0</v>
      </c>
      <c r="H54" s="965">
        <f>Summary!H86</f>
        <v>0</v>
      </c>
      <c r="I54" s="965">
        <f>Summary!I86</f>
        <v>0</v>
      </c>
      <c r="J54" s="965">
        <f>Summary!J86</f>
        <v>0</v>
      </c>
      <c r="K54" s="965">
        <f>Summary!K86</f>
        <v>0</v>
      </c>
      <c r="L54" s="965">
        <f>Summary!L86</f>
        <v>0</v>
      </c>
      <c r="M54" s="965">
        <f>Summary!M86</f>
        <v>0</v>
      </c>
      <c r="N54" s="965">
        <f>Summary!N86</f>
        <v>0</v>
      </c>
      <c r="O54" s="965">
        <f>Summary!O86</f>
        <v>0</v>
      </c>
      <c r="P54" s="965">
        <f>Summary!P86</f>
        <v>0</v>
      </c>
      <c r="Q54" s="965">
        <f>Summary!Q86</f>
        <v>0</v>
      </c>
      <c r="R54" s="965">
        <f>Summary!R86</f>
        <v>0</v>
      </c>
      <c r="S54" s="965">
        <f>Summary!S86</f>
        <v>0</v>
      </c>
      <c r="T54" s="965">
        <f>Summary!T86</f>
        <v>0</v>
      </c>
      <c r="U54" s="965">
        <f>Summary!U86</f>
        <v>0</v>
      </c>
      <c r="V54" s="965">
        <f>Summary!V86</f>
        <v>0</v>
      </c>
      <c r="W54" s="965">
        <f>Summary!W86</f>
        <v>0</v>
      </c>
      <c r="X54" s="965">
        <f>Summary!X86</f>
        <v>0</v>
      </c>
      <c r="Y54" s="965">
        <f>Summary!Y86</f>
        <v>0</v>
      </c>
      <c r="Z54" s="965">
        <f>Summary!Z86</f>
        <v>0</v>
      </c>
      <c r="AA54" s="965">
        <f>Summary!AA86</f>
        <v>0</v>
      </c>
      <c r="AB54" s="965">
        <f>Summary!AB86</f>
        <v>0</v>
      </c>
      <c r="AC54" s="965">
        <f>Summary!AC86</f>
        <v>0</v>
      </c>
      <c r="AD54" s="965">
        <f>Summary!AD86</f>
        <v>0</v>
      </c>
      <c r="AE54" s="965">
        <f>Summary!AE86</f>
        <v>0</v>
      </c>
      <c r="AF54" s="965">
        <f>Summary!AF86</f>
        <v>0</v>
      </c>
      <c r="AG54" s="965">
        <f>Summary!AG86</f>
        <v>0</v>
      </c>
      <c r="AH54" s="965">
        <f>Summary!AH86</f>
        <v>0</v>
      </c>
    </row>
    <row r="55" spans="1:34">
      <c r="A55" s="955" t="s">
        <v>761</v>
      </c>
      <c r="B55" s="956"/>
      <c r="C55" s="957"/>
      <c r="D55" s="957"/>
      <c r="E55" s="957"/>
      <c r="F55" s="957"/>
      <c r="G55" s="957">
        <f>SUM(G52:G54)</f>
        <v>0</v>
      </c>
      <c r="H55" s="957">
        <f t="shared" ref="H55:AG55" si="25">SUM(H52:H54)</f>
        <v>0</v>
      </c>
      <c r="I55" s="957">
        <f t="shared" si="25"/>
        <v>0</v>
      </c>
      <c r="J55" s="957">
        <f t="shared" si="25"/>
        <v>0</v>
      </c>
      <c r="K55" s="957">
        <f t="shared" si="25"/>
        <v>0</v>
      </c>
      <c r="L55" s="957">
        <f t="shared" si="25"/>
        <v>0</v>
      </c>
      <c r="M55" s="957">
        <f t="shared" si="25"/>
        <v>3.8088797412717925</v>
      </c>
      <c r="N55" s="957">
        <f t="shared" si="25"/>
        <v>10.569165</v>
      </c>
      <c r="O55" s="957">
        <f t="shared" si="25"/>
        <v>7.5885309999999997</v>
      </c>
      <c r="P55" s="957">
        <f t="shared" si="25"/>
        <v>13</v>
      </c>
      <c r="Q55" s="957">
        <f t="shared" si="25"/>
        <v>13</v>
      </c>
      <c r="R55" s="957">
        <f t="shared" si="25"/>
        <v>17</v>
      </c>
      <c r="S55" s="957">
        <f t="shared" si="25"/>
        <v>18</v>
      </c>
      <c r="T55" s="957">
        <f t="shared" si="25"/>
        <v>30</v>
      </c>
      <c r="U55" s="957">
        <f t="shared" si="25"/>
        <v>37.899999999999977</v>
      </c>
      <c r="V55" s="957">
        <f t="shared" si="25"/>
        <v>48.789999999999992</v>
      </c>
      <c r="W55" s="957">
        <f t="shared" si="25"/>
        <v>58.11</v>
      </c>
      <c r="X55" s="957">
        <f t="shared" si="25"/>
        <v>76.94</v>
      </c>
      <c r="Y55" s="957">
        <f t="shared" si="25"/>
        <v>96.47999999999999</v>
      </c>
      <c r="Z55" s="957">
        <f t="shared" si="25"/>
        <v>120.78</v>
      </c>
      <c r="AA55" s="957">
        <f t="shared" si="25"/>
        <v>110.31177613261812</v>
      </c>
      <c r="AB55" s="957">
        <f t="shared" si="25"/>
        <v>139.17966462248495</v>
      </c>
      <c r="AC55" s="957">
        <f t="shared" si="25"/>
        <v>154.04980008042165</v>
      </c>
      <c r="AD55" s="957">
        <f t="shared" si="25"/>
        <v>171.51988137961996</v>
      </c>
      <c r="AE55" s="957">
        <f t="shared" si="25"/>
        <v>192.58774743529293</v>
      </c>
      <c r="AF55" s="957">
        <f t="shared" si="25"/>
        <v>216.94323380631619</v>
      </c>
      <c r="AG55" s="957">
        <f t="shared" si="25"/>
        <v>245.6305754426628</v>
      </c>
      <c r="AH55" s="957">
        <f t="shared" ref="AH55" si="26">SUM(AH52:AH54)</f>
        <v>279.59047950574762</v>
      </c>
    </row>
    <row r="56" spans="1:34">
      <c r="A56" s="955"/>
      <c r="B56" s="956"/>
      <c r="C56" s="957"/>
      <c r="D56" s="957"/>
      <c r="E56" s="957"/>
      <c r="F56" s="957"/>
      <c r="G56" s="957"/>
      <c r="H56" s="957"/>
      <c r="I56" s="957"/>
      <c r="J56" s="957"/>
      <c r="K56" s="957"/>
      <c r="L56" s="957"/>
      <c r="M56" s="957"/>
      <c r="N56" s="957"/>
      <c r="O56" s="957"/>
      <c r="P56" s="957"/>
      <c r="Q56" s="957"/>
      <c r="R56" s="957"/>
      <c r="S56" s="957"/>
      <c r="T56" s="957"/>
      <c r="U56" s="957"/>
      <c r="V56" s="957"/>
      <c r="W56" s="957"/>
      <c r="X56" s="957"/>
      <c r="Y56" s="957"/>
      <c r="Z56" s="957"/>
      <c r="AA56" s="957"/>
      <c r="AB56" s="957"/>
      <c r="AC56" s="957"/>
      <c r="AD56" s="957"/>
      <c r="AE56" s="957"/>
      <c r="AF56" s="957"/>
      <c r="AG56" s="957"/>
      <c r="AH56" s="957"/>
    </row>
    <row r="57" spans="1:34">
      <c r="A57" s="966" t="s">
        <v>916</v>
      </c>
      <c r="B57" s="967"/>
      <c r="C57" s="967"/>
      <c r="D57" s="967"/>
      <c r="E57" s="967"/>
      <c r="F57" s="967"/>
      <c r="G57" s="967">
        <f>G45+G51+G55</f>
        <v>0</v>
      </c>
      <c r="H57" s="967">
        <f t="shared" ref="H57:AG57" si="27">H45+H51+H55</f>
        <v>0</v>
      </c>
      <c r="I57" s="967">
        <f t="shared" si="27"/>
        <v>0</v>
      </c>
      <c r="J57" s="967">
        <f t="shared" si="27"/>
        <v>0</v>
      </c>
      <c r="K57" s="967">
        <f t="shared" si="27"/>
        <v>72.78574382303735</v>
      </c>
      <c r="L57" s="967">
        <f t="shared" si="27"/>
        <v>207.77063668902628</v>
      </c>
      <c r="M57" s="967">
        <f t="shared" si="27"/>
        <v>494.90134958016409</v>
      </c>
      <c r="N57" s="967">
        <f t="shared" si="27"/>
        <v>672.928764</v>
      </c>
      <c r="O57" s="967">
        <f t="shared" si="27"/>
        <v>725.46937700000001</v>
      </c>
      <c r="P57" s="967">
        <f t="shared" si="27"/>
        <v>743.7541486572045</v>
      </c>
      <c r="Q57" s="967">
        <f t="shared" si="27"/>
        <v>726.2</v>
      </c>
      <c r="R57" s="967">
        <f t="shared" si="27"/>
        <v>728</v>
      </c>
      <c r="S57" s="967">
        <f t="shared" si="27"/>
        <v>822</v>
      </c>
      <c r="T57" s="967">
        <f t="shared" si="27"/>
        <v>1020</v>
      </c>
      <c r="U57" s="967">
        <f t="shared" si="27"/>
        <v>1376.7800000000002</v>
      </c>
      <c r="V57" s="967">
        <f t="shared" si="27"/>
        <v>1621.7199667099999</v>
      </c>
      <c r="W57" s="967">
        <f t="shared" si="27"/>
        <v>1847.2121279607609</v>
      </c>
      <c r="X57" s="967">
        <f t="shared" si="27"/>
        <v>2671.2599962187082</v>
      </c>
      <c r="Y57" s="967">
        <f t="shared" si="27"/>
        <v>3717.4214585596251</v>
      </c>
      <c r="Z57" s="967">
        <f t="shared" si="27"/>
        <v>3880.167578565</v>
      </c>
      <c r="AA57" s="967">
        <f t="shared" si="27"/>
        <v>4393.1533252636855</v>
      </c>
      <c r="AB57" s="967">
        <f t="shared" si="27"/>
        <v>5037.398720794703</v>
      </c>
      <c r="AC57" s="967">
        <f t="shared" si="27"/>
        <v>5643.6622017302434</v>
      </c>
      <c r="AD57" s="967">
        <f t="shared" si="27"/>
        <v>6307.1551572935441</v>
      </c>
      <c r="AE57" s="967">
        <f t="shared" si="27"/>
        <v>6936.575034625298</v>
      </c>
      <c r="AF57" s="967">
        <f t="shared" si="27"/>
        <v>7601.6510575080383</v>
      </c>
      <c r="AG57" s="967">
        <f t="shared" si="27"/>
        <v>8297.2863280546298</v>
      </c>
      <c r="AH57" s="967">
        <f t="shared" ref="AH57" si="28">AH45+AH51+AH55</f>
        <v>8918.7081152347109</v>
      </c>
    </row>
    <row r="58" spans="1:34">
      <c r="A58" s="846"/>
      <c r="B58" s="846"/>
      <c r="C58" s="846"/>
      <c r="D58" s="846"/>
      <c r="E58" s="846"/>
      <c r="F58" s="846"/>
      <c r="G58" s="846"/>
      <c r="H58" s="846"/>
      <c r="I58" s="846"/>
      <c r="J58" s="846"/>
      <c r="K58" s="846"/>
      <c r="L58" s="846"/>
      <c r="M58" s="846"/>
      <c r="N58" s="846"/>
      <c r="O58" s="846"/>
      <c r="P58" s="846"/>
      <c r="Q58" s="846"/>
      <c r="R58" s="846"/>
      <c r="S58" s="846"/>
      <c r="T58" s="846"/>
      <c r="U58" s="846"/>
      <c r="V58" s="846"/>
      <c r="W58" s="846"/>
      <c r="X58" s="846"/>
      <c r="Y58" s="846"/>
      <c r="Z58" s="846"/>
      <c r="AA58" s="846"/>
      <c r="AB58" s="846"/>
      <c r="AC58" s="846"/>
      <c r="AD58" s="846"/>
      <c r="AE58" s="846"/>
      <c r="AF58" s="846"/>
      <c r="AG58" s="846"/>
      <c r="AH58" s="846"/>
    </row>
    <row r="59" spans="1:34">
      <c r="A59" s="846"/>
      <c r="B59" s="846"/>
      <c r="C59" s="846"/>
      <c r="D59" s="846"/>
      <c r="E59" s="846"/>
      <c r="F59" s="846"/>
      <c r="G59" s="846"/>
      <c r="H59" s="846"/>
      <c r="I59" s="846"/>
      <c r="J59" s="846"/>
      <c r="K59" s="846"/>
      <c r="L59" s="846"/>
      <c r="M59" s="846"/>
      <c r="N59" s="846"/>
      <c r="O59" s="846"/>
      <c r="P59" s="846"/>
      <c r="Q59" s="846"/>
      <c r="R59" s="846"/>
      <c r="S59" s="846"/>
      <c r="T59" s="846"/>
      <c r="U59" s="846"/>
      <c r="V59" s="846"/>
      <c r="W59" s="846"/>
      <c r="X59" s="846"/>
      <c r="Y59" s="846"/>
      <c r="Z59" s="846"/>
      <c r="AA59" s="846"/>
      <c r="AB59" s="846"/>
      <c r="AC59" s="846"/>
      <c r="AD59" s="846"/>
      <c r="AE59" s="846"/>
      <c r="AF59" s="846"/>
      <c r="AG59" s="846"/>
      <c r="AH59" s="846"/>
    </row>
    <row r="60" spans="1:34" ht="15" thickBot="1">
      <c r="A60" s="846"/>
      <c r="B60" s="846"/>
      <c r="C60" s="846"/>
      <c r="D60" s="846"/>
      <c r="E60" s="846"/>
      <c r="F60" s="846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</row>
    <row r="61" spans="1:34">
      <c r="A61" s="950" t="str">
        <f>"Offshore Online GGR " &amp; A17</f>
        <v>Offshore Online GGR EUR (m)</v>
      </c>
      <c r="B61" s="951">
        <v>1998</v>
      </c>
      <c r="C61" s="951">
        <v>1999</v>
      </c>
      <c r="D61" s="951">
        <v>2000</v>
      </c>
      <c r="E61" s="951">
        <v>2001</v>
      </c>
      <c r="F61" s="951">
        <v>2002</v>
      </c>
      <c r="G61" s="951">
        <f>Summary!G$16</f>
        <v>2003</v>
      </c>
      <c r="H61" s="951">
        <f>Summary!H$16</f>
        <v>2004</v>
      </c>
      <c r="I61" s="951">
        <f>Summary!I$16</f>
        <v>2005</v>
      </c>
      <c r="J61" s="951">
        <f>Summary!J$16</f>
        <v>2006</v>
      </c>
      <c r="K61" s="951">
        <f>Summary!K$16</f>
        <v>2007</v>
      </c>
      <c r="L61" s="951">
        <f>Summary!L$16</f>
        <v>2008</v>
      </c>
      <c r="M61" s="951">
        <f>Summary!M$16</f>
        <v>2009</v>
      </c>
      <c r="N61" s="951">
        <f>Summary!N$16</f>
        <v>2010</v>
      </c>
      <c r="O61" s="951">
        <f>Summary!O$16</f>
        <v>2011</v>
      </c>
      <c r="P61" s="951">
        <f>Summary!P$16</f>
        <v>2012</v>
      </c>
      <c r="Q61" s="951">
        <f>Summary!Q$16</f>
        <v>2013</v>
      </c>
      <c r="R61" s="951">
        <f>Summary!R$16</f>
        <v>2014</v>
      </c>
      <c r="S61" s="951">
        <f>Summary!S$16</f>
        <v>2015</v>
      </c>
      <c r="T61" s="951">
        <f>Summary!T$16</f>
        <v>2016</v>
      </c>
      <c r="U61" s="951">
        <f>Summary!U$16</f>
        <v>2017</v>
      </c>
      <c r="V61" s="951">
        <f>Summary!V$16</f>
        <v>2018</v>
      </c>
      <c r="W61" s="951">
        <f>Summary!W$16</f>
        <v>2019</v>
      </c>
      <c r="X61" s="951">
        <f>Summary!X$16</f>
        <v>2020</v>
      </c>
      <c r="Y61" s="951">
        <f>Summary!Y$16</f>
        <v>2021</v>
      </c>
      <c r="Z61" s="951">
        <f>Summary!Z$16</f>
        <v>2022</v>
      </c>
      <c r="AA61" s="951">
        <f>Summary!AA$16</f>
        <v>2023</v>
      </c>
      <c r="AB61" s="951">
        <f>Summary!AB$16</f>
        <v>2024</v>
      </c>
      <c r="AC61" s="951">
        <f>Summary!AC$16</f>
        <v>2025</v>
      </c>
      <c r="AD61" s="951">
        <f>Summary!AD$16</f>
        <v>2026</v>
      </c>
      <c r="AE61" s="951">
        <f>Summary!AE$16</f>
        <v>2027</v>
      </c>
      <c r="AF61" s="951">
        <f>Summary!AF$16</f>
        <v>2028</v>
      </c>
      <c r="AG61" s="951">
        <f>Summary!AG$16</f>
        <v>2029</v>
      </c>
      <c r="AH61" s="951">
        <f>Summary!AH$16</f>
        <v>2030</v>
      </c>
    </row>
    <row r="62" spans="1:34">
      <c r="A62" s="846"/>
      <c r="B62" s="846"/>
      <c r="C62" s="846"/>
      <c r="D62" s="846"/>
      <c r="E62" s="846"/>
      <c r="F62" s="846"/>
      <c r="G62" s="846"/>
      <c r="H62" s="846"/>
      <c r="I62" s="846"/>
      <c r="J62" s="846"/>
      <c r="K62" s="846"/>
      <c r="L62" s="846"/>
      <c r="M62" s="846"/>
      <c r="N62" s="846"/>
      <c r="O62" s="846"/>
      <c r="P62" s="846"/>
      <c r="Q62" s="846"/>
      <c r="R62" s="846"/>
      <c r="S62" s="846"/>
      <c r="T62" s="846"/>
      <c r="U62" s="846"/>
      <c r="V62" s="846"/>
      <c r="W62" s="846"/>
      <c r="X62" s="846"/>
      <c r="Y62" s="846"/>
      <c r="Z62" s="846"/>
      <c r="AA62" s="846"/>
      <c r="AB62" s="846"/>
      <c r="AC62" s="846"/>
      <c r="AD62" s="846"/>
      <c r="AE62" s="846"/>
      <c r="AF62" s="846"/>
      <c r="AG62" s="846"/>
      <c r="AH62" s="846"/>
    </row>
    <row r="63" spans="1:34" ht="15">
      <c r="A63" s="904" t="str">
        <f>Summary!D87</f>
        <v>Race Betting</v>
      </c>
      <c r="B63" s="846"/>
      <c r="C63" s="954"/>
      <c r="D63" s="954"/>
      <c r="E63" s="954"/>
      <c r="F63" s="954"/>
      <c r="G63" s="965">
        <f>Summary!G87</f>
        <v>13.77790178571429</v>
      </c>
      <c r="H63" s="965">
        <f>Summary!H87</f>
        <v>15.653682750094831</v>
      </c>
      <c r="I63" s="965">
        <f>Summary!I87</f>
        <v>20.074551597220456</v>
      </c>
      <c r="J63" s="965">
        <f>Summary!J87</f>
        <v>22.211576654363594</v>
      </c>
      <c r="K63" s="965">
        <f>Summary!K87</f>
        <v>20.215146246033552</v>
      </c>
      <c r="L63" s="965">
        <f>Summary!L87</f>
        <v>8.0260007708613852</v>
      </c>
      <c r="M63" s="965">
        <f>Summary!M87</f>
        <v>6.3599743327533806</v>
      </c>
      <c r="N63" s="965">
        <f>Summary!N87</f>
        <v>6.053204670299424</v>
      </c>
      <c r="O63" s="965">
        <f>Summary!O87</f>
        <v>5.5641206597356341</v>
      </c>
      <c r="P63" s="965">
        <f>Summary!P87</f>
        <v>5.0624297238490525</v>
      </c>
      <c r="Q63" s="965">
        <f>Summary!Q87</f>
        <v>5.9169006946702973</v>
      </c>
      <c r="R63" s="965">
        <f>Summary!R87</f>
        <v>5.94592399559175</v>
      </c>
      <c r="S63" s="965">
        <f>Summary!S87</f>
        <v>5.5061980847971439</v>
      </c>
      <c r="T63" s="965">
        <f>Summary!T87</f>
        <v>5.1335228266655379</v>
      </c>
      <c r="U63" s="965">
        <f>Summary!U87</f>
        <v>4.4294115333518205</v>
      </c>
      <c r="V63" s="965">
        <f>Summary!V87</f>
        <v>4.514717615613864</v>
      </c>
      <c r="W63" s="965">
        <f>Summary!W87</f>
        <v>3.899909626840143</v>
      </c>
      <c r="X63" s="965">
        <f>Summary!X87</f>
        <v>2.0900999999999978</v>
      </c>
      <c r="Y63" s="965">
        <f>Summary!Y87</f>
        <v>2.1217999999999972</v>
      </c>
      <c r="Z63" s="965">
        <f>Summary!Z87</f>
        <v>1.970059549817341</v>
      </c>
      <c r="AA63" s="965">
        <f>Summary!AA87</f>
        <v>1.9237749140402949</v>
      </c>
      <c r="AB63" s="965">
        <f>Summary!AB87</f>
        <v>1.8579655845296046</v>
      </c>
      <c r="AC63" s="965">
        <f>Summary!AC87</f>
        <v>1.6704623427774645</v>
      </c>
      <c r="AD63" s="965">
        <f>Summary!AD87</f>
        <v>1.3701204409857828</v>
      </c>
      <c r="AE63" s="965">
        <f>Summary!AE87</f>
        <v>1.2289673104854544</v>
      </c>
      <c r="AF63" s="965">
        <f>Summary!AF87</f>
        <v>1.0768553017881011</v>
      </c>
      <c r="AG63" s="965">
        <f>Summary!AG87</f>
        <v>0.9149917505334294</v>
      </c>
      <c r="AH63" s="965">
        <f>Summary!AH87</f>
        <v>0.93325450778406582</v>
      </c>
    </row>
    <row r="64" spans="1:34" ht="15">
      <c r="A64" s="904" t="str">
        <f>Summary!D88</f>
        <v>Sport Betting</v>
      </c>
      <c r="B64" s="846"/>
      <c r="C64" s="954"/>
      <c r="D64" s="954"/>
      <c r="E64" s="954"/>
      <c r="F64" s="954"/>
      <c r="G64" s="965">
        <f>Summary!G88</f>
        <v>43.630022321428562</v>
      </c>
      <c r="H64" s="965">
        <f>Summary!H88</f>
        <v>52.405807467708755</v>
      </c>
      <c r="I64" s="965">
        <f>Summary!I88</f>
        <v>71.173410208327041</v>
      </c>
      <c r="J64" s="965">
        <f>Summary!J88</f>
        <v>83.557835985463001</v>
      </c>
      <c r="K64" s="965">
        <f>Summary!K88</f>
        <v>80.860584984134164</v>
      </c>
      <c r="L64" s="965">
        <f>Summary!L88</f>
        <v>34.21610854946168</v>
      </c>
      <c r="M64" s="965">
        <f>Summary!M88</f>
        <v>28.973216404765388</v>
      </c>
      <c r="N64" s="965">
        <f>Summary!N88</f>
        <v>31.77932451907197</v>
      </c>
      <c r="O64" s="965">
        <f>Summary!O88</f>
        <v>31.530017071835253</v>
      </c>
      <c r="P64" s="965">
        <f>Summary!P88</f>
        <v>31.097782589358463</v>
      </c>
      <c r="Q64" s="965">
        <f>Summary!Q88</f>
        <v>39.597720033562759</v>
      </c>
      <c r="R64" s="965">
        <f>Summary!R88</f>
        <v>43.603442634339501</v>
      </c>
      <c r="S64" s="965">
        <f>Summary!S88</f>
        <v>44.550148140631443</v>
      </c>
      <c r="T64" s="965">
        <f>Summary!T88</f>
        <v>46.201705439989851</v>
      </c>
      <c r="U64" s="965">
        <f>Summary!U88</f>
        <v>44.786272170557311</v>
      </c>
      <c r="V64" s="965">
        <f>Summary!V88</f>
        <v>51.919252579559469</v>
      </c>
      <c r="W64" s="965">
        <f>Summary!W88</f>
        <v>51.813085042304799</v>
      </c>
      <c r="X64" s="965">
        <f>Summary!X88</f>
        <v>32.744900000000001</v>
      </c>
      <c r="Y64" s="965">
        <f>Summary!Y88</f>
        <v>40.3142</v>
      </c>
      <c r="Z64" s="965">
        <f>Summary!Z88</f>
        <v>37.431131446529442</v>
      </c>
      <c r="AA64" s="965">
        <f>Summary!AA88</f>
        <v>38.154869128465812</v>
      </c>
      <c r="AB64" s="965">
        <f>Summary!AB88</f>
        <v>38.532590600896548</v>
      </c>
      <c r="AC64" s="965">
        <f>Summary!AC88</f>
        <v>36.294590902164877</v>
      </c>
      <c r="AD64" s="965">
        <f>Summary!AD88</f>
        <v>31.251794820580447</v>
      </c>
      <c r="AE64" s="965">
        <f>Summary!AE88</f>
        <v>29.495215451650875</v>
      </c>
      <c r="AF64" s="965">
        <f>Summary!AF88</f>
        <v>27.261442113688219</v>
      </c>
      <c r="AG64" s="965">
        <f>Summary!AG88</f>
        <v>24.501445764284032</v>
      </c>
      <c r="AH64" s="965">
        <f>Summary!AH88</f>
        <v>26.515407485864902</v>
      </c>
    </row>
    <row r="65" spans="1:34">
      <c r="A65" s="955" t="s">
        <v>917</v>
      </c>
      <c r="B65" s="956"/>
      <c r="C65" s="957"/>
      <c r="D65" s="957"/>
      <c r="E65" s="957"/>
      <c r="F65" s="957"/>
      <c r="G65" s="957">
        <f t="shared" ref="G65:AG65" si="29">SUM(G63:G64)</f>
        <v>57.407924107142854</v>
      </c>
      <c r="H65" s="957">
        <f t="shared" si="29"/>
        <v>68.059490217803585</v>
      </c>
      <c r="I65" s="957">
        <f t="shared" si="29"/>
        <v>91.247961805547504</v>
      </c>
      <c r="J65" s="957">
        <f t="shared" si="29"/>
        <v>105.7694126398266</v>
      </c>
      <c r="K65" s="957">
        <f t="shared" si="29"/>
        <v>101.07573123016772</v>
      </c>
      <c r="L65" s="957">
        <f t="shared" si="29"/>
        <v>42.242109320323067</v>
      </c>
      <c r="M65" s="957">
        <f t="shared" si="29"/>
        <v>35.33319073751877</v>
      </c>
      <c r="N65" s="957">
        <f t="shared" si="29"/>
        <v>37.832529189371392</v>
      </c>
      <c r="O65" s="957">
        <f t="shared" si="29"/>
        <v>37.094137731570889</v>
      </c>
      <c r="P65" s="957">
        <f t="shared" si="29"/>
        <v>36.160212313207516</v>
      </c>
      <c r="Q65" s="957">
        <f t="shared" si="29"/>
        <v>45.514620728233055</v>
      </c>
      <c r="R65" s="957">
        <f t="shared" si="29"/>
        <v>49.549366629931249</v>
      </c>
      <c r="S65" s="957">
        <f t="shared" si="29"/>
        <v>50.056346225428584</v>
      </c>
      <c r="T65" s="957">
        <f t="shared" si="29"/>
        <v>51.335228266655392</v>
      </c>
      <c r="U65" s="957">
        <f t="shared" si="29"/>
        <v>49.215683703909129</v>
      </c>
      <c r="V65" s="957">
        <f t="shared" si="29"/>
        <v>56.43397019517333</v>
      </c>
      <c r="W65" s="957">
        <f t="shared" si="29"/>
        <v>55.71299466914494</v>
      </c>
      <c r="X65" s="957">
        <f t="shared" si="29"/>
        <v>34.835000000000001</v>
      </c>
      <c r="Y65" s="957">
        <f t="shared" si="29"/>
        <v>42.436</v>
      </c>
      <c r="Z65" s="957">
        <f t="shared" si="29"/>
        <v>39.401190996346784</v>
      </c>
      <c r="AA65" s="957">
        <f t="shared" si="29"/>
        <v>40.078644042506106</v>
      </c>
      <c r="AB65" s="957">
        <f t="shared" si="29"/>
        <v>40.390556185426149</v>
      </c>
      <c r="AC65" s="957">
        <f t="shared" si="29"/>
        <v>37.965053244942339</v>
      </c>
      <c r="AD65" s="957">
        <f t="shared" si="29"/>
        <v>32.62191526156623</v>
      </c>
      <c r="AE65" s="957">
        <f t="shared" si="29"/>
        <v>30.72418276213633</v>
      </c>
      <c r="AF65" s="957">
        <f t="shared" si="29"/>
        <v>28.338297415476319</v>
      </c>
      <c r="AG65" s="957">
        <f t="shared" si="29"/>
        <v>25.41643751481746</v>
      </c>
      <c r="AH65" s="957">
        <f t="shared" ref="AH65" si="30">SUM(AH63:AH64)</f>
        <v>27.448661993648969</v>
      </c>
    </row>
    <row r="66" spans="1:34" ht="15">
      <c r="A66" s="904" t="str">
        <f>Summary!D89</f>
        <v>Casino Slots</v>
      </c>
      <c r="B66" s="846"/>
      <c r="C66" s="954"/>
      <c r="D66" s="954"/>
      <c r="E66" s="954"/>
      <c r="F66" s="954"/>
      <c r="G66" s="965">
        <f>Summary!G89</f>
        <v>10.531940162807361</v>
      </c>
      <c r="H66" s="965">
        <f>Summary!H89</f>
        <v>17.467065965478305</v>
      </c>
      <c r="I66" s="965">
        <f>Summary!I89</f>
        <v>26.017671717684298</v>
      </c>
      <c r="J66" s="965">
        <f>Summary!J89</f>
        <v>36.354491786312906</v>
      </c>
      <c r="K66" s="965">
        <f>Summary!K89</f>
        <v>89.755995375589322</v>
      </c>
      <c r="L66" s="965">
        <f>Summary!L89</f>
        <v>126.63434114578445</v>
      </c>
      <c r="M66" s="965">
        <f>Summary!M89</f>
        <v>161.42561785134936</v>
      </c>
      <c r="N66" s="965">
        <f>Summary!N89</f>
        <v>182.11937335254743</v>
      </c>
      <c r="O66" s="965">
        <f>Summary!O89</f>
        <v>197.021089506636</v>
      </c>
      <c r="P66" s="965">
        <f>Summary!P89</f>
        <v>173.69255098560305</v>
      </c>
      <c r="Q66" s="965">
        <f>Summary!Q89</f>
        <v>158.6878771952268</v>
      </c>
      <c r="R66" s="965">
        <f>Summary!R89</f>
        <v>139.80661781427602</v>
      </c>
      <c r="S66" s="965">
        <f>Summary!S89</f>
        <v>112.19647378309615</v>
      </c>
      <c r="T66" s="965">
        <f>Summary!T89</f>
        <v>96.288916961230001</v>
      </c>
      <c r="U66" s="965">
        <f>Summary!U89</f>
        <v>87.419493957959801</v>
      </c>
      <c r="V66" s="965">
        <f>Summary!V89</f>
        <v>83.69065404168731</v>
      </c>
      <c r="W66" s="965">
        <f>Summary!W89</f>
        <v>81.516064835960591</v>
      </c>
      <c r="X66" s="965">
        <f>Summary!X89</f>
        <v>79.07969332418196</v>
      </c>
      <c r="Y66" s="965">
        <f>Summary!Y89</f>
        <v>81.306603510094348</v>
      </c>
      <c r="Z66" s="965">
        <f>Summary!Z89</f>
        <v>83.725304359728398</v>
      </c>
      <c r="AA66" s="965">
        <f>Summary!AA89</f>
        <v>82.980240887769952</v>
      </c>
      <c r="AB66" s="965">
        <f>Summary!AB89</f>
        <v>67.05647161116103</v>
      </c>
      <c r="AC66" s="965">
        <f>Summary!AC89</f>
        <v>57.547569190144813</v>
      </c>
      <c r="AD66" s="965">
        <f>Summary!AD89</f>
        <v>50.861905229341076</v>
      </c>
      <c r="AE66" s="965">
        <f>Summary!AE89</f>
        <v>39.380669321063436</v>
      </c>
      <c r="AF66" s="965">
        <f>Summary!AF89</f>
        <v>27.646135200724544</v>
      </c>
      <c r="AG66" s="965">
        <f>Summary!AG89</f>
        <v>14.51554583214274</v>
      </c>
      <c r="AH66" s="965">
        <f>Summary!AH89</f>
        <v>1.6489057339797533</v>
      </c>
    </row>
    <row r="67" spans="1:34" ht="15">
      <c r="A67" s="904" t="str">
        <f>Summary!D90</f>
        <v>Casino RNG</v>
      </c>
      <c r="B67" s="846"/>
      <c r="C67" s="954"/>
      <c r="D67" s="954"/>
      <c r="E67" s="954"/>
      <c r="F67" s="954"/>
      <c r="G67" s="965">
        <f>Summary!G90</f>
        <v>4.069016095127445</v>
      </c>
      <c r="H67" s="965">
        <f>Summary!H90</f>
        <v>6.5398860392312095</v>
      </c>
      <c r="I67" s="965">
        <f>Summary!I90</f>
        <v>9.4183985608297256</v>
      </c>
      <c r="J67" s="965">
        <f>Summary!J90</f>
        <v>12.690130818267551</v>
      </c>
      <c r="K67" s="965">
        <f>Summary!K90</f>
        <v>30.118575624874538</v>
      </c>
      <c r="L67" s="965">
        <f>Summary!L90</f>
        <v>40.703761215128772</v>
      </c>
      <c r="M67" s="965">
        <f>Summary!M90</f>
        <v>49.4942434655594</v>
      </c>
      <c r="N67" s="965">
        <f>Summary!N90</f>
        <v>53.002971181162216</v>
      </c>
      <c r="O67" s="965">
        <f>Summary!O90</f>
        <v>54.109485020724534</v>
      </c>
      <c r="P67" s="965">
        <f>Summary!P90</f>
        <v>44.698330281616954</v>
      </c>
      <c r="Q67" s="965">
        <f>Summary!Q90</f>
        <v>37.936190299472749</v>
      </c>
      <c r="R67" s="965">
        <f>Summary!R90</f>
        <v>30.716570242720916</v>
      </c>
      <c r="S67" s="965">
        <f>Summary!S90</f>
        <v>22.347420533424355</v>
      </c>
      <c r="T67" s="965">
        <f>Summary!T90</f>
        <v>17.079342706640297</v>
      </c>
      <c r="U67" s="965">
        <f>Summary!U90</f>
        <v>12.614322498954801</v>
      </c>
      <c r="V67" s="965">
        <f>Summary!V90</f>
        <v>9.3450970262703912</v>
      </c>
      <c r="W67" s="965">
        <f>Summary!W90</f>
        <v>6.5627880518749633</v>
      </c>
      <c r="X67" s="965">
        <f>Summary!X90</f>
        <v>4.6455307411479492</v>
      </c>
      <c r="Y67" s="965">
        <f>Summary!Y90</f>
        <v>3.3668950147053618</v>
      </c>
      <c r="Z67" s="965">
        <f>Summary!Z90</f>
        <v>2.5297109111043428</v>
      </c>
      <c r="AA67" s="965">
        <f>Summary!AA90</f>
        <v>2.3867140180717414</v>
      </c>
      <c r="AB67" s="965">
        <f>Summary!AB90</f>
        <v>1.8100394256325918</v>
      </c>
      <c r="AC67" s="965">
        <f>Summary!AC90</f>
        <v>1.4515273781056153</v>
      </c>
      <c r="AD67" s="965">
        <f>Summary!AD90</f>
        <v>1.1928852426143264</v>
      </c>
      <c r="AE67" s="965">
        <f>Summary!AE90</f>
        <v>0.8539200907442418</v>
      </c>
      <c r="AF67" s="965">
        <f>Summary!AF90</f>
        <v>0.57500919609648216</v>
      </c>
      <c r="AG67" s="965">
        <f>Summary!AG90</f>
        <v>0.2890634833120273</v>
      </c>
      <c r="AH67" s="965">
        <f>Summary!AH90</f>
        <v>3.1377397713220137E-2</v>
      </c>
    </row>
    <row r="68" spans="1:34" ht="15">
      <c r="A68" s="904" t="str">
        <f>Summary!D91</f>
        <v>Casino Live Casino</v>
      </c>
      <c r="B68" s="846"/>
      <c r="C68" s="954"/>
      <c r="D68" s="954"/>
      <c r="E68" s="954"/>
      <c r="F68" s="954"/>
      <c r="G68" s="965">
        <f>Summary!G91</f>
        <v>1.1542448814618136</v>
      </c>
      <c r="H68" s="965">
        <f>Summary!H91</f>
        <v>1.9768492238635744</v>
      </c>
      <c r="I68" s="965">
        <f>Summary!I91</f>
        <v>3.0513064079604812</v>
      </c>
      <c r="J68" s="965">
        <f>Summary!J91</f>
        <v>4.4333721860819022</v>
      </c>
      <c r="K68" s="965">
        <f>Summary!K91</f>
        <v>11.420269578407794</v>
      </c>
      <c r="L68" s="965">
        <f>Summary!L91</f>
        <v>16.867503911424379</v>
      </c>
      <c r="M68" s="965">
        <f>Summary!M91</f>
        <v>22.582330678590893</v>
      </c>
      <c r="N68" s="965">
        <f>Summary!N91</f>
        <v>26.841772827016527</v>
      </c>
      <c r="O68" s="965">
        <f>Summary!O91</f>
        <v>30.685351709328398</v>
      </c>
      <c r="P68" s="965">
        <f>Summary!P91</f>
        <v>28.66839558214312</v>
      </c>
      <c r="Q68" s="965">
        <f>Summary!Q91</f>
        <v>27.83175656793545</v>
      </c>
      <c r="R68" s="965">
        <f>Summary!R91</f>
        <v>26.121406823485703</v>
      </c>
      <c r="S68" s="965">
        <f>Summary!S91</f>
        <v>22.384180820934528</v>
      </c>
      <c r="T68" s="965">
        <f>Summary!T91</f>
        <v>20.557740332129683</v>
      </c>
      <c r="U68" s="965">
        <f>Summary!U91</f>
        <v>18.291173325185067</v>
      </c>
      <c r="V68" s="965">
        <f>Summary!V91</f>
        <v>16.850029425465131</v>
      </c>
      <c r="W68" s="965">
        <f>Summary!W91</f>
        <v>15.446019194318943</v>
      </c>
      <c r="X68" s="965">
        <f>Summary!X91</f>
        <v>16.343654293088683</v>
      </c>
      <c r="Y68" s="965">
        <f>Summary!Y91</f>
        <v>14.452617668563285</v>
      </c>
      <c r="Z68" s="965">
        <f>Summary!Z91</f>
        <v>10.906479650704393</v>
      </c>
      <c r="AA68" s="965">
        <f>Summary!AA91</f>
        <v>10.101605817027965</v>
      </c>
      <c r="AB68" s="965">
        <f>Summary!AB91</f>
        <v>8.2817927447038322</v>
      </c>
      <c r="AC68" s="965">
        <f>Summary!AC91</f>
        <v>7.2092386318539896</v>
      </c>
      <c r="AD68" s="965">
        <f>Summary!AD91</f>
        <v>6.4617049722491933</v>
      </c>
      <c r="AE68" s="965">
        <f>Summary!AE91</f>
        <v>5.0727726802118234</v>
      </c>
      <c r="AF68" s="965">
        <f>Summary!AF91</f>
        <v>3.5856653801319629</v>
      </c>
      <c r="AG68" s="965">
        <f>Summary!AG91</f>
        <v>1.8954900561024897</v>
      </c>
      <c r="AH68" s="965">
        <f>Summary!AH91</f>
        <v>0.21677881349517555</v>
      </c>
    </row>
    <row r="69" spans="1:34" ht="15">
      <c r="A69" s="904" t="str">
        <f>Summary!D92</f>
        <v>Poker</v>
      </c>
      <c r="B69" s="846"/>
      <c r="C69" s="954"/>
      <c r="D69" s="954"/>
      <c r="E69" s="954"/>
      <c r="F69" s="954"/>
      <c r="G69" s="965">
        <f>Summary!G92</f>
        <v>2.9652430800027303</v>
      </c>
      <c r="H69" s="965">
        <f>Summary!H92</f>
        <v>41.648409470632785</v>
      </c>
      <c r="I69" s="965">
        <f>Summary!I92</f>
        <v>97.049643820750731</v>
      </c>
      <c r="J69" s="965">
        <f>Summary!J92</f>
        <v>116.04440777404174</v>
      </c>
      <c r="K69" s="965">
        <f>Summary!K92</f>
        <v>117.84872158783395</v>
      </c>
      <c r="L69" s="965">
        <f>Summary!L92</f>
        <v>122.06035107436119</v>
      </c>
      <c r="M69" s="965">
        <f>Summary!M92</f>
        <v>89.780371732636155</v>
      </c>
      <c r="N69" s="965">
        <f>Summary!N92</f>
        <v>57.217663830907156</v>
      </c>
      <c r="O69" s="965">
        <f>Summary!O92</f>
        <v>35.369708447620276</v>
      </c>
      <c r="P69" s="965">
        <f>Summary!P92</f>
        <v>27.348526436607084</v>
      </c>
      <c r="Q69" s="965">
        <f>Summary!Q92</f>
        <v>26.314888009545154</v>
      </c>
      <c r="R69" s="965">
        <f>Summary!R92</f>
        <v>19.743736272358657</v>
      </c>
      <c r="S69" s="965">
        <f>Summary!S92</f>
        <v>16.034678015307129</v>
      </c>
      <c r="T69" s="965">
        <f>Summary!T92</f>
        <v>15.941206192721893</v>
      </c>
      <c r="U69" s="965">
        <f>Summary!U92</f>
        <v>16.662167610576876</v>
      </c>
      <c r="V69" s="965">
        <f>Summary!V92</f>
        <v>14.045805506299466</v>
      </c>
      <c r="W69" s="965">
        <f>Summary!W92</f>
        <v>12.878004444393149</v>
      </c>
      <c r="X69" s="965">
        <f>Summary!X92</f>
        <v>17.329999999999998</v>
      </c>
      <c r="Y69" s="965">
        <f>Summary!Y92</f>
        <v>13.92</v>
      </c>
      <c r="Z69" s="965">
        <f>Summary!Z92</f>
        <v>12.577489137471993</v>
      </c>
      <c r="AA69" s="965">
        <f>Summary!AA92</f>
        <v>11.234978274943987</v>
      </c>
      <c r="AB69" s="965">
        <f>Summary!AB92</f>
        <v>11.758000827518044</v>
      </c>
      <c r="AC69" s="965">
        <f>Summary!AC92</f>
        <v>12.308713071650637</v>
      </c>
      <c r="AD69" s="965">
        <f>Summary!AD92</f>
        <v>12.968957436573728</v>
      </c>
      <c r="AE69" s="965">
        <f>Summary!AE92</f>
        <v>13.528266787498644</v>
      </c>
      <c r="AF69" s="965">
        <f>Summary!AF92</f>
        <v>14.174719888339718</v>
      </c>
      <c r="AG69" s="965">
        <f>Summary!AG92</f>
        <v>14.870490969738501</v>
      </c>
      <c r="AH69" s="965">
        <f>Summary!AH92</f>
        <v>15.61081938387143</v>
      </c>
    </row>
    <row r="70" spans="1:34" ht="15">
      <c r="A70" s="904" t="str">
        <f>Summary!D93</f>
        <v>Bingo/Other Gaming</v>
      </c>
      <c r="B70" s="846"/>
      <c r="C70" s="954"/>
      <c r="D70" s="954"/>
      <c r="E70" s="954"/>
      <c r="F70" s="954"/>
      <c r="G70" s="965">
        <f>Summary!G93</f>
        <v>0.93683730792761677</v>
      </c>
      <c r="H70" s="965">
        <f>Summary!H93</f>
        <v>3.0191761653237359</v>
      </c>
      <c r="I70" s="965">
        <f>Summary!I93</f>
        <v>3.9167866783170253</v>
      </c>
      <c r="J70" s="965">
        <f>Summary!J93</f>
        <v>6.0970979658249238</v>
      </c>
      <c r="K70" s="965">
        <f>Summary!K93</f>
        <v>10.472493957684677</v>
      </c>
      <c r="L70" s="965">
        <f>Summary!L93</f>
        <v>13.500580825007614</v>
      </c>
      <c r="M70" s="965">
        <f>Summary!M93</f>
        <v>16.427391192911866</v>
      </c>
      <c r="N70" s="965">
        <f>Summary!N93</f>
        <v>29.083711008696014</v>
      </c>
      <c r="O70" s="965">
        <f>Summary!O93</f>
        <v>23.524067442528185</v>
      </c>
      <c r="P70" s="965">
        <f>Summary!P93</f>
        <v>14.417894236599386</v>
      </c>
      <c r="Q70" s="965">
        <f>Summary!Q93</f>
        <v>18.620463084932844</v>
      </c>
      <c r="R70" s="965">
        <f>Summary!R93</f>
        <v>17.5908394782528</v>
      </c>
      <c r="S70" s="965">
        <f>Summary!S93</f>
        <v>17.660529171446527</v>
      </c>
      <c r="T70" s="965">
        <f>Summary!T93</f>
        <v>17.591963584079011</v>
      </c>
      <c r="U70" s="965">
        <f>Summary!U93</f>
        <v>18.650922169992018</v>
      </c>
      <c r="V70" s="965">
        <f>Summary!V93</f>
        <v>20.024433624817085</v>
      </c>
      <c r="W70" s="965">
        <f>Summary!W93</f>
        <v>18.087026214503691</v>
      </c>
      <c r="X70" s="965">
        <f>Summary!X93</f>
        <v>20.954999999999998</v>
      </c>
      <c r="Y70" s="965">
        <f>Summary!Y93</f>
        <v>13.023999999999999</v>
      </c>
      <c r="Z70" s="965">
        <f>Summary!Z93</f>
        <v>15.368996655732781</v>
      </c>
      <c r="AA70" s="965">
        <f>Summary!AA93</f>
        <v>17.427045669104871</v>
      </c>
      <c r="AB70" s="965">
        <f>Summary!AB93</f>
        <v>18.141956220532325</v>
      </c>
      <c r="AC70" s="965">
        <f>Summary!AC93</f>
        <v>18.673624970299041</v>
      </c>
      <c r="AD70" s="965">
        <f>Summary!AD93</f>
        <v>19.575730273061676</v>
      </c>
      <c r="AE70" s="965">
        <f>Summary!AE93</f>
        <v>20.380220029560721</v>
      </c>
      <c r="AF70" s="965">
        <f>Summary!AF93</f>
        <v>21.205454248571726</v>
      </c>
      <c r="AG70" s="965">
        <f>Summary!AG93</f>
        <v>22.040182340078758</v>
      </c>
      <c r="AH70" s="965">
        <f>Summary!AH93</f>
        <v>22.886742386070253</v>
      </c>
    </row>
    <row r="71" spans="1:34">
      <c r="A71" s="955" t="s">
        <v>918</v>
      </c>
      <c r="B71" s="956"/>
      <c r="C71" s="957"/>
      <c r="D71" s="957"/>
      <c r="E71" s="957"/>
      <c r="F71" s="957"/>
      <c r="G71" s="957">
        <f>SUM(G66:G70)</f>
        <v>19.657281527326969</v>
      </c>
      <c r="H71" s="957">
        <f t="shared" ref="H71:AG71" si="31">SUM(H66:H70)</f>
        <v>70.651386864529613</v>
      </c>
      <c r="I71" s="957">
        <f t="shared" si="31"/>
        <v>139.45380718554227</v>
      </c>
      <c r="J71" s="957">
        <f t="shared" si="31"/>
        <v>175.61950053052902</v>
      </c>
      <c r="K71" s="957">
        <f t="shared" si="31"/>
        <v>259.6160561243903</v>
      </c>
      <c r="L71" s="957">
        <f t="shared" si="31"/>
        <v>319.76653817170637</v>
      </c>
      <c r="M71" s="957">
        <f t="shared" si="31"/>
        <v>339.70995492104765</v>
      </c>
      <c r="N71" s="957">
        <f t="shared" si="31"/>
        <v>348.26549220032933</v>
      </c>
      <c r="O71" s="957">
        <f t="shared" si="31"/>
        <v>340.70970212683739</v>
      </c>
      <c r="P71" s="957">
        <f t="shared" si="31"/>
        <v>288.82569752256961</v>
      </c>
      <c r="Q71" s="957">
        <f t="shared" si="31"/>
        <v>269.39117515711297</v>
      </c>
      <c r="R71" s="957">
        <f t="shared" si="31"/>
        <v>233.97917063109409</v>
      </c>
      <c r="S71" s="957">
        <f t="shared" si="31"/>
        <v>190.62328232420867</v>
      </c>
      <c r="T71" s="957">
        <f t="shared" si="31"/>
        <v>167.45916977680088</v>
      </c>
      <c r="U71" s="957">
        <f t="shared" si="31"/>
        <v>153.63807956266857</v>
      </c>
      <c r="V71" s="957">
        <f t="shared" si="31"/>
        <v>143.95601962453938</v>
      </c>
      <c r="W71" s="957">
        <f t="shared" si="31"/>
        <v>134.48990274105134</v>
      </c>
      <c r="X71" s="957">
        <f t="shared" si="31"/>
        <v>138.3538783584186</v>
      </c>
      <c r="Y71" s="957">
        <f t="shared" si="31"/>
        <v>126.07011619336301</v>
      </c>
      <c r="Z71" s="957">
        <f t="shared" si="31"/>
        <v>125.10798071474193</v>
      </c>
      <c r="AA71" s="957">
        <f t="shared" si="31"/>
        <v>124.13058466691851</v>
      </c>
      <c r="AB71" s="957">
        <f t="shared" si="31"/>
        <v>107.04826082954783</v>
      </c>
      <c r="AC71" s="957">
        <f t="shared" si="31"/>
        <v>97.190673242054089</v>
      </c>
      <c r="AD71" s="957">
        <f t="shared" si="31"/>
        <v>91.061183153840005</v>
      </c>
      <c r="AE71" s="957">
        <f t="shared" si="31"/>
        <v>79.215848909078872</v>
      </c>
      <c r="AF71" s="957">
        <f t="shared" si="31"/>
        <v>67.186983913864424</v>
      </c>
      <c r="AG71" s="957">
        <f t="shared" si="31"/>
        <v>53.610772681374513</v>
      </c>
      <c r="AH71" s="957">
        <f t="shared" ref="AH71" si="32">SUM(AH66:AH70)</f>
        <v>40.394623715129832</v>
      </c>
    </row>
    <row r="72" spans="1:34" ht="15">
      <c r="A72" s="904" t="str">
        <f>Summary!D94</f>
        <v>Draw Lottery</v>
      </c>
      <c r="B72" s="846"/>
      <c r="C72" s="954"/>
      <c r="D72" s="954"/>
      <c r="E72" s="954"/>
      <c r="F72" s="954"/>
      <c r="G72" s="965">
        <f>Summary!G94</f>
        <v>0</v>
      </c>
      <c r="H72" s="965">
        <f>Summary!H94</f>
        <v>0</v>
      </c>
      <c r="I72" s="965">
        <f>Summary!I94</f>
        <v>0</v>
      </c>
      <c r="J72" s="965">
        <f>Summary!J94</f>
        <v>0</v>
      </c>
      <c r="K72" s="965">
        <f>Summary!K94</f>
        <v>0</v>
      </c>
      <c r="L72" s="965">
        <f>Summary!L94</f>
        <v>0</v>
      </c>
      <c r="M72" s="965">
        <f>Summary!M94</f>
        <v>0</v>
      </c>
      <c r="N72" s="965">
        <f>Summary!N94</f>
        <v>0</v>
      </c>
      <c r="O72" s="965">
        <f>Summary!O94</f>
        <v>0</v>
      </c>
      <c r="P72" s="965">
        <f>Summary!P94</f>
        <v>0</v>
      </c>
      <c r="Q72" s="965">
        <f>Summary!Q94</f>
        <v>0</v>
      </c>
      <c r="R72" s="965">
        <f>Summary!R94</f>
        <v>0</v>
      </c>
      <c r="S72" s="965">
        <f>Summary!S94</f>
        <v>0</v>
      </c>
      <c r="T72" s="965">
        <f>Summary!T94</f>
        <v>0</v>
      </c>
      <c r="U72" s="965">
        <f>Summary!U94</f>
        <v>0</v>
      </c>
      <c r="V72" s="965">
        <f>Summary!V94</f>
        <v>0</v>
      </c>
      <c r="W72" s="965">
        <f>Summary!W94</f>
        <v>0</v>
      </c>
      <c r="X72" s="965">
        <f>Summary!X94</f>
        <v>0</v>
      </c>
      <c r="Y72" s="965">
        <f>Summary!Y94</f>
        <v>0</v>
      </c>
      <c r="Z72" s="965">
        <f>Summary!Z94</f>
        <v>0</v>
      </c>
      <c r="AA72" s="965">
        <f>Summary!AA94</f>
        <v>0</v>
      </c>
      <c r="AB72" s="965">
        <f>Summary!AB94</f>
        <v>0</v>
      </c>
      <c r="AC72" s="965">
        <f>Summary!AC94</f>
        <v>0</v>
      </c>
      <c r="AD72" s="965">
        <f>Summary!AD94</f>
        <v>0</v>
      </c>
      <c r="AE72" s="965">
        <f>Summary!AE94</f>
        <v>0</v>
      </c>
      <c r="AF72" s="965">
        <f>Summary!AF94</f>
        <v>0</v>
      </c>
      <c r="AG72" s="965">
        <f>Summary!AG94</f>
        <v>0</v>
      </c>
      <c r="AH72" s="965">
        <f>Summary!AH94</f>
        <v>0</v>
      </c>
    </row>
    <row r="73" spans="1:34" ht="15">
      <c r="A73" s="904" t="str">
        <f>Summary!D95</f>
        <v>Instant Lottery</v>
      </c>
      <c r="B73" s="846"/>
      <c r="C73" s="954"/>
      <c r="D73" s="954"/>
      <c r="E73" s="954"/>
      <c r="F73" s="954"/>
      <c r="G73" s="965">
        <f>Summary!G95</f>
        <v>0</v>
      </c>
      <c r="H73" s="965">
        <f>Summary!H95</f>
        <v>0</v>
      </c>
      <c r="I73" s="965">
        <f>Summary!I95</f>
        <v>0</v>
      </c>
      <c r="J73" s="965">
        <f>Summary!J95</f>
        <v>0</v>
      </c>
      <c r="K73" s="965">
        <f>Summary!K95</f>
        <v>0</v>
      </c>
      <c r="L73" s="965">
        <f>Summary!L95</f>
        <v>0</v>
      </c>
      <c r="M73" s="965">
        <f>Summary!M95</f>
        <v>0</v>
      </c>
      <c r="N73" s="965">
        <f>Summary!N95</f>
        <v>0</v>
      </c>
      <c r="O73" s="965">
        <f>Summary!O95</f>
        <v>0</v>
      </c>
      <c r="P73" s="965">
        <f>Summary!P95</f>
        <v>0</v>
      </c>
      <c r="Q73" s="965">
        <f>Summary!Q95</f>
        <v>0</v>
      </c>
      <c r="R73" s="965">
        <f>Summary!R95</f>
        <v>0</v>
      </c>
      <c r="S73" s="965">
        <f>Summary!S95</f>
        <v>0</v>
      </c>
      <c r="T73" s="965">
        <f>Summary!T95</f>
        <v>0</v>
      </c>
      <c r="U73" s="965">
        <f>Summary!U95</f>
        <v>0</v>
      </c>
      <c r="V73" s="965">
        <f>Summary!V95</f>
        <v>0</v>
      </c>
      <c r="W73" s="965">
        <f>Summary!W95</f>
        <v>0</v>
      </c>
      <c r="X73" s="965">
        <f>Summary!X95</f>
        <v>0</v>
      </c>
      <c r="Y73" s="965">
        <f>Summary!Y95</f>
        <v>0</v>
      </c>
      <c r="Z73" s="965">
        <f>Summary!Z95</f>
        <v>0</v>
      </c>
      <c r="AA73" s="965">
        <f>Summary!AA95</f>
        <v>0</v>
      </c>
      <c r="AB73" s="965">
        <f>Summary!AB95</f>
        <v>0</v>
      </c>
      <c r="AC73" s="965">
        <f>Summary!AC95</f>
        <v>0</v>
      </c>
      <c r="AD73" s="965">
        <f>Summary!AD95</f>
        <v>0</v>
      </c>
      <c r="AE73" s="965">
        <f>Summary!AE95</f>
        <v>0</v>
      </c>
      <c r="AF73" s="965">
        <f>Summary!AF95</f>
        <v>0</v>
      </c>
      <c r="AG73" s="965">
        <f>Summary!AG95</f>
        <v>0</v>
      </c>
      <c r="AH73" s="965">
        <f>Summary!AH95</f>
        <v>0</v>
      </c>
    </row>
    <row r="74" spans="1:34" ht="15">
      <c r="A74" s="904" t="str">
        <f>Summary!D96</f>
        <v>Other Lottery</v>
      </c>
      <c r="B74" s="846"/>
      <c r="C74" s="954"/>
      <c r="D74" s="954"/>
      <c r="E74" s="954"/>
      <c r="F74" s="954"/>
      <c r="G74" s="965">
        <f>Summary!G96</f>
        <v>0</v>
      </c>
      <c r="H74" s="965">
        <f>Summary!H96</f>
        <v>0</v>
      </c>
      <c r="I74" s="965">
        <f>Summary!I96</f>
        <v>0</v>
      </c>
      <c r="J74" s="965">
        <f>Summary!J96</f>
        <v>0</v>
      </c>
      <c r="K74" s="965">
        <f>Summary!K96</f>
        <v>0</v>
      </c>
      <c r="L74" s="965">
        <f>Summary!L96</f>
        <v>0</v>
      </c>
      <c r="M74" s="965">
        <f>Summary!M96</f>
        <v>0</v>
      </c>
      <c r="N74" s="965">
        <f>Summary!N96</f>
        <v>0</v>
      </c>
      <c r="O74" s="965">
        <f>Summary!O96</f>
        <v>0</v>
      </c>
      <c r="P74" s="965">
        <f>Summary!P96</f>
        <v>0</v>
      </c>
      <c r="Q74" s="965">
        <f>Summary!Q96</f>
        <v>0</v>
      </c>
      <c r="R74" s="965">
        <f>Summary!R96</f>
        <v>0</v>
      </c>
      <c r="S74" s="965">
        <f>Summary!S96</f>
        <v>0</v>
      </c>
      <c r="T74" s="965">
        <f>Summary!T96</f>
        <v>0</v>
      </c>
      <c r="U74" s="965">
        <f>Summary!U96</f>
        <v>0</v>
      </c>
      <c r="V74" s="965">
        <f>Summary!V96</f>
        <v>0</v>
      </c>
      <c r="W74" s="965">
        <f>Summary!W96</f>
        <v>0</v>
      </c>
      <c r="X74" s="965">
        <f>Summary!X96</f>
        <v>0</v>
      </c>
      <c r="Y74" s="965">
        <f>Summary!Y96</f>
        <v>0</v>
      </c>
      <c r="Z74" s="965">
        <f>Summary!Z96</f>
        <v>0</v>
      </c>
      <c r="AA74" s="965">
        <f>Summary!AA96</f>
        <v>0</v>
      </c>
      <c r="AB74" s="965">
        <f>Summary!AB96</f>
        <v>0</v>
      </c>
      <c r="AC74" s="965">
        <f>Summary!AC96</f>
        <v>0</v>
      </c>
      <c r="AD74" s="965">
        <f>Summary!AD96</f>
        <v>0</v>
      </c>
      <c r="AE74" s="965">
        <f>Summary!AE96</f>
        <v>0</v>
      </c>
      <c r="AF74" s="965">
        <f>Summary!AF96</f>
        <v>0</v>
      </c>
      <c r="AG74" s="965">
        <f>Summary!AG96</f>
        <v>0</v>
      </c>
      <c r="AH74" s="965">
        <f>Summary!AH96</f>
        <v>0</v>
      </c>
    </row>
    <row r="75" spans="1:34">
      <c r="A75" s="955" t="s">
        <v>919</v>
      </c>
      <c r="B75" s="956"/>
      <c r="C75" s="957"/>
      <c r="D75" s="957"/>
      <c r="E75" s="957"/>
      <c r="F75" s="957"/>
      <c r="G75" s="957">
        <f>SUM(G72:G74)</f>
        <v>0</v>
      </c>
      <c r="H75" s="957">
        <f t="shared" ref="H75:AG75" si="33">SUM(H72:H74)</f>
        <v>0</v>
      </c>
      <c r="I75" s="957">
        <f t="shared" si="33"/>
        <v>0</v>
      </c>
      <c r="J75" s="957">
        <f t="shared" si="33"/>
        <v>0</v>
      </c>
      <c r="K75" s="957">
        <f t="shared" si="33"/>
        <v>0</v>
      </c>
      <c r="L75" s="957">
        <f t="shared" si="33"/>
        <v>0</v>
      </c>
      <c r="M75" s="957">
        <f t="shared" si="33"/>
        <v>0</v>
      </c>
      <c r="N75" s="957">
        <f t="shared" si="33"/>
        <v>0</v>
      </c>
      <c r="O75" s="957">
        <f t="shared" si="33"/>
        <v>0</v>
      </c>
      <c r="P75" s="957">
        <f t="shared" si="33"/>
        <v>0</v>
      </c>
      <c r="Q75" s="957">
        <f t="shared" si="33"/>
        <v>0</v>
      </c>
      <c r="R75" s="957">
        <f t="shared" si="33"/>
        <v>0</v>
      </c>
      <c r="S75" s="957">
        <f t="shared" si="33"/>
        <v>0</v>
      </c>
      <c r="T75" s="957">
        <f t="shared" si="33"/>
        <v>0</v>
      </c>
      <c r="U75" s="957">
        <f t="shared" si="33"/>
        <v>0</v>
      </c>
      <c r="V75" s="957">
        <f t="shared" si="33"/>
        <v>0</v>
      </c>
      <c r="W75" s="957">
        <f t="shared" si="33"/>
        <v>0</v>
      </c>
      <c r="X75" s="957">
        <f t="shared" si="33"/>
        <v>0</v>
      </c>
      <c r="Y75" s="957">
        <f t="shared" si="33"/>
        <v>0</v>
      </c>
      <c r="Z75" s="957">
        <f t="shared" si="33"/>
        <v>0</v>
      </c>
      <c r="AA75" s="957">
        <f t="shared" si="33"/>
        <v>0</v>
      </c>
      <c r="AB75" s="957">
        <f t="shared" si="33"/>
        <v>0</v>
      </c>
      <c r="AC75" s="957">
        <f t="shared" si="33"/>
        <v>0</v>
      </c>
      <c r="AD75" s="957">
        <f t="shared" si="33"/>
        <v>0</v>
      </c>
      <c r="AE75" s="957">
        <f t="shared" si="33"/>
        <v>0</v>
      </c>
      <c r="AF75" s="957">
        <f t="shared" si="33"/>
        <v>0</v>
      </c>
      <c r="AG75" s="957">
        <f t="shared" si="33"/>
        <v>0</v>
      </c>
      <c r="AH75" s="957">
        <f t="shared" ref="AH75" si="34">SUM(AH72:AH74)</f>
        <v>0</v>
      </c>
    </row>
    <row r="76" spans="1:34" ht="15">
      <c r="A76" s="904"/>
      <c r="B76" s="846"/>
      <c r="C76" s="954"/>
      <c r="D76" s="954"/>
      <c r="E76" s="954"/>
      <c r="F76" s="954"/>
      <c r="G76" s="965"/>
      <c r="H76" s="965"/>
      <c r="I76" s="965"/>
      <c r="J76" s="965"/>
      <c r="K76" s="965"/>
      <c r="L76" s="965"/>
      <c r="M76" s="965"/>
      <c r="N76" s="965"/>
      <c r="O76" s="965"/>
      <c r="P76" s="965"/>
      <c r="Q76" s="965"/>
      <c r="R76" s="965"/>
      <c r="S76" s="965"/>
      <c r="T76" s="965"/>
      <c r="U76" s="965"/>
      <c r="V76" s="965"/>
      <c r="W76" s="965"/>
      <c r="X76" s="965"/>
      <c r="Y76" s="965"/>
      <c r="Z76" s="965"/>
      <c r="AA76" s="965"/>
      <c r="AB76" s="965"/>
      <c r="AC76" s="965"/>
      <c r="AD76" s="965"/>
      <c r="AE76" s="965"/>
      <c r="AF76" s="965"/>
      <c r="AG76" s="965"/>
      <c r="AH76" s="965"/>
    </row>
    <row r="77" spans="1:34">
      <c r="A77" s="966" t="s">
        <v>920</v>
      </c>
      <c r="B77" s="967"/>
      <c r="C77" s="967"/>
      <c r="D77" s="967"/>
      <c r="E77" s="967"/>
      <c r="F77" s="967"/>
      <c r="G77" s="967">
        <f>G65+G71+G75</f>
        <v>77.06520563446982</v>
      </c>
      <c r="H77" s="967">
        <f t="shared" ref="H77:AG77" si="35">H65+H71+H75</f>
        <v>138.71087708233318</v>
      </c>
      <c r="I77" s="967">
        <f t="shared" si="35"/>
        <v>230.70176899108978</v>
      </c>
      <c r="J77" s="967">
        <f t="shared" si="35"/>
        <v>281.38891317035564</v>
      </c>
      <c r="K77" s="967">
        <f t="shared" si="35"/>
        <v>360.69178735455802</v>
      </c>
      <c r="L77" s="967">
        <f t="shared" si="35"/>
        <v>362.00864749202947</v>
      </c>
      <c r="M77" s="967">
        <f t="shared" si="35"/>
        <v>375.0431456585664</v>
      </c>
      <c r="N77" s="967">
        <f t="shared" si="35"/>
        <v>386.0980213897007</v>
      </c>
      <c r="O77" s="967">
        <f t="shared" si="35"/>
        <v>377.80383985840825</v>
      </c>
      <c r="P77" s="967">
        <f t="shared" si="35"/>
        <v>324.98590983577714</v>
      </c>
      <c r="Q77" s="967">
        <f t="shared" si="35"/>
        <v>314.90579588534604</v>
      </c>
      <c r="R77" s="967">
        <f t="shared" si="35"/>
        <v>283.52853726102535</v>
      </c>
      <c r="S77" s="967">
        <f t="shared" si="35"/>
        <v>240.67962854963724</v>
      </c>
      <c r="T77" s="967">
        <f t="shared" si="35"/>
        <v>218.79439804345628</v>
      </c>
      <c r="U77" s="967">
        <f t="shared" si="35"/>
        <v>202.85376326657769</v>
      </c>
      <c r="V77" s="967">
        <f t="shared" si="35"/>
        <v>200.3899898197127</v>
      </c>
      <c r="W77" s="967">
        <f t="shared" si="35"/>
        <v>190.20289741019627</v>
      </c>
      <c r="X77" s="967">
        <f t="shared" si="35"/>
        <v>173.18887835841861</v>
      </c>
      <c r="Y77" s="967">
        <f t="shared" si="35"/>
        <v>168.506116193363</v>
      </c>
      <c r="Z77" s="967">
        <f t="shared" si="35"/>
        <v>164.5091717110887</v>
      </c>
      <c r="AA77" s="967">
        <f t="shared" si="35"/>
        <v>164.20922870942462</v>
      </c>
      <c r="AB77" s="967">
        <f t="shared" si="35"/>
        <v>147.43881701497398</v>
      </c>
      <c r="AC77" s="967">
        <f t="shared" si="35"/>
        <v>135.15572648699643</v>
      </c>
      <c r="AD77" s="967">
        <f t="shared" si="35"/>
        <v>123.68309841540623</v>
      </c>
      <c r="AE77" s="967">
        <f t="shared" si="35"/>
        <v>109.94003167121519</v>
      </c>
      <c r="AF77" s="967">
        <f t="shared" si="35"/>
        <v>95.525281329340743</v>
      </c>
      <c r="AG77" s="967">
        <f t="shared" si="35"/>
        <v>79.027210196191973</v>
      </c>
      <c r="AH77" s="967">
        <f t="shared" ref="AH77" si="36">AH65+AH71+AH75</f>
        <v>67.843285708778808</v>
      </c>
    </row>
    <row r="78" spans="1:34">
      <c r="A78" s="846"/>
      <c r="B78" s="846"/>
      <c r="C78" s="846"/>
      <c r="D78" s="846"/>
      <c r="E78" s="846"/>
      <c r="F78" s="846"/>
      <c r="G78" s="846"/>
      <c r="H78" s="846"/>
      <c r="I78" s="846"/>
      <c r="J78" s="846"/>
      <c r="K78" s="846"/>
      <c r="L78" s="846"/>
      <c r="M78" s="846"/>
      <c r="N78" s="846"/>
      <c r="O78" s="846"/>
      <c r="P78" s="846"/>
      <c r="Q78" s="846"/>
      <c r="R78" s="846"/>
      <c r="S78" s="846"/>
      <c r="T78" s="846"/>
      <c r="U78" s="846"/>
      <c r="V78" s="846"/>
      <c r="W78" s="846"/>
      <c r="X78" s="846"/>
      <c r="Y78" s="846"/>
      <c r="Z78" s="846"/>
      <c r="AA78" s="846"/>
      <c r="AB78" s="846"/>
      <c r="AC78" s="846"/>
      <c r="AD78" s="846"/>
      <c r="AE78" s="846"/>
      <c r="AF78" s="846"/>
      <c r="AG78" s="846"/>
      <c r="AH78" s="846"/>
    </row>
    <row r="79" spans="1:34">
      <c r="A79" s="846"/>
      <c r="B79" s="846"/>
      <c r="C79" s="846"/>
      <c r="D79" s="846"/>
      <c r="E79" s="846"/>
      <c r="F79" s="846"/>
      <c r="G79" s="846"/>
      <c r="H79" s="846"/>
      <c r="I79" s="846"/>
      <c r="J79" s="846"/>
      <c r="K79" s="846"/>
      <c r="L79" s="846"/>
      <c r="M79" s="846"/>
      <c r="N79" s="846"/>
      <c r="O79" s="846"/>
      <c r="P79" s="846"/>
      <c r="Q79" s="846"/>
      <c r="R79" s="846"/>
      <c r="S79" s="846"/>
      <c r="T79" s="846"/>
      <c r="U79" s="846"/>
      <c r="V79" s="846"/>
      <c r="W79" s="846"/>
      <c r="X79" s="846"/>
      <c r="Y79" s="846"/>
      <c r="Z79" s="846"/>
      <c r="AA79" s="846"/>
      <c r="AB79" s="846"/>
      <c r="AC79" s="846"/>
      <c r="AD79" s="846"/>
      <c r="AE79" s="846"/>
      <c r="AF79" s="846"/>
      <c r="AG79" s="846"/>
      <c r="AH79" s="846"/>
    </row>
    <row r="80" spans="1:34" ht="15" thickBot="1">
      <c r="A80" s="846"/>
      <c r="B80" s="846"/>
      <c r="C80" s="846"/>
      <c r="D80" s="846"/>
      <c r="E80" s="846"/>
      <c r="F80" s="846"/>
      <c r="G80" s="846"/>
      <c r="H80" s="846"/>
      <c r="I80" s="846"/>
      <c r="J80" s="846"/>
      <c r="K80" s="846"/>
      <c r="L80" s="846"/>
      <c r="M80" s="846"/>
      <c r="N80" s="846"/>
      <c r="O80" s="846"/>
      <c r="P80" s="846"/>
      <c r="Q80" s="846"/>
      <c r="R80" s="846"/>
      <c r="S80" s="846"/>
      <c r="T80" s="846"/>
      <c r="U80" s="846"/>
      <c r="V80" s="846"/>
      <c r="W80" s="846"/>
      <c r="X80" s="846"/>
      <c r="Y80" s="846"/>
      <c r="Z80" s="846"/>
      <c r="AA80" s="846"/>
      <c r="AB80" s="846"/>
      <c r="AC80" s="846"/>
      <c r="AD80" s="846"/>
      <c r="AE80" s="846"/>
      <c r="AF80" s="846"/>
      <c r="AG80" s="846"/>
      <c r="AH80" s="846"/>
    </row>
    <row r="81" spans="1:34">
      <c r="A81" s="950" t="str">
        <f>"Total Online GGR " &amp; A17</f>
        <v>Total Online GGR EUR (m)</v>
      </c>
      <c r="B81" s="951">
        <v>1998</v>
      </c>
      <c r="C81" s="951">
        <v>1999</v>
      </c>
      <c r="D81" s="951">
        <v>2000</v>
      </c>
      <c r="E81" s="951">
        <v>2001</v>
      </c>
      <c r="F81" s="951">
        <v>2002</v>
      </c>
      <c r="G81" s="951">
        <f>Summary!G$16</f>
        <v>2003</v>
      </c>
      <c r="H81" s="951">
        <f>Summary!H$16</f>
        <v>2004</v>
      </c>
      <c r="I81" s="951">
        <f>Summary!I$16</f>
        <v>2005</v>
      </c>
      <c r="J81" s="951">
        <f>Summary!J$16</f>
        <v>2006</v>
      </c>
      <c r="K81" s="951">
        <f>Summary!K$16</f>
        <v>2007</v>
      </c>
      <c r="L81" s="951">
        <f>Summary!L$16</f>
        <v>2008</v>
      </c>
      <c r="M81" s="951">
        <f>Summary!M$16</f>
        <v>2009</v>
      </c>
      <c r="N81" s="951">
        <f>Summary!N$16</f>
        <v>2010</v>
      </c>
      <c r="O81" s="951">
        <f>Summary!O$16</f>
        <v>2011</v>
      </c>
      <c r="P81" s="951">
        <f>Summary!P$16</f>
        <v>2012</v>
      </c>
      <c r="Q81" s="951">
        <f>Summary!Q$16</f>
        <v>2013</v>
      </c>
      <c r="R81" s="951">
        <f>Summary!R$16</f>
        <v>2014</v>
      </c>
      <c r="S81" s="951">
        <f>Summary!S$16</f>
        <v>2015</v>
      </c>
      <c r="T81" s="951">
        <f>Summary!T$16</f>
        <v>2016</v>
      </c>
      <c r="U81" s="951">
        <f>Summary!U$16</f>
        <v>2017</v>
      </c>
      <c r="V81" s="951">
        <f>Summary!V$16</f>
        <v>2018</v>
      </c>
      <c r="W81" s="951">
        <f>Summary!W$16</f>
        <v>2019</v>
      </c>
      <c r="X81" s="951">
        <f>Summary!X$16</f>
        <v>2020</v>
      </c>
      <c r="Y81" s="951">
        <f>Summary!Y$16</f>
        <v>2021</v>
      </c>
      <c r="Z81" s="951">
        <f>Summary!Z$16</f>
        <v>2022</v>
      </c>
      <c r="AA81" s="951">
        <f>Summary!AA$16</f>
        <v>2023</v>
      </c>
      <c r="AB81" s="951">
        <f>Summary!AB$16</f>
        <v>2024</v>
      </c>
      <c r="AC81" s="951">
        <f>Summary!AC$16</f>
        <v>2025</v>
      </c>
      <c r="AD81" s="951">
        <f>Summary!AD$16</f>
        <v>2026</v>
      </c>
      <c r="AE81" s="951">
        <f>Summary!AE$16</f>
        <v>2027</v>
      </c>
      <c r="AF81" s="951">
        <f>Summary!AF$16</f>
        <v>2028</v>
      </c>
      <c r="AG81" s="951">
        <f>Summary!AG$16</f>
        <v>2029</v>
      </c>
      <c r="AH81" s="951">
        <f>Summary!AH$16</f>
        <v>2030</v>
      </c>
    </row>
    <row r="82" spans="1:34">
      <c r="A82" s="846"/>
      <c r="B82" s="846"/>
      <c r="C82" s="846"/>
      <c r="D82" s="846"/>
      <c r="E82" s="846"/>
      <c r="F82" s="846"/>
      <c r="G82" s="846"/>
      <c r="H82" s="846"/>
      <c r="I82" s="846"/>
      <c r="J82" s="846"/>
      <c r="K82" s="846"/>
      <c r="L82" s="846"/>
      <c r="M82" s="846"/>
      <c r="N82" s="846"/>
      <c r="O82" s="846"/>
      <c r="P82" s="846"/>
      <c r="Q82" s="846"/>
      <c r="R82" s="846"/>
      <c r="S82" s="846"/>
      <c r="T82" s="846"/>
      <c r="U82" s="846"/>
      <c r="V82" s="846"/>
      <c r="W82" s="846"/>
      <c r="X82" s="846"/>
      <c r="Y82" s="846"/>
      <c r="Z82" s="846"/>
      <c r="AA82" s="846"/>
      <c r="AB82" s="846"/>
      <c r="AC82" s="846"/>
      <c r="AD82" s="846"/>
      <c r="AE82" s="846"/>
      <c r="AF82" s="846"/>
      <c r="AG82" s="846"/>
      <c r="AH82" s="846"/>
    </row>
    <row r="83" spans="1:34" ht="15">
      <c r="A83" s="904" t="str">
        <f>A63</f>
        <v>Race Betting</v>
      </c>
      <c r="B83" s="846"/>
      <c r="C83" s="954"/>
      <c r="D83" s="954"/>
      <c r="E83" s="954"/>
      <c r="F83" s="954"/>
      <c r="G83" s="965">
        <f>G43+G63</f>
        <v>13.77790178571429</v>
      </c>
      <c r="H83" s="965">
        <f t="shared" ref="H83:AG84" si="37">H43+H63</f>
        <v>15.653682750094831</v>
      </c>
      <c r="I83" s="965">
        <f t="shared" si="37"/>
        <v>20.074551597220456</v>
      </c>
      <c r="J83" s="965">
        <f t="shared" si="37"/>
        <v>22.211576654363594</v>
      </c>
      <c r="K83" s="965">
        <f t="shared" si="37"/>
        <v>20.215146246033552</v>
      </c>
      <c r="L83" s="965">
        <f t="shared" si="37"/>
        <v>36.666898543696135</v>
      </c>
      <c r="M83" s="965">
        <f t="shared" si="37"/>
        <v>39.677044701569315</v>
      </c>
      <c r="N83" s="965">
        <f t="shared" si="37"/>
        <v>34.883485670299422</v>
      </c>
      <c r="O83" s="965">
        <f t="shared" si="37"/>
        <v>26.146516659735632</v>
      </c>
      <c r="P83" s="965">
        <f t="shared" si="37"/>
        <v>22.062429723849053</v>
      </c>
      <c r="Q83" s="965">
        <f t="shared" si="37"/>
        <v>20.916900694670296</v>
      </c>
      <c r="R83" s="965">
        <f t="shared" si="37"/>
        <v>19.945923995591748</v>
      </c>
      <c r="S83" s="965">
        <f t="shared" si="37"/>
        <v>20.506198084797145</v>
      </c>
      <c r="T83" s="965">
        <f t="shared" si="37"/>
        <v>21.133522826665537</v>
      </c>
      <c r="U83" s="965">
        <f t="shared" si="37"/>
        <v>21.429411533351821</v>
      </c>
      <c r="V83" s="965">
        <f t="shared" si="37"/>
        <v>20.514717615613865</v>
      </c>
      <c r="W83" s="965">
        <f t="shared" si="37"/>
        <v>21.899909626840142</v>
      </c>
      <c r="X83" s="965">
        <f t="shared" si="37"/>
        <v>30.487536879999993</v>
      </c>
      <c r="Y83" s="965">
        <f t="shared" si="37"/>
        <v>45.053547250000001</v>
      </c>
      <c r="Z83" s="965">
        <f t="shared" si="37"/>
        <v>39.345987959817336</v>
      </c>
      <c r="AA83" s="965">
        <f t="shared" si="37"/>
        <v>41.884200333159754</v>
      </c>
      <c r="AB83" s="965">
        <f t="shared" si="37"/>
        <v>43.484309687267505</v>
      </c>
      <c r="AC83" s="965">
        <f t="shared" si="37"/>
        <v>46.762566938173762</v>
      </c>
      <c r="AD83" s="965">
        <f t="shared" si="37"/>
        <v>50.199418035865655</v>
      </c>
      <c r="AE83" s="965">
        <f t="shared" si="37"/>
        <v>53.882206104326677</v>
      </c>
      <c r="AF83" s="965">
        <f t="shared" si="37"/>
        <v>57.817572913633725</v>
      </c>
      <c r="AG83" s="965">
        <f t="shared" si="37"/>
        <v>61.970714122302027</v>
      </c>
      <c r="AH83" s="965">
        <f t="shared" ref="AH83" si="38">AH43+AH63</f>
        <v>63.101035121227831</v>
      </c>
    </row>
    <row r="84" spans="1:34" ht="15">
      <c r="A84" s="904" t="str">
        <f t="shared" ref="A84:A94" si="39">A64</f>
        <v>Sport Betting</v>
      </c>
      <c r="B84" s="846"/>
      <c r="C84" s="954"/>
      <c r="D84" s="954"/>
      <c r="E84" s="954"/>
      <c r="F84" s="954"/>
      <c r="G84" s="965">
        <f>G44+G64</f>
        <v>43.630022321428562</v>
      </c>
      <c r="H84" s="965">
        <f t="shared" si="37"/>
        <v>52.405807467708755</v>
      </c>
      <c r="I84" s="965">
        <f t="shared" si="37"/>
        <v>71.173410208327041</v>
      </c>
      <c r="J84" s="965">
        <f t="shared" si="37"/>
        <v>83.557835985463001</v>
      </c>
      <c r="K84" s="965">
        <f t="shared" si="37"/>
        <v>153.64632880717153</v>
      </c>
      <c r="L84" s="965">
        <f t="shared" si="37"/>
        <v>183.706600980171</v>
      </c>
      <c r="M84" s="965">
        <f t="shared" si="37"/>
        <v>199.7105981144212</v>
      </c>
      <c r="N84" s="965">
        <f t="shared" si="37"/>
        <v>244.61832451907196</v>
      </c>
      <c r="O84" s="965">
        <f t="shared" si="37"/>
        <v>240.36472507183524</v>
      </c>
      <c r="P84" s="965">
        <f t="shared" si="37"/>
        <v>199.09778258935847</v>
      </c>
      <c r="Q84" s="965">
        <f t="shared" si="37"/>
        <v>231.79772003356274</v>
      </c>
      <c r="R84" s="965">
        <f t="shared" si="37"/>
        <v>269.6034426343395</v>
      </c>
      <c r="S84" s="965">
        <f t="shared" si="37"/>
        <v>323.55014814063145</v>
      </c>
      <c r="T84" s="965">
        <f t="shared" si="37"/>
        <v>412.20170543998984</v>
      </c>
      <c r="U84" s="965">
        <f t="shared" si="37"/>
        <v>616.78627217055737</v>
      </c>
      <c r="V84" s="965">
        <f t="shared" si="37"/>
        <v>720.73996447955949</v>
      </c>
      <c r="W84" s="965">
        <f t="shared" si="37"/>
        <v>816.56307284230479</v>
      </c>
      <c r="X84" s="965">
        <f t="shared" si="37"/>
        <v>1115.6868783294271</v>
      </c>
      <c r="Y84" s="965">
        <f t="shared" si="37"/>
        <v>1600.959340963625</v>
      </c>
      <c r="Z84" s="965">
        <f t="shared" si="37"/>
        <v>1515.3965390965293</v>
      </c>
      <c r="AA84" s="965">
        <f t="shared" si="37"/>
        <v>1671.4410966045641</v>
      </c>
      <c r="AB84" s="965">
        <f t="shared" si="37"/>
        <v>1855.387973780377</v>
      </c>
      <c r="AC84" s="965">
        <f t="shared" si="37"/>
        <v>2081.6494595000627</v>
      </c>
      <c r="AD84" s="965">
        <f t="shared" si="37"/>
        <v>2359.2597731396258</v>
      </c>
      <c r="AE84" s="965">
        <f t="shared" si="37"/>
        <v>2600.5512638478153</v>
      </c>
      <c r="AF84" s="965">
        <f t="shared" si="37"/>
        <v>2862.1975482035659</v>
      </c>
      <c r="AG84" s="965">
        <f t="shared" si="37"/>
        <v>3142.9434760044837</v>
      </c>
      <c r="AH84" s="965">
        <f t="shared" ref="AH84" si="40">AH44+AH64</f>
        <v>3348.1472626013874</v>
      </c>
    </row>
    <row r="85" spans="1:34">
      <c r="A85" s="955" t="s">
        <v>692</v>
      </c>
      <c r="B85" s="956"/>
      <c r="C85" s="957"/>
      <c r="D85" s="957"/>
      <c r="E85" s="957"/>
      <c r="F85" s="957"/>
      <c r="G85" s="957">
        <f t="shared" ref="G85:AG85" si="41">SUM(G83:G84)</f>
        <v>57.407924107142854</v>
      </c>
      <c r="H85" s="957">
        <f t="shared" si="41"/>
        <v>68.059490217803585</v>
      </c>
      <c r="I85" s="957">
        <f t="shared" si="41"/>
        <v>91.247961805547504</v>
      </c>
      <c r="J85" s="957">
        <f t="shared" si="41"/>
        <v>105.7694126398266</v>
      </c>
      <c r="K85" s="957">
        <f t="shared" si="41"/>
        <v>173.86147505320508</v>
      </c>
      <c r="L85" s="957">
        <f t="shared" si="41"/>
        <v>220.37349952386714</v>
      </c>
      <c r="M85" s="957">
        <f t="shared" si="41"/>
        <v>239.38764281599052</v>
      </c>
      <c r="N85" s="957">
        <f t="shared" si="41"/>
        <v>279.50181018937138</v>
      </c>
      <c r="O85" s="957">
        <f t="shared" si="41"/>
        <v>266.51124173157086</v>
      </c>
      <c r="P85" s="957">
        <f t="shared" si="41"/>
        <v>221.16021231320752</v>
      </c>
      <c r="Q85" s="957">
        <f t="shared" si="41"/>
        <v>252.71462072823303</v>
      </c>
      <c r="R85" s="957">
        <f t="shared" si="41"/>
        <v>289.54936662993123</v>
      </c>
      <c r="S85" s="957">
        <f t="shared" si="41"/>
        <v>344.05634622542857</v>
      </c>
      <c r="T85" s="957">
        <f t="shared" si="41"/>
        <v>433.33522826665535</v>
      </c>
      <c r="U85" s="957">
        <f t="shared" si="41"/>
        <v>638.21568370390924</v>
      </c>
      <c r="V85" s="957">
        <f t="shared" si="41"/>
        <v>741.25468209517339</v>
      </c>
      <c r="W85" s="957">
        <f t="shared" si="41"/>
        <v>838.46298246914489</v>
      </c>
      <c r="X85" s="957">
        <f t="shared" si="41"/>
        <v>1146.174415209427</v>
      </c>
      <c r="Y85" s="957">
        <f t="shared" si="41"/>
        <v>1646.012888213625</v>
      </c>
      <c r="Z85" s="957">
        <f t="shared" si="41"/>
        <v>1554.7425270563467</v>
      </c>
      <c r="AA85" s="957">
        <f t="shared" si="41"/>
        <v>1713.3252969377238</v>
      </c>
      <c r="AB85" s="957">
        <f t="shared" si="41"/>
        <v>1898.8722834676446</v>
      </c>
      <c r="AC85" s="957">
        <f t="shared" si="41"/>
        <v>2128.4120264382364</v>
      </c>
      <c r="AD85" s="957">
        <f t="shared" si="41"/>
        <v>2409.4591911754915</v>
      </c>
      <c r="AE85" s="957">
        <f t="shared" si="41"/>
        <v>2654.4334699521419</v>
      </c>
      <c r="AF85" s="957">
        <f t="shared" si="41"/>
        <v>2920.0151211171997</v>
      </c>
      <c r="AG85" s="957">
        <f t="shared" si="41"/>
        <v>3204.9141901267858</v>
      </c>
      <c r="AH85" s="957">
        <f t="shared" ref="AH85" si="42">SUM(AH83:AH84)</f>
        <v>3411.2482977226155</v>
      </c>
    </row>
    <row r="86" spans="1:34" ht="15">
      <c r="A86" s="904" t="str">
        <f t="shared" si="39"/>
        <v>Casino Slots</v>
      </c>
      <c r="B86" s="846"/>
      <c r="C86" s="954"/>
      <c r="D86" s="954"/>
      <c r="E86" s="954"/>
      <c r="F86" s="954"/>
      <c r="G86" s="965">
        <f>G46+G66</f>
        <v>10.531940162807361</v>
      </c>
      <c r="H86" s="965">
        <f t="shared" ref="H86:AG86" si="43">H46+H66</f>
        <v>17.467065965478305</v>
      </c>
      <c r="I86" s="965">
        <f t="shared" si="43"/>
        <v>26.017671717684298</v>
      </c>
      <c r="J86" s="965">
        <f t="shared" si="43"/>
        <v>36.354491786312906</v>
      </c>
      <c r="K86" s="965">
        <f t="shared" si="43"/>
        <v>89.755995375589322</v>
      </c>
      <c r="L86" s="965">
        <f t="shared" si="43"/>
        <v>126.63434114578445</v>
      </c>
      <c r="M86" s="965">
        <f t="shared" si="43"/>
        <v>161.42561785134936</v>
      </c>
      <c r="N86" s="965">
        <f t="shared" si="43"/>
        <v>182.11937335254743</v>
      </c>
      <c r="O86" s="965">
        <f t="shared" si="43"/>
        <v>197.021089506636</v>
      </c>
      <c r="P86" s="965">
        <f t="shared" si="43"/>
        <v>181.03130438760584</v>
      </c>
      <c r="Q86" s="965">
        <f t="shared" si="43"/>
        <v>320.78467814559315</v>
      </c>
      <c r="R86" s="965">
        <f t="shared" si="43"/>
        <v>310.29229875391934</v>
      </c>
      <c r="S86" s="965">
        <f t="shared" si="43"/>
        <v>305.4801195743255</v>
      </c>
      <c r="T86" s="965">
        <f t="shared" si="43"/>
        <v>358.14772746675942</v>
      </c>
      <c r="U86" s="965">
        <f t="shared" si="43"/>
        <v>482.0295424424678</v>
      </c>
      <c r="V86" s="965">
        <f t="shared" si="43"/>
        <v>591.31335314417743</v>
      </c>
      <c r="W86" s="965">
        <f t="shared" si="43"/>
        <v>695.86098750058204</v>
      </c>
      <c r="X86" s="965">
        <f t="shared" si="43"/>
        <v>982.50379293604374</v>
      </c>
      <c r="Y86" s="965">
        <f t="shared" si="43"/>
        <v>1446.8923501541806</v>
      </c>
      <c r="Z86" s="965">
        <f t="shared" si="43"/>
        <v>1712.1424098881828</v>
      </c>
      <c r="AA86" s="965">
        <f t="shared" si="43"/>
        <v>2015.282635763074</v>
      </c>
      <c r="AB86" s="965">
        <f t="shared" si="43"/>
        <v>2349.6316989072479</v>
      </c>
      <c r="AC86" s="965">
        <f t="shared" si="43"/>
        <v>2633.1068827367312</v>
      </c>
      <c r="AD86" s="965">
        <f t="shared" si="43"/>
        <v>2914.5433557254682</v>
      </c>
      <c r="AE86" s="965">
        <f t="shared" si="43"/>
        <v>3191.7554244179223</v>
      </c>
      <c r="AF86" s="965">
        <f t="shared" si="43"/>
        <v>3476.7018824572515</v>
      </c>
      <c r="AG86" s="965">
        <f t="shared" si="43"/>
        <v>3764.68018927105</v>
      </c>
      <c r="AH86" s="965">
        <f t="shared" ref="AH86" si="44">AH46+AH66</f>
        <v>4055.6491922216578</v>
      </c>
    </row>
    <row r="87" spans="1:34" ht="15">
      <c r="A87" s="904" t="str">
        <f t="shared" si="39"/>
        <v>Casino RNG</v>
      </c>
      <c r="B87" s="846"/>
      <c r="C87" s="954"/>
      <c r="D87" s="954"/>
      <c r="E87" s="954"/>
      <c r="F87" s="954"/>
      <c r="G87" s="965">
        <f t="shared" ref="G87:AG90" si="45">G47+G67</f>
        <v>4.069016095127445</v>
      </c>
      <c r="H87" s="965">
        <f t="shared" si="45"/>
        <v>6.5398860392312095</v>
      </c>
      <c r="I87" s="965">
        <f t="shared" si="45"/>
        <v>9.4183985608297256</v>
      </c>
      <c r="J87" s="965">
        <f t="shared" si="45"/>
        <v>12.690130818267551</v>
      </c>
      <c r="K87" s="965">
        <f t="shared" si="45"/>
        <v>30.118575624874538</v>
      </c>
      <c r="L87" s="965">
        <f t="shared" si="45"/>
        <v>40.703761215128772</v>
      </c>
      <c r="M87" s="965">
        <f t="shared" si="45"/>
        <v>49.4942434655594</v>
      </c>
      <c r="N87" s="965">
        <f t="shared" si="45"/>
        <v>53.002971181162216</v>
      </c>
      <c r="O87" s="965">
        <f t="shared" si="45"/>
        <v>86.234539401446483</v>
      </c>
      <c r="P87" s="965">
        <f t="shared" si="45"/>
        <v>126.72797548156132</v>
      </c>
      <c r="Q87" s="965">
        <f t="shared" si="45"/>
        <v>74.791281874609268</v>
      </c>
      <c r="R87" s="965">
        <f t="shared" si="45"/>
        <v>68.885432096110932</v>
      </c>
      <c r="S87" s="965">
        <f t="shared" si="45"/>
        <v>61.577538326672197</v>
      </c>
      <c r="T87" s="965">
        <f t="shared" si="45"/>
        <v>64.409543974414788</v>
      </c>
      <c r="U87" s="965">
        <f t="shared" si="45"/>
        <v>70.637310697676128</v>
      </c>
      <c r="V87" s="965">
        <f t="shared" si="45"/>
        <v>67.104699602393325</v>
      </c>
      <c r="W87" s="965">
        <f t="shared" si="45"/>
        <v>77.123311043476363</v>
      </c>
      <c r="X87" s="965">
        <f t="shared" si="45"/>
        <v>80.357820118848494</v>
      </c>
      <c r="Y87" s="965">
        <f t="shared" si="45"/>
        <v>84.039684760824827</v>
      </c>
      <c r="Z87" s="965">
        <f t="shared" si="45"/>
        <v>72.72115213867427</v>
      </c>
      <c r="AA87" s="965">
        <f t="shared" si="45"/>
        <v>81.674288044097651</v>
      </c>
      <c r="AB87" s="965">
        <f t="shared" si="45"/>
        <v>89.707591725969891</v>
      </c>
      <c r="AC87" s="965">
        <f t="shared" si="45"/>
        <v>94.128992990539359</v>
      </c>
      <c r="AD87" s="965">
        <f t="shared" si="45"/>
        <v>97.008235831123798</v>
      </c>
      <c r="AE87" s="965">
        <f t="shared" si="45"/>
        <v>98.370020170652538</v>
      </c>
      <c r="AF87" s="965">
        <f t="shared" si="45"/>
        <v>102.91489354693522</v>
      </c>
      <c r="AG87" s="965">
        <f t="shared" si="45"/>
        <v>106.82951683125636</v>
      </c>
      <c r="AH87" s="965">
        <f t="shared" ref="AH87" si="46">AH47+AH67</f>
        <v>110.08623453840794</v>
      </c>
    </row>
    <row r="88" spans="1:34" ht="15">
      <c r="A88" s="904" t="str">
        <f t="shared" si="39"/>
        <v>Casino Live Casino</v>
      </c>
      <c r="B88" s="846"/>
      <c r="C88" s="954"/>
      <c r="D88" s="954"/>
      <c r="E88" s="954"/>
      <c r="F88" s="954"/>
      <c r="G88" s="965">
        <f t="shared" si="45"/>
        <v>1.1542448814618136</v>
      </c>
      <c r="H88" s="965">
        <f t="shared" si="45"/>
        <v>1.9768492238635744</v>
      </c>
      <c r="I88" s="965">
        <f t="shared" si="45"/>
        <v>3.0513064079604812</v>
      </c>
      <c r="J88" s="965">
        <f t="shared" si="45"/>
        <v>4.4333721860819022</v>
      </c>
      <c r="K88" s="965">
        <f t="shared" si="45"/>
        <v>11.420269578407794</v>
      </c>
      <c r="L88" s="965">
        <f t="shared" si="45"/>
        <v>16.867503911424379</v>
      </c>
      <c r="M88" s="965">
        <f t="shared" si="45"/>
        <v>22.582330678590893</v>
      </c>
      <c r="N88" s="965">
        <f t="shared" si="45"/>
        <v>26.841772827016527</v>
      </c>
      <c r="O88" s="965">
        <f t="shared" si="45"/>
        <v>47.719312328606449</v>
      </c>
      <c r="P88" s="965">
        <f t="shared" si="45"/>
        <v>86.075065020251714</v>
      </c>
      <c r="Q88" s="965">
        <f t="shared" si="45"/>
        <v>73.131516746667131</v>
      </c>
      <c r="R88" s="965">
        <f t="shared" si="45"/>
        <v>72.924054535927894</v>
      </c>
      <c r="S88" s="965">
        <f t="shared" si="45"/>
        <v>77.870417236457314</v>
      </c>
      <c r="T88" s="965">
        <f t="shared" si="45"/>
        <v>99.368728558825751</v>
      </c>
      <c r="U88" s="965">
        <f t="shared" si="45"/>
        <v>134.65813664195576</v>
      </c>
      <c r="V88" s="965">
        <f t="shared" si="45"/>
        <v>161.50559065685198</v>
      </c>
      <c r="W88" s="965">
        <f t="shared" si="45"/>
        <v>161.71028481932868</v>
      </c>
      <c r="X88" s="965">
        <f t="shared" si="45"/>
        <v>255.07932186352605</v>
      </c>
      <c r="Y88" s="965">
        <f t="shared" si="45"/>
        <v>341.80022863835751</v>
      </c>
      <c r="Z88" s="965">
        <f t="shared" si="45"/>
        <v>325.46143328467997</v>
      </c>
      <c r="AA88" s="965">
        <f t="shared" si="45"/>
        <v>366.81163691569816</v>
      </c>
      <c r="AB88" s="965">
        <f t="shared" si="45"/>
        <v>435.41611912827983</v>
      </c>
      <c r="AC88" s="965">
        <f t="shared" si="45"/>
        <v>495.6715032920124</v>
      </c>
      <c r="AD88" s="965">
        <f t="shared" si="45"/>
        <v>556.79690388761264</v>
      </c>
      <c r="AE88" s="965">
        <f t="shared" si="45"/>
        <v>618.84691750344462</v>
      </c>
      <c r="AF88" s="965">
        <f t="shared" si="45"/>
        <v>679.47803377276591</v>
      </c>
      <c r="AG88" s="965">
        <f t="shared" si="45"/>
        <v>741.52839326925073</v>
      </c>
      <c r="AH88" s="965">
        <f t="shared" ref="AH88" si="47">AH48+AH68</f>
        <v>804.89163518512191</v>
      </c>
    </row>
    <row r="89" spans="1:34" ht="15">
      <c r="A89" s="904" t="str">
        <f t="shared" si="39"/>
        <v>Poker</v>
      </c>
      <c r="B89" s="846"/>
      <c r="C89" s="954"/>
      <c r="D89" s="954"/>
      <c r="E89" s="954"/>
      <c r="F89" s="954"/>
      <c r="G89" s="965">
        <f t="shared" si="45"/>
        <v>2.9652430800027303</v>
      </c>
      <c r="H89" s="965">
        <f t="shared" si="45"/>
        <v>41.648409470632785</v>
      </c>
      <c r="I89" s="965">
        <f t="shared" si="45"/>
        <v>97.049643820750731</v>
      </c>
      <c r="J89" s="965">
        <f t="shared" si="45"/>
        <v>116.04440777404174</v>
      </c>
      <c r="K89" s="965">
        <f t="shared" si="45"/>
        <v>117.84872158783395</v>
      </c>
      <c r="L89" s="965">
        <f t="shared" si="45"/>
        <v>151.6995975598434</v>
      </c>
      <c r="M89" s="965">
        <f t="shared" si="45"/>
        <v>376.79489090541051</v>
      </c>
      <c r="N89" s="965">
        <f t="shared" si="45"/>
        <v>433.70174083090717</v>
      </c>
      <c r="O89" s="965">
        <f t="shared" si="45"/>
        <v>419.74000944762031</v>
      </c>
      <c r="P89" s="965">
        <f t="shared" si="45"/>
        <v>383.5734583965513</v>
      </c>
      <c r="Q89" s="965">
        <f t="shared" si="45"/>
        <v>256.06323530531057</v>
      </c>
      <c r="R89" s="965">
        <f t="shared" si="45"/>
        <v>208.28654576688314</v>
      </c>
      <c r="S89" s="965">
        <f t="shared" si="45"/>
        <v>213.03467801530712</v>
      </c>
      <c r="T89" s="965">
        <f t="shared" si="45"/>
        <v>208.94120619272189</v>
      </c>
      <c r="U89" s="965">
        <f t="shared" si="45"/>
        <v>169.66216761057689</v>
      </c>
      <c r="V89" s="965">
        <f t="shared" si="45"/>
        <v>161.04197427629947</v>
      </c>
      <c r="W89" s="965">
        <f t="shared" si="45"/>
        <v>150.63839400088915</v>
      </c>
      <c r="X89" s="965">
        <f t="shared" si="45"/>
        <v>224.26515331849498</v>
      </c>
      <c r="Y89" s="965">
        <f t="shared" si="45"/>
        <v>191.10353522</v>
      </c>
      <c r="Z89" s="965">
        <f t="shared" si="45"/>
        <v>182.35976807747195</v>
      </c>
      <c r="AA89" s="965">
        <f t="shared" si="45"/>
        <v>188.73380781079305</v>
      </c>
      <c r="AB89" s="965">
        <f t="shared" si="45"/>
        <v>186.67425390751802</v>
      </c>
      <c r="AC89" s="965">
        <f t="shared" si="45"/>
        <v>188.60034811014444</v>
      </c>
      <c r="AD89" s="965">
        <f t="shared" si="45"/>
        <v>188.91995743657372</v>
      </c>
      <c r="AE89" s="965">
        <f t="shared" si="45"/>
        <v>190.24826678749864</v>
      </c>
      <c r="AF89" s="965">
        <f t="shared" si="45"/>
        <v>192.90571988833972</v>
      </c>
      <c r="AG89" s="965">
        <f t="shared" si="45"/>
        <v>196.40049096973851</v>
      </c>
      <c r="AH89" s="965">
        <f t="shared" ref="AH89" si="48">AH49+AH69</f>
        <v>200.50781938387144</v>
      </c>
    </row>
    <row r="90" spans="1:34" ht="15">
      <c r="A90" s="904" t="str">
        <f t="shared" si="39"/>
        <v>Bingo/Other Gaming</v>
      </c>
      <c r="B90" s="846"/>
      <c r="C90" s="954"/>
      <c r="D90" s="954"/>
      <c r="E90" s="954"/>
      <c r="F90" s="954"/>
      <c r="G90" s="965">
        <f t="shared" si="45"/>
        <v>0.93683730792761677</v>
      </c>
      <c r="H90" s="965">
        <f t="shared" si="45"/>
        <v>3.0191761653237359</v>
      </c>
      <c r="I90" s="965">
        <f t="shared" si="45"/>
        <v>3.9167866783170253</v>
      </c>
      <c r="J90" s="965">
        <f t="shared" si="45"/>
        <v>6.0970979658249238</v>
      </c>
      <c r="K90" s="965">
        <f t="shared" si="45"/>
        <v>10.472493957684677</v>
      </c>
      <c r="L90" s="965">
        <f t="shared" si="45"/>
        <v>13.500580825007614</v>
      </c>
      <c r="M90" s="965">
        <f t="shared" si="45"/>
        <v>16.450889780558072</v>
      </c>
      <c r="N90" s="965">
        <f t="shared" si="45"/>
        <v>73.289952008696019</v>
      </c>
      <c r="O90" s="965">
        <f t="shared" si="45"/>
        <v>78.45849344252818</v>
      </c>
      <c r="P90" s="965">
        <f t="shared" si="45"/>
        <v>57.172042893803884</v>
      </c>
      <c r="Q90" s="965">
        <f t="shared" si="45"/>
        <v>50.620463084932844</v>
      </c>
      <c r="R90" s="965">
        <f t="shared" si="45"/>
        <v>44.590839478252803</v>
      </c>
      <c r="S90" s="965">
        <f t="shared" si="45"/>
        <v>42.660529171446527</v>
      </c>
      <c r="T90" s="965">
        <f t="shared" si="45"/>
        <v>44.591963584079011</v>
      </c>
      <c r="U90" s="965">
        <f t="shared" si="45"/>
        <v>46.530922169992017</v>
      </c>
      <c r="V90" s="965">
        <f t="shared" si="45"/>
        <v>51.09965675481709</v>
      </c>
      <c r="W90" s="965">
        <f t="shared" si="45"/>
        <v>55.509065537536088</v>
      </c>
      <c r="X90" s="965">
        <f t="shared" si="45"/>
        <v>79.128371130786007</v>
      </c>
      <c r="Y90" s="965">
        <f t="shared" si="45"/>
        <v>79.59888776599999</v>
      </c>
      <c r="Z90" s="965">
        <f t="shared" si="45"/>
        <v>76.469459830732788</v>
      </c>
      <c r="AA90" s="965">
        <f t="shared" si="45"/>
        <v>81.223112369104854</v>
      </c>
      <c r="AB90" s="965">
        <f t="shared" si="45"/>
        <v>85.355926050532332</v>
      </c>
      <c r="AC90" s="965">
        <f t="shared" si="45"/>
        <v>84.848374569154473</v>
      </c>
      <c r="AD90" s="965">
        <f t="shared" si="45"/>
        <v>92.590730273061681</v>
      </c>
      <c r="AE90" s="965">
        <f t="shared" si="45"/>
        <v>100.27322002956072</v>
      </c>
      <c r="AF90" s="965">
        <f t="shared" si="45"/>
        <v>108.21745424857173</v>
      </c>
      <c r="AG90" s="965">
        <f t="shared" si="45"/>
        <v>116.33018234007876</v>
      </c>
      <c r="AH90" s="965">
        <f t="shared" ref="AH90" si="49">AH50+AH70</f>
        <v>124.57774238607026</v>
      </c>
    </row>
    <row r="91" spans="1:34">
      <c r="A91" s="955" t="s">
        <v>921</v>
      </c>
      <c r="B91" s="956"/>
      <c r="C91" s="957"/>
      <c r="D91" s="957"/>
      <c r="E91" s="957"/>
      <c r="F91" s="957"/>
      <c r="G91" s="957">
        <f>SUM(G86:G90)</f>
        <v>19.657281527326969</v>
      </c>
      <c r="H91" s="957">
        <f t="shared" ref="H91:AG91" si="50">SUM(H86:H90)</f>
        <v>70.651386864529613</v>
      </c>
      <c r="I91" s="957">
        <f t="shared" si="50"/>
        <v>139.45380718554227</v>
      </c>
      <c r="J91" s="957">
        <f t="shared" si="50"/>
        <v>175.61950053052902</v>
      </c>
      <c r="K91" s="957">
        <f t="shared" si="50"/>
        <v>259.6160561243903</v>
      </c>
      <c r="L91" s="957">
        <f t="shared" si="50"/>
        <v>349.40578465718858</v>
      </c>
      <c r="M91" s="957">
        <f t="shared" si="50"/>
        <v>626.74797268146824</v>
      </c>
      <c r="N91" s="957">
        <f t="shared" si="50"/>
        <v>768.95581020032932</v>
      </c>
      <c r="O91" s="957">
        <f t="shared" si="50"/>
        <v>829.17344412683747</v>
      </c>
      <c r="P91" s="957">
        <f t="shared" si="50"/>
        <v>834.57984617977411</v>
      </c>
      <c r="Q91" s="957">
        <f t="shared" si="50"/>
        <v>775.3911751571128</v>
      </c>
      <c r="R91" s="957">
        <f t="shared" si="50"/>
        <v>704.97917063109412</v>
      </c>
      <c r="S91" s="957">
        <f t="shared" si="50"/>
        <v>700.62328232420873</v>
      </c>
      <c r="T91" s="957">
        <f t="shared" si="50"/>
        <v>775.45916977680088</v>
      </c>
      <c r="U91" s="957">
        <f t="shared" si="50"/>
        <v>903.51807956266862</v>
      </c>
      <c r="V91" s="957">
        <f t="shared" si="50"/>
        <v>1032.0652744345393</v>
      </c>
      <c r="W91" s="957">
        <f t="shared" si="50"/>
        <v>1140.8420429018124</v>
      </c>
      <c r="X91" s="957">
        <f t="shared" si="50"/>
        <v>1621.3344593676993</v>
      </c>
      <c r="Y91" s="957">
        <f t="shared" si="50"/>
        <v>2143.4346865393632</v>
      </c>
      <c r="Z91" s="957">
        <f t="shared" si="50"/>
        <v>2369.1542232197421</v>
      </c>
      <c r="AA91" s="957">
        <f t="shared" si="50"/>
        <v>2733.7254809027681</v>
      </c>
      <c r="AB91" s="957">
        <f t="shared" si="50"/>
        <v>3146.7855897195477</v>
      </c>
      <c r="AC91" s="957">
        <f t="shared" si="50"/>
        <v>3496.3561016985818</v>
      </c>
      <c r="AD91" s="957">
        <f t="shared" si="50"/>
        <v>3849.8591831538401</v>
      </c>
      <c r="AE91" s="957">
        <f t="shared" si="50"/>
        <v>4199.4938489090782</v>
      </c>
      <c r="AF91" s="957">
        <f t="shared" si="50"/>
        <v>4560.2179839138644</v>
      </c>
      <c r="AG91" s="957">
        <f t="shared" si="50"/>
        <v>4925.7687726813747</v>
      </c>
      <c r="AH91" s="957">
        <f t="shared" ref="AH91" si="51">SUM(AH86:AH90)</f>
        <v>5295.7126237151297</v>
      </c>
    </row>
    <row r="92" spans="1:34" ht="15">
      <c r="A92" s="904" t="str">
        <f t="shared" si="39"/>
        <v>Draw Lottery</v>
      </c>
      <c r="B92" s="846"/>
      <c r="C92" s="954"/>
      <c r="D92" s="954"/>
      <c r="E92" s="954"/>
      <c r="F92" s="954"/>
      <c r="G92" s="965">
        <f t="shared" ref="G92:AG94" si="52">G52+G72</f>
        <v>0</v>
      </c>
      <c r="H92" s="965">
        <f t="shared" si="52"/>
        <v>0</v>
      </c>
      <c r="I92" s="965">
        <f t="shared" si="52"/>
        <v>0</v>
      </c>
      <c r="J92" s="965">
        <f t="shared" si="52"/>
        <v>0</v>
      </c>
      <c r="K92" s="965">
        <f t="shared" si="52"/>
        <v>0</v>
      </c>
      <c r="L92" s="965">
        <f t="shared" si="52"/>
        <v>0</v>
      </c>
      <c r="M92" s="965">
        <f t="shared" si="52"/>
        <v>3.8088797412717925</v>
      </c>
      <c r="N92" s="965">
        <f t="shared" si="52"/>
        <v>10.569165</v>
      </c>
      <c r="O92" s="965">
        <f t="shared" si="52"/>
        <v>7.5885309999999997</v>
      </c>
      <c r="P92" s="965">
        <f t="shared" si="52"/>
        <v>7</v>
      </c>
      <c r="Q92" s="965">
        <f t="shared" si="52"/>
        <v>10</v>
      </c>
      <c r="R92" s="965">
        <f t="shared" si="52"/>
        <v>13</v>
      </c>
      <c r="S92" s="965">
        <f t="shared" si="52"/>
        <v>16</v>
      </c>
      <c r="T92" s="965">
        <f t="shared" si="52"/>
        <v>26</v>
      </c>
      <c r="U92" s="965">
        <f t="shared" si="52"/>
        <v>32.899999999999977</v>
      </c>
      <c r="V92" s="965">
        <f t="shared" si="52"/>
        <v>42.629999999999995</v>
      </c>
      <c r="W92" s="965">
        <f t="shared" si="52"/>
        <v>50.9</v>
      </c>
      <c r="X92" s="965">
        <f t="shared" si="52"/>
        <v>65.58</v>
      </c>
      <c r="Y92" s="965">
        <f t="shared" si="52"/>
        <v>79.709999999999994</v>
      </c>
      <c r="Z92" s="965">
        <f t="shared" si="52"/>
        <v>99.87</v>
      </c>
      <c r="AA92" s="965">
        <f t="shared" si="52"/>
        <v>83.380185885598195</v>
      </c>
      <c r="AB92" s="965">
        <f t="shared" si="52"/>
        <v>105.75206724108511</v>
      </c>
      <c r="AC92" s="965">
        <f t="shared" si="52"/>
        <v>113.01608998210131</v>
      </c>
      <c r="AD92" s="965">
        <f t="shared" si="52"/>
        <v>121.00261489509805</v>
      </c>
      <c r="AE92" s="965">
        <f t="shared" si="52"/>
        <v>130.57622163399262</v>
      </c>
      <c r="AF92" s="965">
        <f t="shared" si="52"/>
        <v>140.79364527515622</v>
      </c>
      <c r="AG92" s="965">
        <f t="shared" si="52"/>
        <v>152.1654753876241</v>
      </c>
      <c r="AH92" s="965">
        <f t="shared" ref="AH92" si="53">AH52+AH72</f>
        <v>164.94884294669504</v>
      </c>
    </row>
    <row r="93" spans="1:34" ht="15">
      <c r="A93" s="904" t="str">
        <f t="shared" si="39"/>
        <v>Instant Lottery</v>
      </c>
      <c r="B93" s="846"/>
      <c r="C93" s="954"/>
      <c r="D93" s="954"/>
      <c r="E93" s="954"/>
      <c r="F93" s="954"/>
      <c r="G93" s="965">
        <f t="shared" si="52"/>
        <v>0</v>
      </c>
      <c r="H93" s="965">
        <f t="shared" si="52"/>
        <v>0</v>
      </c>
      <c r="I93" s="965">
        <f t="shared" si="52"/>
        <v>0</v>
      </c>
      <c r="J93" s="965">
        <f t="shared" si="52"/>
        <v>0</v>
      </c>
      <c r="K93" s="965">
        <f t="shared" si="52"/>
        <v>0</v>
      </c>
      <c r="L93" s="965">
        <f t="shared" si="52"/>
        <v>0</v>
      </c>
      <c r="M93" s="965">
        <f t="shared" si="52"/>
        <v>0</v>
      </c>
      <c r="N93" s="965">
        <f t="shared" si="52"/>
        <v>0</v>
      </c>
      <c r="O93" s="965">
        <f t="shared" si="52"/>
        <v>0</v>
      </c>
      <c r="P93" s="965">
        <f t="shared" si="52"/>
        <v>6</v>
      </c>
      <c r="Q93" s="965">
        <f t="shared" si="52"/>
        <v>3</v>
      </c>
      <c r="R93" s="965">
        <f t="shared" si="52"/>
        <v>4</v>
      </c>
      <c r="S93" s="965">
        <f t="shared" si="52"/>
        <v>2</v>
      </c>
      <c r="T93" s="965">
        <f t="shared" si="52"/>
        <v>4</v>
      </c>
      <c r="U93" s="965">
        <f t="shared" si="52"/>
        <v>5</v>
      </c>
      <c r="V93" s="965">
        <f t="shared" si="52"/>
        <v>6.16</v>
      </c>
      <c r="W93" s="965">
        <f t="shared" si="52"/>
        <v>7.21</v>
      </c>
      <c r="X93" s="965">
        <f t="shared" si="52"/>
        <v>11.36</v>
      </c>
      <c r="Y93" s="965">
        <f t="shared" si="52"/>
        <v>16.77</v>
      </c>
      <c r="Z93" s="965">
        <f t="shared" si="52"/>
        <v>20.91</v>
      </c>
      <c r="AA93" s="965">
        <f t="shared" si="52"/>
        <v>26.931590247019926</v>
      </c>
      <c r="AB93" s="965">
        <f t="shared" si="52"/>
        <v>33.427597381399835</v>
      </c>
      <c r="AC93" s="965">
        <f t="shared" si="52"/>
        <v>41.033710098320341</v>
      </c>
      <c r="AD93" s="965">
        <f t="shared" si="52"/>
        <v>50.517266484521919</v>
      </c>
      <c r="AE93" s="965">
        <f t="shared" si="52"/>
        <v>62.011525801300301</v>
      </c>
      <c r="AF93" s="965">
        <f t="shared" si="52"/>
        <v>76.149588531159964</v>
      </c>
      <c r="AG93" s="965">
        <f t="shared" si="52"/>
        <v>93.465100055038704</v>
      </c>
      <c r="AH93" s="965">
        <f t="shared" ref="AH93" si="54">AH53+AH73</f>
        <v>114.64163655905257</v>
      </c>
    </row>
    <row r="94" spans="1:34" ht="15">
      <c r="A94" s="904" t="str">
        <f t="shared" si="39"/>
        <v>Other Lottery</v>
      </c>
      <c r="B94" s="846"/>
      <c r="C94" s="954"/>
      <c r="D94" s="954"/>
      <c r="E94" s="954"/>
      <c r="F94" s="954"/>
      <c r="G94" s="965">
        <f t="shared" si="52"/>
        <v>0</v>
      </c>
      <c r="H94" s="965">
        <f t="shared" si="52"/>
        <v>0</v>
      </c>
      <c r="I94" s="965">
        <f t="shared" si="52"/>
        <v>0</v>
      </c>
      <c r="J94" s="965">
        <f t="shared" si="52"/>
        <v>0</v>
      </c>
      <c r="K94" s="965">
        <f t="shared" si="52"/>
        <v>0</v>
      </c>
      <c r="L94" s="965">
        <f t="shared" si="52"/>
        <v>0</v>
      </c>
      <c r="M94" s="965">
        <f t="shared" si="52"/>
        <v>0</v>
      </c>
      <c r="N94" s="965">
        <f t="shared" si="52"/>
        <v>0</v>
      </c>
      <c r="O94" s="965">
        <f t="shared" si="52"/>
        <v>0</v>
      </c>
      <c r="P94" s="965">
        <f t="shared" si="52"/>
        <v>0</v>
      </c>
      <c r="Q94" s="965">
        <f t="shared" si="52"/>
        <v>0</v>
      </c>
      <c r="R94" s="965">
        <f t="shared" si="52"/>
        <v>0</v>
      </c>
      <c r="S94" s="965">
        <f t="shared" si="52"/>
        <v>0</v>
      </c>
      <c r="T94" s="965">
        <f t="shared" si="52"/>
        <v>0</v>
      </c>
      <c r="U94" s="965">
        <f t="shared" si="52"/>
        <v>0</v>
      </c>
      <c r="V94" s="965">
        <f t="shared" si="52"/>
        <v>0</v>
      </c>
      <c r="W94" s="965">
        <f t="shared" si="52"/>
        <v>0</v>
      </c>
      <c r="X94" s="965">
        <f t="shared" si="52"/>
        <v>0</v>
      </c>
      <c r="Y94" s="965">
        <f t="shared" si="52"/>
        <v>0</v>
      </c>
      <c r="Z94" s="965">
        <f t="shared" si="52"/>
        <v>0</v>
      </c>
      <c r="AA94" s="965">
        <f t="shared" si="52"/>
        <v>0</v>
      </c>
      <c r="AB94" s="965">
        <f t="shared" si="52"/>
        <v>0</v>
      </c>
      <c r="AC94" s="965">
        <f t="shared" si="52"/>
        <v>0</v>
      </c>
      <c r="AD94" s="965">
        <f t="shared" si="52"/>
        <v>0</v>
      </c>
      <c r="AE94" s="965">
        <f t="shared" si="52"/>
        <v>0</v>
      </c>
      <c r="AF94" s="965">
        <f t="shared" si="52"/>
        <v>0</v>
      </c>
      <c r="AG94" s="965">
        <f t="shared" si="52"/>
        <v>0</v>
      </c>
      <c r="AH94" s="965">
        <f t="shared" ref="AH94" si="55">AH54+AH74</f>
        <v>0</v>
      </c>
    </row>
    <row r="95" spans="1:34">
      <c r="A95" s="955" t="s">
        <v>922</v>
      </c>
      <c r="B95" s="956"/>
      <c r="C95" s="957"/>
      <c r="D95" s="957"/>
      <c r="E95" s="957"/>
      <c r="F95" s="957"/>
      <c r="G95" s="957">
        <f>SUM(G92:G94)</f>
        <v>0</v>
      </c>
      <c r="H95" s="957">
        <f t="shared" ref="H95:AG95" si="56">SUM(H92:H94)</f>
        <v>0</v>
      </c>
      <c r="I95" s="957">
        <f t="shared" si="56"/>
        <v>0</v>
      </c>
      <c r="J95" s="957">
        <f t="shared" si="56"/>
        <v>0</v>
      </c>
      <c r="K95" s="957">
        <f t="shared" si="56"/>
        <v>0</v>
      </c>
      <c r="L95" s="957">
        <f t="shared" si="56"/>
        <v>0</v>
      </c>
      <c r="M95" s="957">
        <f t="shared" si="56"/>
        <v>3.8088797412717925</v>
      </c>
      <c r="N95" s="957">
        <f t="shared" si="56"/>
        <v>10.569165</v>
      </c>
      <c r="O95" s="957">
        <f t="shared" si="56"/>
        <v>7.5885309999999997</v>
      </c>
      <c r="P95" s="957">
        <f t="shared" si="56"/>
        <v>13</v>
      </c>
      <c r="Q95" s="957">
        <f t="shared" si="56"/>
        <v>13</v>
      </c>
      <c r="R95" s="957">
        <f t="shared" si="56"/>
        <v>17</v>
      </c>
      <c r="S95" s="957">
        <f t="shared" si="56"/>
        <v>18</v>
      </c>
      <c r="T95" s="957">
        <f t="shared" si="56"/>
        <v>30</v>
      </c>
      <c r="U95" s="957">
        <f t="shared" si="56"/>
        <v>37.899999999999977</v>
      </c>
      <c r="V95" s="957">
        <f t="shared" si="56"/>
        <v>48.789999999999992</v>
      </c>
      <c r="W95" s="957">
        <f t="shared" si="56"/>
        <v>58.11</v>
      </c>
      <c r="X95" s="957">
        <f t="shared" si="56"/>
        <v>76.94</v>
      </c>
      <c r="Y95" s="957">
        <f t="shared" si="56"/>
        <v>96.47999999999999</v>
      </c>
      <c r="Z95" s="957">
        <f t="shared" si="56"/>
        <v>120.78</v>
      </c>
      <c r="AA95" s="957">
        <f t="shared" si="56"/>
        <v>110.31177613261812</v>
      </c>
      <c r="AB95" s="957">
        <f t="shared" si="56"/>
        <v>139.17966462248495</v>
      </c>
      <c r="AC95" s="957">
        <f t="shared" si="56"/>
        <v>154.04980008042165</v>
      </c>
      <c r="AD95" s="957">
        <f t="shared" si="56"/>
        <v>171.51988137961996</v>
      </c>
      <c r="AE95" s="957">
        <f t="shared" si="56"/>
        <v>192.58774743529293</v>
      </c>
      <c r="AF95" s="957">
        <f t="shared" si="56"/>
        <v>216.94323380631619</v>
      </c>
      <c r="AG95" s="957">
        <f t="shared" si="56"/>
        <v>245.6305754426628</v>
      </c>
      <c r="AH95" s="957">
        <f t="shared" ref="AH95" si="57">SUM(AH92:AH94)</f>
        <v>279.59047950574762</v>
      </c>
    </row>
    <row r="96" spans="1:34" ht="15">
      <c r="A96" s="904"/>
      <c r="B96" s="846"/>
      <c r="C96" s="954"/>
      <c r="D96" s="954"/>
      <c r="E96" s="954"/>
      <c r="F96" s="954"/>
      <c r="G96" s="965"/>
      <c r="H96" s="965"/>
      <c r="I96" s="965"/>
      <c r="J96" s="965"/>
      <c r="K96" s="965"/>
      <c r="L96" s="965"/>
      <c r="M96" s="965"/>
      <c r="N96" s="965"/>
      <c r="O96" s="965"/>
      <c r="P96" s="965"/>
      <c r="Q96" s="965"/>
      <c r="R96" s="965"/>
      <c r="S96" s="965"/>
      <c r="T96" s="965"/>
      <c r="U96" s="965"/>
      <c r="V96" s="965"/>
      <c r="W96" s="965"/>
      <c r="X96" s="965"/>
      <c r="Y96" s="965"/>
      <c r="Z96" s="965"/>
      <c r="AA96" s="965"/>
      <c r="AB96" s="965"/>
      <c r="AC96" s="965"/>
      <c r="AD96" s="965"/>
      <c r="AE96" s="965"/>
      <c r="AF96" s="965"/>
      <c r="AG96" s="965"/>
      <c r="AH96" s="965"/>
    </row>
    <row r="97" spans="1:34">
      <c r="A97" s="966" t="s">
        <v>923</v>
      </c>
      <c r="B97" s="967"/>
      <c r="C97" s="967"/>
      <c r="D97" s="967"/>
      <c r="E97" s="967"/>
      <c r="F97" s="967"/>
      <c r="G97" s="967">
        <f>G85+G91+G95</f>
        <v>77.06520563446982</v>
      </c>
      <c r="H97" s="967">
        <f t="shared" ref="H97:AG97" si="58">H85+H91+H95</f>
        <v>138.71087708233318</v>
      </c>
      <c r="I97" s="967">
        <f t="shared" si="58"/>
        <v>230.70176899108978</v>
      </c>
      <c r="J97" s="967">
        <f t="shared" si="58"/>
        <v>281.38891317035564</v>
      </c>
      <c r="K97" s="967">
        <f t="shared" si="58"/>
        <v>433.47753117759538</v>
      </c>
      <c r="L97" s="967">
        <f t="shared" si="58"/>
        <v>569.77928418105569</v>
      </c>
      <c r="M97" s="967">
        <f t="shared" si="58"/>
        <v>869.9444952387305</v>
      </c>
      <c r="N97" s="967">
        <f t="shared" si="58"/>
        <v>1059.0267853897008</v>
      </c>
      <c r="O97" s="967">
        <f t="shared" si="58"/>
        <v>1103.2732168584084</v>
      </c>
      <c r="P97" s="967">
        <f t="shared" si="58"/>
        <v>1068.7400584929817</v>
      </c>
      <c r="Q97" s="967">
        <f t="shared" si="58"/>
        <v>1041.1057958853457</v>
      </c>
      <c r="R97" s="967">
        <f t="shared" si="58"/>
        <v>1011.5285372610253</v>
      </c>
      <c r="S97" s="967">
        <f t="shared" si="58"/>
        <v>1062.6796285496373</v>
      </c>
      <c r="T97" s="967">
        <f t="shared" si="58"/>
        <v>1238.7943980434561</v>
      </c>
      <c r="U97" s="967">
        <f t="shared" si="58"/>
        <v>1579.6337632665777</v>
      </c>
      <c r="V97" s="967">
        <f t="shared" si="58"/>
        <v>1822.1099565297127</v>
      </c>
      <c r="W97" s="967">
        <f t="shared" si="58"/>
        <v>2037.4150253709572</v>
      </c>
      <c r="X97" s="967">
        <f t="shared" si="58"/>
        <v>2844.4488745771264</v>
      </c>
      <c r="Y97" s="967">
        <f t="shared" si="58"/>
        <v>3885.9275747529882</v>
      </c>
      <c r="Z97" s="967">
        <f t="shared" si="58"/>
        <v>4044.676750276089</v>
      </c>
      <c r="AA97" s="967">
        <f t="shared" si="58"/>
        <v>4557.3625539731102</v>
      </c>
      <c r="AB97" s="967">
        <f t="shared" si="58"/>
        <v>5184.8375378096771</v>
      </c>
      <c r="AC97" s="967">
        <f t="shared" si="58"/>
        <v>5778.8179282172405</v>
      </c>
      <c r="AD97" s="967">
        <f t="shared" si="58"/>
        <v>6430.8382557089517</v>
      </c>
      <c r="AE97" s="967">
        <f t="shared" si="58"/>
        <v>7046.5150662965134</v>
      </c>
      <c r="AF97" s="967">
        <f t="shared" si="58"/>
        <v>7697.1763388373802</v>
      </c>
      <c r="AG97" s="967">
        <f t="shared" si="58"/>
        <v>8376.3135382508226</v>
      </c>
      <c r="AH97" s="967">
        <f t="shared" ref="AH97" si="59">AH85+AH91+AH95</f>
        <v>8986.5514009434919</v>
      </c>
    </row>
    <row r="98" spans="1:34" ht="15">
      <c r="A98" s="904"/>
      <c r="B98" s="846"/>
      <c r="C98" s="954"/>
      <c r="D98" s="954"/>
      <c r="E98" s="954"/>
      <c r="F98" s="954"/>
      <c r="G98" s="965"/>
      <c r="H98" s="965"/>
      <c r="I98" s="965"/>
      <c r="J98" s="965"/>
      <c r="K98" s="965"/>
      <c r="L98" s="965"/>
      <c r="M98" s="965"/>
      <c r="N98" s="965"/>
      <c r="O98" s="965"/>
      <c r="P98" s="965"/>
      <c r="Q98" s="965"/>
      <c r="R98" s="965"/>
      <c r="S98" s="965"/>
      <c r="T98" s="965"/>
      <c r="U98" s="965"/>
      <c r="V98" s="965"/>
      <c r="W98" s="965"/>
      <c r="X98" s="965"/>
      <c r="Y98" s="965"/>
      <c r="Z98" s="965"/>
      <c r="AA98" s="965"/>
      <c r="AB98" s="965"/>
      <c r="AC98" s="965"/>
      <c r="AD98" s="965"/>
      <c r="AE98" s="965"/>
      <c r="AF98" s="965"/>
      <c r="AG98" s="965"/>
      <c r="AH98" s="965"/>
    </row>
    <row r="99" spans="1:34" ht="15">
      <c r="A99" s="904" t="s">
        <v>924</v>
      </c>
      <c r="B99" s="846"/>
      <c r="C99" s="954"/>
      <c r="D99" s="954"/>
      <c r="E99" s="954"/>
      <c r="F99" s="954"/>
      <c r="G99" s="965">
        <f>ROUND(G97-SUM(Summary!G77:G96),0)</f>
        <v>0</v>
      </c>
      <c r="H99" s="965">
        <f>ROUND(H97-SUM(Summary!H77:H96),0)</f>
        <v>0</v>
      </c>
      <c r="I99" s="965">
        <f>ROUND(I97-SUM(Summary!I77:I96),0)</f>
        <v>0</v>
      </c>
      <c r="J99" s="965">
        <f>ROUND(J97-SUM(Summary!J77:J96),0)</f>
        <v>0</v>
      </c>
      <c r="K99" s="965">
        <f>ROUND(K97-SUM(Summary!K77:K96),0)</f>
        <v>0</v>
      </c>
      <c r="L99" s="965">
        <f>ROUND(L97-SUM(Summary!L77:L96),0)</f>
        <v>0</v>
      </c>
      <c r="M99" s="965">
        <f>ROUND(M97-SUM(Summary!M77:M96),0)</f>
        <v>0</v>
      </c>
      <c r="N99" s="965">
        <f>ROUND(N97-SUM(Summary!N77:N96),0)</f>
        <v>0</v>
      </c>
      <c r="O99" s="965">
        <f>ROUND(O97-SUM(Summary!O77:O96),0)</f>
        <v>0</v>
      </c>
      <c r="P99" s="965">
        <f>ROUND(P97-SUM(Summary!P77:P96),0)</f>
        <v>0</v>
      </c>
      <c r="Q99" s="965">
        <f>ROUND(Q97-SUM(Summary!Q77:Q96),0)</f>
        <v>0</v>
      </c>
      <c r="R99" s="965">
        <f>ROUND(R97-SUM(Summary!R77:R96),0)</f>
        <v>0</v>
      </c>
      <c r="S99" s="965">
        <f>ROUND(S97-SUM(Summary!S77:S96),0)</f>
        <v>0</v>
      </c>
      <c r="T99" s="965">
        <f>ROUND(T97-SUM(Summary!T77:T96),0)</f>
        <v>0</v>
      </c>
      <c r="U99" s="965">
        <f>ROUND(U97-SUM(Summary!U77:U96),0)</f>
        <v>0</v>
      </c>
      <c r="V99" s="965">
        <f>ROUND(V97-SUM(Summary!V77:V96),0)</f>
        <v>0</v>
      </c>
      <c r="W99" s="965">
        <f>ROUND(W97-SUM(Summary!W77:W96),0)</f>
        <v>0</v>
      </c>
      <c r="X99" s="965">
        <f>ROUND(X97-SUM(Summary!X77:X96),0)</f>
        <v>0</v>
      </c>
      <c r="Y99" s="965">
        <f>ROUND(Y97-SUM(Summary!Y77:Y96),0)</f>
        <v>0</v>
      </c>
      <c r="Z99" s="965">
        <f>ROUND(Z97-SUM(Summary!Z77:Z96),0)</f>
        <v>0</v>
      </c>
      <c r="AA99" s="965">
        <f>ROUND(AA97-SUM(Summary!AA77:AA96),0)</f>
        <v>0</v>
      </c>
      <c r="AB99" s="965">
        <f>ROUND(AB97-SUM(Summary!AB77:AB96),0)</f>
        <v>0</v>
      </c>
      <c r="AC99" s="965">
        <f>ROUND(AC97-SUM(Summary!AC77:AC96),0)</f>
        <v>0</v>
      </c>
      <c r="AD99" s="965">
        <f>ROUND(AD97-SUM(Summary!AD77:AD96),0)</f>
        <v>0</v>
      </c>
      <c r="AE99" s="965">
        <f>ROUND(AE97-SUM(Summary!AE77:AE96),0)</f>
        <v>0</v>
      </c>
      <c r="AF99" s="965">
        <f>ROUND(AF97-SUM(Summary!AF77:AF96),0)</f>
        <v>0</v>
      </c>
      <c r="AG99" s="965">
        <f>ROUND(AG97-SUM(Summary!AG77:AG96),0)</f>
        <v>0</v>
      </c>
      <c r="AH99" s="965">
        <f>ROUND(AH97-SUM(Summary!AH77:AH96),0)</f>
        <v>0</v>
      </c>
    </row>
    <row r="100" spans="1:34" ht="15">
      <c r="A100" s="904"/>
      <c r="B100" s="846"/>
      <c r="C100" s="954"/>
      <c r="D100" s="954"/>
      <c r="E100" s="954"/>
      <c r="F100" s="954"/>
      <c r="G100" s="965"/>
      <c r="H100" s="965"/>
      <c r="I100" s="965"/>
      <c r="J100" s="965"/>
      <c r="K100" s="965"/>
      <c r="L100" s="965"/>
      <c r="M100" s="965"/>
      <c r="N100" s="965"/>
      <c r="O100" s="965"/>
      <c r="P100" s="965"/>
      <c r="Q100" s="965"/>
      <c r="R100" s="965"/>
      <c r="S100" s="965"/>
      <c r="T100" s="965"/>
      <c r="U100" s="965"/>
      <c r="V100" s="965"/>
      <c r="W100" s="965"/>
      <c r="X100" s="965"/>
      <c r="Y100" s="965"/>
      <c r="Z100" s="965"/>
      <c r="AA100" s="965"/>
      <c r="AB100" s="965"/>
      <c r="AC100" s="965"/>
      <c r="AD100" s="965"/>
      <c r="AE100" s="965"/>
      <c r="AF100" s="965"/>
      <c r="AG100" s="965"/>
      <c r="AH100" s="965"/>
    </row>
    <row r="101" spans="1:34" ht="15">
      <c r="A101" s="904"/>
      <c r="B101" s="846"/>
      <c r="C101" s="954"/>
      <c r="D101" s="954"/>
      <c r="E101" s="954"/>
      <c r="F101" s="954"/>
      <c r="G101" s="965"/>
      <c r="H101" s="965"/>
      <c r="I101" s="965"/>
      <c r="J101" s="965"/>
      <c r="K101" s="965"/>
      <c r="L101" s="965"/>
      <c r="M101" s="965"/>
      <c r="N101" s="965"/>
      <c r="O101" s="965"/>
      <c r="P101" s="965"/>
      <c r="Q101" s="965"/>
      <c r="R101" s="965"/>
      <c r="S101" s="965"/>
      <c r="T101" s="965"/>
      <c r="U101" s="965"/>
      <c r="V101" s="965"/>
      <c r="W101" s="965"/>
      <c r="X101" s="965"/>
      <c r="Y101" s="965"/>
      <c r="Z101" s="965"/>
      <c r="AA101" s="965"/>
      <c r="AB101" s="965"/>
      <c r="AC101" s="965"/>
      <c r="AD101" s="965"/>
      <c r="AE101" s="965"/>
      <c r="AF101" s="965"/>
      <c r="AG101" s="965"/>
      <c r="AH101" s="965"/>
    </row>
    <row r="102" spans="1:34" ht="15">
      <c r="A102" s="904"/>
      <c r="B102" s="846"/>
      <c r="C102" s="954"/>
      <c r="D102" s="954"/>
      <c r="E102" s="954"/>
      <c r="F102" s="954"/>
      <c r="G102" s="965"/>
      <c r="H102" s="965"/>
      <c r="I102" s="965"/>
      <c r="J102" s="965"/>
      <c r="K102" s="965"/>
      <c r="L102" s="965"/>
      <c r="M102" s="965"/>
      <c r="N102" s="965"/>
      <c r="O102" s="965"/>
      <c r="P102" s="965"/>
      <c r="Q102" s="965"/>
      <c r="R102" s="965"/>
      <c r="S102" s="965"/>
      <c r="T102" s="965"/>
      <c r="U102" s="965"/>
      <c r="V102" s="965"/>
      <c r="W102" s="965"/>
      <c r="X102" s="965"/>
      <c r="Y102" s="965"/>
      <c r="Z102" s="965"/>
      <c r="AA102" s="965"/>
      <c r="AB102" s="965"/>
      <c r="AC102" s="965"/>
      <c r="AD102" s="965"/>
      <c r="AE102" s="965"/>
      <c r="AF102" s="965"/>
      <c r="AG102" s="965"/>
      <c r="AH102" s="965"/>
    </row>
    <row r="103" spans="1:34" ht="16" thickBot="1">
      <c r="A103" s="904"/>
      <c r="B103" s="846"/>
      <c r="C103" s="954"/>
      <c r="D103" s="954"/>
      <c r="E103" s="954"/>
      <c r="F103" s="954"/>
      <c r="G103" s="965"/>
      <c r="H103" s="965"/>
      <c r="I103" s="965"/>
      <c r="J103" s="965"/>
      <c r="K103" s="965"/>
      <c r="L103" s="965"/>
      <c r="M103" s="965"/>
      <c r="N103" s="965"/>
      <c r="O103" s="965"/>
      <c r="P103" s="965"/>
      <c r="Q103" s="965"/>
      <c r="R103" s="965"/>
      <c r="S103" s="965"/>
      <c r="T103" s="965"/>
      <c r="U103" s="965"/>
      <c r="V103" s="965"/>
      <c r="W103" s="965"/>
      <c r="X103" s="965"/>
      <c r="Y103" s="965"/>
      <c r="Z103" s="965"/>
      <c r="AA103" s="965"/>
      <c r="AB103" s="965"/>
      <c r="AC103" s="965"/>
      <c r="AD103" s="965"/>
      <c r="AE103" s="965"/>
      <c r="AF103" s="965"/>
      <c r="AG103" s="965"/>
      <c r="AH103" s="965"/>
    </row>
    <row r="104" spans="1:34">
      <c r="A104" s="950" t="str">
        <f>"Online Mobile " &amp; A17</f>
        <v>Online Mobile EUR (m)</v>
      </c>
      <c r="B104" s="951">
        <v>1998</v>
      </c>
      <c r="C104" s="951">
        <v>1999</v>
      </c>
      <c r="D104" s="951">
        <v>2000</v>
      </c>
      <c r="E104" s="951">
        <v>2001</v>
      </c>
      <c r="F104" s="951">
        <v>2002</v>
      </c>
      <c r="G104" s="951">
        <f>Summary!G$16</f>
        <v>2003</v>
      </c>
      <c r="H104" s="951">
        <f>Summary!H$16</f>
        <v>2004</v>
      </c>
      <c r="I104" s="951">
        <f>Summary!I$16</f>
        <v>2005</v>
      </c>
      <c r="J104" s="951">
        <f>Summary!J$16</f>
        <v>2006</v>
      </c>
      <c r="K104" s="951">
        <f>Summary!K$16</f>
        <v>2007</v>
      </c>
      <c r="L104" s="951">
        <f>Summary!L$16</f>
        <v>2008</v>
      </c>
      <c r="M104" s="951">
        <f>Summary!M$16</f>
        <v>2009</v>
      </c>
      <c r="N104" s="951">
        <f>Summary!N$16</f>
        <v>2010</v>
      </c>
      <c r="O104" s="951">
        <f>Summary!O$16</f>
        <v>2011</v>
      </c>
      <c r="P104" s="951">
        <f>Summary!P$16</f>
        <v>2012</v>
      </c>
      <c r="Q104" s="951">
        <f>Summary!Q$16</f>
        <v>2013</v>
      </c>
      <c r="R104" s="951">
        <f>Summary!R$16</f>
        <v>2014</v>
      </c>
      <c r="S104" s="951">
        <f>Summary!S$16</f>
        <v>2015</v>
      </c>
      <c r="T104" s="951">
        <f>Summary!T$16</f>
        <v>2016</v>
      </c>
      <c r="U104" s="951">
        <f>Summary!U$16</f>
        <v>2017</v>
      </c>
      <c r="V104" s="951">
        <f>Summary!V$16</f>
        <v>2018</v>
      </c>
      <c r="W104" s="951">
        <f>Summary!W$16</f>
        <v>2019</v>
      </c>
      <c r="X104" s="951">
        <f>Summary!X$16</f>
        <v>2020</v>
      </c>
      <c r="Y104" s="951">
        <f>Summary!Y$16</f>
        <v>2021</v>
      </c>
      <c r="Z104" s="951">
        <f>Summary!Z$16</f>
        <v>2022</v>
      </c>
      <c r="AA104" s="951">
        <f>Summary!AA$16</f>
        <v>2023</v>
      </c>
      <c r="AB104" s="951">
        <f>Summary!AB$16</f>
        <v>2024</v>
      </c>
      <c r="AC104" s="951">
        <f>Summary!AC$16</f>
        <v>2025</v>
      </c>
      <c r="AD104" s="951">
        <f>Summary!AD$16</f>
        <v>2026</v>
      </c>
      <c r="AE104" s="951">
        <f>Summary!AE$16</f>
        <v>2027</v>
      </c>
      <c r="AF104" s="951">
        <f>Summary!AF$16</f>
        <v>2028</v>
      </c>
      <c r="AG104" s="951">
        <f>Summary!AG$16</f>
        <v>2029</v>
      </c>
      <c r="AH104" s="951">
        <f>Summary!AH$16</f>
        <v>2030</v>
      </c>
    </row>
    <row r="105" spans="1:34" ht="17" customHeight="1">
      <c r="A105" s="968"/>
      <c r="B105" s="846"/>
      <c r="C105" s="846"/>
      <c r="D105" s="846"/>
      <c r="E105" s="846"/>
      <c r="F105" s="846"/>
      <c r="G105" s="846"/>
      <c r="H105" s="846"/>
      <c r="I105" s="846"/>
      <c r="J105" s="846"/>
      <c r="K105" s="846"/>
      <c r="L105" s="846"/>
      <c r="M105" s="846"/>
      <c r="N105" s="846"/>
      <c r="O105" s="846"/>
      <c r="P105" s="846"/>
      <c r="Q105" s="846"/>
      <c r="R105" s="846"/>
      <c r="S105" s="846"/>
      <c r="T105" s="846"/>
      <c r="U105" s="846"/>
      <c r="V105" s="846"/>
      <c r="W105" s="846"/>
      <c r="X105" s="846"/>
      <c r="Y105" s="846"/>
      <c r="Z105" s="846"/>
      <c r="AA105" s="846"/>
      <c r="AB105" s="846"/>
      <c r="AC105" s="846"/>
      <c r="AD105" s="846"/>
      <c r="AE105" s="846"/>
      <c r="AF105" s="846"/>
      <c r="AG105" s="846"/>
      <c r="AH105" s="846"/>
    </row>
    <row r="106" spans="1:34" ht="17" customHeight="1">
      <c r="A106" s="968" t="s">
        <v>424</v>
      </c>
      <c r="B106" s="853"/>
      <c r="C106" s="853"/>
      <c r="D106" s="853"/>
      <c r="E106" s="853"/>
      <c r="F106" s="853"/>
      <c r="G106" s="853"/>
      <c r="H106" s="853"/>
      <c r="I106" s="853"/>
      <c r="J106" s="853"/>
      <c r="K106" s="853"/>
      <c r="L106" s="969">
        <v>3.4624952605750674</v>
      </c>
      <c r="M106" s="969">
        <v>7.4518919738463394</v>
      </c>
      <c r="N106" s="969">
        <v>17.086661394576961</v>
      </c>
      <c r="O106" s="969">
        <v>32.077520939484693</v>
      </c>
      <c r="P106" s="969">
        <v>39.835195736978648</v>
      </c>
      <c r="Q106" s="969">
        <v>58.336627511524135</v>
      </c>
      <c r="R106" s="969">
        <v>88.137066590640842</v>
      </c>
      <c r="S106" s="969">
        <v>114.21627500105205</v>
      </c>
      <c r="T106" s="969">
        <v>155.80370514474149</v>
      </c>
      <c r="U106" s="969">
        <v>247.06682112576183</v>
      </c>
      <c r="V106" s="969">
        <v>305.04688363183783</v>
      </c>
      <c r="W106" s="969">
        <v>365.51480105908161</v>
      </c>
      <c r="X106" s="969">
        <v>527.63096157362543</v>
      </c>
      <c r="Y106" s="969">
        <v>797.90057730371745</v>
      </c>
      <c r="Z106" s="969">
        <v>791.60342814928754</v>
      </c>
      <c r="AA106" s="969">
        <v>914.16287314938381</v>
      </c>
      <c r="AB106" s="969">
        <v>1059.5083876098076</v>
      </c>
      <c r="AC106" s="969">
        <v>1239.5312576766048</v>
      </c>
      <c r="AD106" s="969">
        <v>1462.0123706624192</v>
      </c>
      <c r="AE106" s="969">
        <v>1675.4435445296788</v>
      </c>
      <c r="AF106" s="969">
        <v>1914.3427385589723</v>
      </c>
      <c r="AG106" s="969">
        <v>2179.3416492862143</v>
      </c>
      <c r="AH106" s="969">
        <v>2319.6488424513782</v>
      </c>
    </row>
    <row r="107" spans="1:34" ht="17" customHeight="1">
      <c r="A107" s="968" t="s">
        <v>425</v>
      </c>
      <c r="B107" s="853"/>
      <c r="C107" s="853"/>
      <c r="D107" s="853"/>
      <c r="E107" s="853"/>
      <c r="F107" s="853"/>
      <c r="G107" s="853"/>
      <c r="H107" s="853"/>
      <c r="I107" s="853"/>
      <c r="J107" s="853"/>
      <c r="K107" s="853"/>
      <c r="L107" s="969">
        <v>4.01</v>
      </c>
      <c r="M107" s="969">
        <v>8.3999993209874635</v>
      </c>
      <c r="N107" s="969">
        <v>19</v>
      </c>
      <c r="O107" s="969">
        <v>53.908899743463159</v>
      </c>
      <c r="P107" s="969">
        <v>77.810658302809259</v>
      </c>
      <c r="Q107" s="969">
        <v>93.341156946132813</v>
      </c>
      <c r="R107" s="969">
        <v>139.8039022695167</v>
      </c>
      <c r="S107" s="969">
        <v>158.79318997085588</v>
      </c>
      <c r="T107" s="969">
        <v>197.72809119434257</v>
      </c>
      <c r="U107" s="969">
        <v>255.9831987326796</v>
      </c>
      <c r="V107" s="969">
        <v>316.1991023163821</v>
      </c>
      <c r="W107" s="969">
        <v>375.82977282250317</v>
      </c>
      <c r="X107" s="969">
        <v>571.50210616838865</v>
      </c>
      <c r="Y107" s="969">
        <v>804.95731052036774</v>
      </c>
      <c r="Z107" s="969">
        <v>944.3504095379509</v>
      </c>
      <c r="AA107" s="969">
        <v>1152.7003511310786</v>
      </c>
      <c r="AB107" s="969">
        <v>1399.4257581897477</v>
      </c>
      <c r="AC107" s="969">
        <v>1635.50015715527</v>
      </c>
      <c r="AD107" s="969">
        <v>1889.6247385938964</v>
      </c>
      <c r="AE107" s="969">
        <v>2158.0626999681599</v>
      </c>
      <c r="AF107" s="969">
        <v>2448.577995786824</v>
      </c>
      <c r="AG107" s="969">
        <v>2758.4305127015696</v>
      </c>
      <c r="AH107" s="969">
        <v>2965.599069280473</v>
      </c>
    </row>
    <row r="108" spans="1:34" ht="17" customHeight="1">
      <c r="A108" s="968" t="s">
        <v>426</v>
      </c>
      <c r="B108" s="853"/>
      <c r="C108" s="853"/>
      <c r="D108" s="853"/>
      <c r="E108" s="853"/>
      <c r="F108" s="853"/>
      <c r="G108" s="853"/>
      <c r="H108" s="853"/>
      <c r="I108" s="853"/>
      <c r="J108" s="853"/>
      <c r="K108" s="853"/>
      <c r="L108" s="969">
        <v>0</v>
      </c>
      <c r="M108" s="969">
        <v>5.043304088621068E-2</v>
      </c>
      <c r="N108" s="969">
        <v>0.24106162731761777</v>
      </c>
      <c r="O108" s="969">
        <v>0.40580297403498061</v>
      </c>
      <c r="P108" s="969">
        <v>1.0604113750099804</v>
      </c>
      <c r="Q108" s="969">
        <v>1.3469707023972439</v>
      </c>
      <c r="R108" s="969">
        <v>2.6024975537755579</v>
      </c>
      <c r="S108" s="969">
        <v>3.1311374395273552</v>
      </c>
      <c r="T108" s="969">
        <v>5.8444820564676512</v>
      </c>
      <c r="U108" s="969">
        <v>8.174274165003439</v>
      </c>
      <c r="V108" s="969">
        <v>11.475735821494498</v>
      </c>
      <c r="W108" s="969">
        <v>14.802556766234611</v>
      </c>
      <c r="X108" s="969">
        <v>21.101567696346272</v>
      </c>
      <c r="Y108" s="969">
        <v>28.344541274222205</v>
      </c>
      <c r="Z108" s="969">
        <v>37.841988424678576</v>
      </c>
      <c r="AA108" s="969">
        <v>36.716174718711173</v>
      </c>
      <c r="AB108" s="969">
        <v>49.042277803523497</v>
      </c>
      <c r="AC108" s="969">
        <v>57.29009658456043</v>
      </c>
      <c r="AD108" s="969">
        <v>67.136314419090652</v>
      </c>
      <c r="AE108" s="969">
        <v>79.143294682942553</v>
      </c>
      <c r="AF108" s="969">
        <v>93.388278033441608</v>
      </c>
      <c r="AG108" s="969">
        <v>110.53375894919826</v>
      </c>
      <c r="AH108" s="969">
        <v>125.81571577758643</v>
      </c>
    </row>
    <row r="109" spans="1:34" ht="17" customHeight="1">
      <c r="A109" s="966" t="s">
        <v>925</v>
      </c>
      <c r="B109" s="967"/>
      <c r="C109" s="967"/>
      <c r="D109" s="967"/>
      <c r="E109" s="967"/>
      <c r="F109" s="967"/>
      <c r="G109" s="967"/>
      <c r="H109" s="967"/>
      <c r="I109" s="967"/>
      <c r="J109" s="967"/>
      <c r="K109" s="967"/>
      <c r="L109" s="970">
        <f t="shared" ref="L109:AG109" si="60">SUM(L106:L108)</f>
        <v>7.4724952605750676</v>
      </c>
      <c r="M109" s="970">
        <f t="shared" si="60"/>
        <v>15.902324335720012</v>
      </c>
      <c r="N109" s="970">
        <f t="shared" si="60"/>
        <v>36.327723021894585</v>
      </c>
      <c r="O109" s="970">
        <f t="shared" si="60"/>
        <v>86.392223656982836</v>
      </c>
      <c r="P109" s="970">
        <f t="shared" si="60"/>
        <v>118.70626541479788</v>
      </c>
      <c r="Q109" s="970">
        <f t="shared" si="60"/>
        <v>153.02475516005418</v>
      </c>
      <c r="R109" s="970">
        <f t="shared" si="60"/>
        <v>230.54346641393309</v>
      </c>
      <c r="S109" s="970">
        <f t="shared" si="60"/>
        <v>276.14060241143534</v>
      </c>
      <c r="T109" s="970">
        <f t="shared" si="60"/>
        <v>359.37627839555171</v>
      </c>
      <c r="U109" s="970">
        <f t="shared" si="60"/>
        <v>511.22429402344488</v>
      </c>
      <c r="V109" s="970">
        <f t="shared" si="60"/>
        <v>632.72172176971435</v>
      </c>
      <c r="W109" s="970">
        <f t="shared" si="60"/>
        <v>756.14713064781938</v>
      </c>
      <c r="X109" s="970">
        <f t="shared" si="60"/>
        <v>1120.2346354383606</v>
      </c>
      <c r="Y109" s="970">
        <f t="shared" si="60"/>
        <v>1631.2024290983072</v>
      </c>
      <c r="Z109" s="970">
        <f t="shared" si="60"/>
        <v>1773.795826111917</v>
      </c>
      <c r="AA109" s="970">
        <f t="shared" si="60"/>
        <v>2103.5793989991735</v>
      </c>
      <c r="AB109" s="970">
        <f t="shared" si="60"/>
        <v>2507.9764236030787</v>
      </c>
      <c r="AC109" s="970">
        <f t="shared" si="60"/>
        <v>2932.3215114164354</v>
      </c>
      <c r="AD109" s="970">
        <f t="shared" si="60"/>
        <v>3418.7734236754063</v>
      </c>
      <c r="AE109" s="970">
        <f t="shared" si="60"/>
        <v>3912.6495391807812</v>
      </c>
      <c r="AF109" s="970">
        <f t="shared" si="60"/>
        <v>4456.3090123792381</v>
      </c>
      <c r="AG109" s="970">
        <f t="shared" si="60"/>
        <v>5048.3059209369821</v>
      </c>
      <c r="AH109" s="970">
        <f t="shared" ref="AH109" si="61">SUM(AH106:AH108)</f>
        <v>5411.0636275094375</v>
      </c>
    </row>
    <row r="110" spans="1:34" ht="17" customHeight="1">
      <c r="A110" s="971" t="s">
        <v>428</v>
      </c>
      <c r="B110" s="972"/>
      <c r="C110" s="972"/>
      <c r="D110" s="972"/>
      <c r="E110" s="972"/>
      <c r="F110" s="972"/>
      <c r="G110" s="972"/>
      <c r="H110" s="972"/>
      <c r="I110" s="972"/>
      <c r="J110" s="972"/>
      <c r="K110" s="972"/>
      <c r="L110" s="972">
        <f>L109/L97</f>
        <v>1.3114719099195213E-2</v>
      </c>
      <c r="M110" s="972">
        <f t="shared" ref="M110:AG110" si="62">M109/M97</f>
        <v>1.82796999380473E-2</v>
      </c>
      <c r="N110" s="972">
        <f t="shared" si="62"/>
        <v>3.4302931260163268E-2</v>
      </c>
      <c r="O110" s="972">
        <f t="shared" si="62"/>
        <v>7.8305375619455664E-2</v>
      </c>
      <c r="P110" s="972">
        <f t="shared" si="62"/>
        <v>0.11107122304574626</v>
      </c>
      <c r="Q110" s="972">
        <f t="shared" si="62"/>
        <v>0.14698290583419862</v>
      </c>
      <c r="R110" s="972">
        <f t="shared" si="62"/>
        <v>0.2279159291325473</v>
      </c>
      <c r="S110" s="972">
        <f t="shared" si="62"/>
        <v>0.2598531062351469</v>
      </c>
      <c r="T110" s="972">
        <f t="shared" si="62"/>
        <v>0.29010163346165296</v>
      </c>
      <c r="U110" s="972">
        <f t="shared" si="62"/>
        <v>0.32363469679596302</v>
      </c>
      <c r="V110" s="972">
        <f t="shared" si="62"/>
        <v>0.3472467287181506</v>
      </c>
      <c r="W110" s="972">
        <f t="shared" si="62"/>
        <v>0.37113063427523602</v>
      </c>
      <c r="X110" s="972">
        <f t="shared" si="62"/>
        <v>0.39383187564054978</v>
      </c>
      <c r="Y110" s="972">
        <f t="shared" si="62"/>
        <v>0.41977170127829666</v>
      </c>
      <c r="Z110" s="972">
        <f t="shared" si="62"/>
        <v>0.43855070148457176</v>
      </c>
      <c r="AA110" s="972">
        <f t="shared" si="62"/>
        <v>0.46157824269769193</v>
      </c>
      <c r="AB110" s="972">
        <f t="shared" si="62"/>
        <v>0.4837135986063254</v>
      </c>
      <c r="AC110" s="972">
        <f t="shared" si="62"/>
        <v>0.5074258348058136</v>
      </c>
      <c r="AD110" s="972">
        <f t="shared" si="62"/>
        <v>0.53162174008037033</v>
      </c>
      <c r="AE110" s="972">
        <f t="shared" si="62"/>
        <v>0.55526022471661018</v>
      </c>
      <c r="AF110" s="972">
        <f t="shared" si="62"/>
        <v>0.57895373786542892</v>
      </c>
      <c r="AG110" s="972">
        <f t="shared" si="62"/>
        <v>0.60268827066747921</v>
      </c>
      <c r="AH110" s="972">
        <f t="shared" ref="AH110" si="63">AH109/AH97</f>
        <v>0.60212904662642153</v>
      </c>
    </row>
    <row r="111" spans="1:34">
      <c r="A111" s="846"/>
      <c r="B111" s="846"/>
      <c r="C111" s="846"/>
      <c r="D111" s="846"/>
      <c r="E111" s="846"/>
      <c r="F111" s="846"/>
      <c r="G111" s="846"/>
      <c r="H111" s="846"/>
      <c r="I111" s="846"/>
      <c r="J111" s="846"/>
      <c r="K111" s="846"/>
      <c r="L111" s="846"/>
      <c r="M111" s="846"/>
      <c r="N111" s="846"/>
      <c r="O111" s="846"/>
      <c r="P111" s="846"/>
      <c r="Q111" s="846"/>
      <c r="R111" s="846"/>
      <c r="S111" s="846"/>
      <c r="T111" s="846"/>
      <c r="U111" s="846"/>
      <c r="V111" s="846"/>
      <c r="W111" s="846"/>
      <c r="X111" s="846"/>
      <c r="Y111" s="846"/>
      <c r="Z111" s="846"/>
      <c r="AA111" s="846"/>
      <c r="AB111" s="846"/>
      <c r="AC111" s="846"/>
      <c r="AD111" s="846"/>
      <c r="AE111" s="846"/>
      <c r="AF111" s="846"/>
      <c r="AG111" s="846"/>
      <c r="AH111" s="846"/>
    </row>
    <row r="112" spans="1:34">
      <c r="A112" s="846"/>
      <c r="B112" s="846"/>
      <c r="C112" s="846"/>
      <c r="D112" s="846"/>
      <c r="E112" s="846"/>
      <c r="F112" s="846"/>
      <c r="G112" s="846"/>
      <c r="H112" s="846"/>
      <c r="I112" s="846"/>
      <c r="J112" s="846"/>
      <c r="K112" s="846"/>
      <c r="L112" s="846"/>
      <c r="M112" s="846"/>
      <c r="N112" s="846"/>
      <c r="O112" s="846"/>
      <c r="P112" s="846"/>
      <c r="Q112" s="846"/>
      <c r="R112" s="846"/>
      <c r="S112" s="846"/>
      <c r="T112" s="846"/>
      <c r="U112" s="846"/>
      <c r="V112" s="846"/>
      <c r="W112" s="846"/>
      <c r="X112" s="846"/>
      <c r="Y112" s="846"/>
      <c r="Z112" s="846"/>
      <c r="AA112" s="846"/>
      <c r="AB112" s="846"/>
      <c r="AC112" s="846"/>
      <c r="AD112" s="846"/>
      <c r="AE112" s="846"/>
      <c r="AF112" s="846"/>
      <c r="AG112" s="846"/>
      <c r="AH112" s="846"/>
    </row>
    <row r="113" spans="1:384" s="890" customFormat="1" ht="14" customHeight="1" thickBot="1">
      <c r="A113" s="849"/>
      <c r="B113" s="859"/>
      <c r="C113" s="846"/>
      <c r="D113" s="846"/>
      <c r="E113" s="846"/>
      <c r="F113" s="846"/>
      <c r="G113" s="846"/>
      <c r="H113" s="846"/>
      <c r="I113" s="846"/>
      <c r="J113" s="846"/>
      <c r="K113" s="846"/>
      <c r="L113" s="846"/>
      <c r="M113" s="846"/>
      <c r="N113" s="846"/>
      <c r="O113" s="853"/>
      <c r="P113" s="853"/>
      <c r="Q113" s="857"/>
      <c r="R113" s="846"/>
      <c r="S113" s="853"/>
      <c r="T113" s="858"/>
      <c r="U113" s="858"/>
      <c r="V113" s="846"/>
      <c r="W113" s="846"/>
      <c r="X113" s="846"/>
      <c r="Y113" s="846"/>
      <c r="Z113" s="846"/>
      <c r="AA113" s="846"/>
      <c r="AB113" s="846"/>
      <c r="AC113" s="846"/>
      <c r="AD113" s="846"/>
      <c r="AE113" s="846"/>
      <c r="AF113" s="846"/>
      <c r="AG113" s="846"/>
      <c r="AH113" s="846"/>
      <c r="AI113" s="848"/>
      <c r="AJ113" s="848"/>
      <c r="AK113" s="848"/>
      <c r="AL113" s="848"/>
      <c r="AM113" s="848"/>
      <c r="AN113" s="848"/>
      <c r="AO113" s="848"/>
      <c r="AP113" s="848"/>
      <c r="AQ113" s="848"/>
      <c r="AR113" s="848"/>
      <c r="AS113" s="848"/>
      <c r="AT113" s="848"/>
      <c r="AU113" s="848"/>
      <c r="AV113" s="848"/>
      <c r="AW113" s="848"/>
      <c r="AX113" s="848"/>
      <c r="AY113" s="848"/>
      <c r="AZ113" s="848"/>
      <c r="BA113" s="848"/>
      <c r="BB113" s="848"/>
      <c r="BC113" s="848"/>
      <c r="BD113" s="848"/>
      <c r="BE113" s="848"/>
      <c r="BF113" s="848"/>
      <c r="BG113" s="848"/>
      <c r="BH113" s="848"/>
      <c r="BI113" s="848"/>
      <c r="BJ113" s="848"/>
      <c r="BK113" s="848"/>
      <c r="BL113" s="848"/>
      <c r="BM113" s="848"/>
      <c r="BN113" s="848"/>
      <c r="BO113" s="848"/>
      <c r="BP113" s="848"/>
      <c r="BQ113" s="848"/>
      <c r="BR113" s="848"/>
      <c r="BS113" s="848"/>
      <c r="BT113" s="848"/>
      <c r="BU113" s="848"/>
      <c r="BV113" s="848"/>
      <c r="BW113" s="848"/>
      <c r="BX113" s="848"/>
      <c r="BY113" s="848"/>
      <c r="BZ113" s="848"/>
      <c r="CA113" s="848"/>
      <c r="CB113" s="848"/>
      <c r="CC113" s="848"/>
      <c r="CD113" s="848"/>
      <c r="CE113" s="848"/>
      <c r="CF113" s="848"/>
      <c r="CG113" s="848"/>
      <c r="CH113" s="848"/>
      <c r="CI113" s="848"/>
      <c r="CJ113" s="848"/>
      <c r="CK113" s="848"/>
      <c r="CL113" s="848"/>
      <c r="CM113" s="848"/>
      <c r="CN113" s="848"/>
      <c r="CO113" s="848"/>
      <c r="CP113" s="848"/>
      <c r="CQ113" s="848"/>
      <c r="CR113" s="848"/>
      <c r="CS113" s="848"/>
      <c r="CT113" s="848"/>
      <c r="CU113" s="848"/>
      <c r="CV113" s="848"/>
      <c r="CW113" s="848"/>
      <c r="CX113" s="848"/>
      <c r="CY113" s="848"/>
      <c r="CZ113" s="848"/>
      <c r="DA113" s="848"/>
      <c r="DB113" s="848"/>
      <c r="DC113" s="848"/>
      <c r="DD113" s="848"/>
      <c r="DE113" s="848"/>
      <c r="DF113" s="848"/>
      <c r="DG113" s="848"/>
      <c r="DH113" s="848"/>
      <c r="DI113" s="848"/>
      <c r="DJ113" s="848"/>
      <c r="DK113" s="848"/>
      <c r="DL113" s="848"/>
      <c r="DM113" s="848"/>
      <c r="DN113" s="848"/>
      <c r="DO113" s="848"/>
      <c r="DP113" s="848"/>
      <c r="DQ113" s="848"/>
      <c r="DR113" s="848"/>
      <c r="DS113" s="848"/>
      <c r="DT113" s="848"/>
      <c r="DU113" s="848"/>
      <c r="DV113" s="848"/>
      <c r="DW113" s="848"/>
      <c r="DX113" s="848"/>
      <c r="DY113" s="848"/>
      <c r="DZ113" s="848"/>
      <c r="EA113" s="848"/>
      <c r="EB113" s="848"/>
      <c r="EC113" s="848"/>
      <c r="ED113" s="848"/>
      <c r="EE113" s="848"/>
      <c r="EF113" s="848"/>
      <c r="EG113" s="848"/>
      <c r="EH113" s="848"/>
      <c r="EI113" s="848"/>
      <c r="EJ113" s="848"/>
      <c r="EK113" s="848"/>
      <c r="EL113" s="848"/>
      <c r="EM113" s="848"/>
      <c r="EN113" s="848"/>
      <c r="EO113" s="848"/>
      <c r="EP113" s="848"/>
      <c r="EQ113" s="848"/>
      <c r="ER113" s="848"/>
      <c r="ES113" s="848"/>
      <c r="ET113" s="848"/>
      <c r="EU113" s="848"/>
      <c r="EV113" s="848"/>
      <c r="EW113" s="848"/>
      <c r="EX113" s="848"/>
      <c r="EY113" s="848"/>
      <c r="EZ113" s="848"/>
      <c r="FA113" s="848"/>
      <c r="FB113" s="848"/>
      <c r="FC113" s="848"/>
      <c r="FD113" s="848"/>
      <c r="FE113" s="848"/>
      <c r="FF113" s="848"/>
      <c r="FG113" s="848"/>
      <c r="FH113" s="848"/>
      <c r="FI113" s="848"/>
      <c r="FJ113" s="848"/>
      <c r="FK113" s="848"/>
      <c r="FL113" s="848"/>
      <c r="FM113" s="848"/>
      <c r="FN113" s="848"/>
      <c r="FO113" s="848"/>
      <c r="FP113" s="848"/>
      <c r="FQ113" s="848"/>
      <c r="FR113" s="848"/>
      <c r="FS113" s="848"/>
      <c r="FT113" s="848"/>
      <c r="FU113" s="848"/>
      <c r="FV113" s="848"/>
      <c r="FW113" s="848"/>
      <c r="FX113" s="848"/>
      <c r="FY113" s="848"/>
      <c r="FZ113" s="848"/>
      <c r="GA113" s="848"/>
      <c r="GB113" s="848"/>
      <c r="GC113" s="848"/>
      <c r="GD113" s="848"/>
      <c r="GE113" s="848"/>
      <c r="GF113" s="848"/>
      <c r="GG113" s="848"/>
      <c r="GH113" s="848"/>
      <c r="GI113" s="848"/>
      <c r="GJ113" s="848"/>
      <c r="GK113" s="848"/>
      <c r="GL113" s="848"/>
      <c r="GM113" s="848"/>
      <c r="GN113" s="848"/>
      <c r="GO113" s="848"/>
      <c r="GP113" s="848"/>
      <c r="GQ113" s="848"/>
      <c r="GR113" s="848"/>
      <c r="GS113" s="848"/>
      <c r="GT113" s="848"/>
      <c r="GU113" s="848"/>
      <c r="GV113" s="848"/>
      <c r="GW113" s="848"/>
      <c r="GX113" s="848"/>
      <c r="GY113" s="848"/>
      <c r="GZ113" s="848"/>
      <c r="HA113" s="848"/>
      <c r="HB113" s="848"/>
      <c r="HC113" s="848"/>
      <c r="HD113" s="848"/>
      <c r="HE113" s="848"/>
      <c r="HF113" s="848"/>
      <c r="HG113" s="848"/>
      <c r="HH113" s="848"/>
      <c r="HI113" s="848"/>
      <c r="HJ113" s="848"/>
      <c r="HK113" s="848"/>
      <c r="HL113" s="848"/>
      <c r="HM113" s="848"/>
      <c r="HN113" s="848"/>
      <c r="HO113" s="848"/>
      <c r="HP113" s="848"/>
      <c r="HQ113" s="848"/>
      <c r="HR113" s="848"/>
      <c r="HS113" s="848"/>
      <c r="HT113" s="848"/>
      <c r="HU113" s="848"/>
      <c r="HV113" s="848"/>
      <c r="HW113" s="848"/>
      <c r="HX113" s="848"/>
      <c r="HY113" s="848"/>
      <c r="HZ113" s="848"/>
      <c r="IA113" s="848"/>
      <c r="IB113" s="848"/>
      <c r="IC113" s="848"/>
      <c r="ID113" s="848"/>
      <c r="IE113" s="848"/>
      <c r="IF113" s="848"/>
      <c r="IG113" s="848"/>
      <c r="IH113" s="848"/>
      <c r="II113" s="848"/>
      <c r="IJ113" s="848"/>
      <c r="IK113" s="848"/>
      <c r="IL113" s="848"/>
      <c r="IM113" s="848"/>
      <c r="IN113" s="848"/>
      <c r="IO113" s="848"/>
      <c r="IP113" s="848"/>
      <c r="IQ113" s="848"/>
      <c r="IR113" s="848"/>
      <c r="IS113" s="848"/>
      <c r="IT113" s="848"/>
      <c r="IU113" s="848"/>
      <c r="IV113" s="848"/>
      <c r="IW113" s="848"/>
      <c r="IX113" s="848"/>
      <c r="IY113" s="848"/>
      <c r="IZ113" s="848"/>
      <c r="JA113" s="848"/>
      <c r="JB113" s="848"/>
      <c r="JC113" s="848"/>
      <c r="JD113" s="848"/>
      <c r="JE113" s="848"/>
      <c r="JF113" s="848"/>
      <c r="JG113" s="848"/>
      <c r="JH113" s="848"/>
      <c r="JI113" s="848"/>
      <c r="JJ113" s="848"/>
      <c r="JK113" s="848"/>
      <c r="JL113" s="848"/>
      <c r="JM113" s="848"/>
      <c r="JN113" s="848"/>
      <c r="JO113" s="848"/>
      <c r="JP113" s="848"/>
      <c r="JQ113" s="848"/>
      <c r="JR113" s="848"/>
      <c r="JS113" s="848"/>
      <c r="JT113" s="848"/>
      <c r="JU113" s="848"/>
      <c r="JV113" s="848"/>
      <c r="JW113" s="848"/>
      <c r="JX113" s="848"/>
      <c r="JY113" s="848"/>
      <c r="JZ113" s="848"/>
      <c r="KA113" s="848"/>
      <c r="KB113" s="848"/>
      <c r="KC113" s="848"/>
      <c r="KD113" s="848"/>
      <c r="KE113" s="848"/>
      <c r="KF113" s="848"/>
      <c r="KG113" s="848"/>
      <c r="KH113" s="848"/>
      <c r="KI113" s="848"/>
      <c r="KJ113" s="848"/>
      <c r="KK113" s="848"/>
      <c r="KL113" s="848"/>
      <c r="KM113" s="848"/>
      <c r="KN113" s="848"/>
      <c r="KO113" s="848"/>
      <c r="KP113" s="848"/>
      <c r="KQ113" s="848"/>
      <c r="KR113" s="848"/>
      <c r="KS113" s="848"/>
      <c r="KT113" s="848"/>
      <c r="KU113" s="848"/>
      <c r="KV113" s="848"/>
      <c r="KW113" s="848"/>
      <c r="KX113" s="848"/>
      <c r="KY113" s="848"/>
      <c r="KZ113" s="848"/>
      <c r="LA113" s="848"/>
      <c r="LB113" s="848"/>
      <c r="LC113" s="848"/>
      <c r="LD113" s="848"/>
      <c r="LE113" s="848"/>
      <c r="LF113" s="848"/>
      <c r="LG113" s="848"/>
      <c r="LH113" s="848"/>
      <c r="LI113" s="848"/>
      <c r="LJ113" s="848"/>
      <c r="LK113" s="848"/>
      <c r="LL113" s="848"/>
      <c r="LM113" s="848"/>
      <c r="LN113" s="848"/>
      <c r="LO113" s="848"/>
      <c r="LP113" s="848"/>
      <c r="LQ113" s="848"/>
      <c r="LR113" s="848"/>
      <c r="LS113" s="848"/>
      <c r="LT113" s="848"/>
      <c r="LU113" s="848"/>
      <c r="LV113" s="848"/>
      <c r="LW113" s="848"/>
      <c r="LX113" s="848"/>
      <c r="LY113" s="848"/>
      <c r="LZ113" s="848"/>
      <c r="MA113" s="848"/>
      <c r="MB113" s="848"/>
      <c r="MC113" s="848"/>
      <c r="MD113" s="848"/>
      <c r="ME113" s="848"/>
      <c r="MF113" s="848"/>
      <c r="MG113" s="848"/>
      <c r="MH113" s="848"/>
      <c r="MI113" s="848"/>
      <c r="MJ113" s="848"/>
      <c r="MK113" s="848"/>
      <c r="ML113" s="848"/>
      <c r="MM113" s="848"/>
      <c r="MN113" s="848"/>
      <c r="MO113" s="848"/>
      <c r="MP113" s="848"/>
      <c r="MQ113" s="848"/>
      <c r="MR113" s="848"/>
      <c r="MS113" s="848"/>
      <c r="MT113" s="848"/>
      <c r="MU113" s="848"/>
      <c r="MV113" s="848"/>
      <c r="MW113" s="848"/>
      <c r="MX113" s="848"/>
      <c r="MY113" s="848"/>
      <c r="MZ113" s="848"/>
      <c r="NA113" s="848"/>
      <c r="NB113" s="848"/>
      <c r="NC113" s="848"/>
      <c r="ND113" s="848"/>
      <c r="NE113" s="848"/>
      <c r="NF113" s="848"/>
      <c r="NG113" s="848"/>
      <c r="NH113" s="848"/>
      <c r="NI113" s="848"/>
      <c r="NJ113" s="848"/>
      <c r="NK113" s="848"/>
      <c r="NL113" s="848"/>
      <c r="NM113" s="848"/>
      <c r="NN113" s="848"/>
      <c r="NO113" s="848"/>
      <c r="NP113" s="848"/>
      <c r="NQ113" s="848"/>
      <c r="NR113" s="848"/>
      <c r="NS113" s="848"/>
      <c r="NT113" s="848"/>
    </row>
    <row r="114" spans="1:384">
      <c r="A114" s="944"/>
      <c r="B114" s="945"/>
      <c r="C114" s="945"/>
      <c r="D114" s="945"/>
      <c r="E114" s="945"/>
      <c r="F114" s="945"/>
      <c r="G114" s="945"/>
      <c r="H114" s="945"/>
      <c r="I114" s="945"/>
      <c r="J114" s="945"/>
      <c r="K114" s="945"/>
      <c r="L114" s="945"/>
      <c r="M114" s="945"/>
      <c r="N114" s="945"/>
      <c r="O114" s="945"/>
      <c r="P114" s="945"/>
      <c r="Q114" s="945"/>
      <c r="R114" s="945"/>
      <c r="S114" s="945"/>
      <c r="T114" s="945"/>
      <c r="U114" s="945"/>
      <c r="V114" s="945"/>
      <c r="W114" s="945"/>
      <c r="X114" s="945"/>
      <c r="Y114" s="945"/>
      <c r="Z114" s="945"/>
      <c r="AA114" s="945"/>
      <c r="AB114" s="945"/>
      <c r="AC114" s="945"/>
      <c r="AD114" s="945"/>
      <c r="AE114" s="945"/>
      <c r="AF114" s="945"/>
      <c r="AG114" s="945"/>
      <c r="AH114" s="945"/>
    </row>
    <row r="115" spans="1:384" ht="15" thickBot="1">
      <c r="A115" s="947"/>
      <c r="B115" s="947"/>
      <c r="C115" s="947"/>
      <c r="D115" s="947"/>
      <c r="E115" s="947"/>
      <c r="F115" s="947"/>
      <c r="G115" s="947"/>
      <c r="H115" s="947"/>
      <c r="I115" s="947"/>
      <c r="J115" s="947"/>
      <c r="K115" s="947"/>
      <c r="L115" s="947"/>
      <c r="M115" s="947"/>
      <c r="N115" s="947"/>
      <c r="O115" s="947"/>
      <c r="P115" s="947"/>
      <c r="Q115" s="947"/>
      <c r="R115" s="947"/>
      <c r="S115" s="947"/>
      <c r="T115" s="947"/>
      <c r="U115" s="947"/>
      <c r="V115" s="947"/>
      <c r="W115" s="947"/>
      <c r="X115" s="947"/>
      <c r="Y115" s="947"/>
      <c r="Z115" s="947"/>
      <c r="AA115" s="947"/>
      <c r="AB115" s="947"/>
      <c r="AC115" s="947"/>
      <c r="AD115" s="947"/>
      <c r="AE115" s="947"/>
      <c r="AF115" s="947"/>
      <c r="AG115" s="947"/>
      <c r="AH115" s="947"/>
    </row>
    <row r="116" spans="1:384" s="846" customFormat="1">
      <c r="A116" s="948"/>
      <c r="B116" s="948"/>
      <c r="C116" s="948"/>
      <c r="D116" s="948"/>
      <c r="E116" s="948"/>
      <c r="F116" s="948"/>
      <c r="G116" s="948"/>
      <c r="H116" s="948"/>
      <c r="I116" s="948"/>
      <c r="J116" s="948"/>
      <c r="K116" s="948"/>
      <c r="L116" s="948"/>
      <c r="M116" s="948"/>
      <c r="N116" s="948"/>
      <c r="O116" s="948"/>
      <c r="P116" s="948"/>
      <c r="Q116" s="948"/>
      <c r="R116" s="948"/>
      <c r="S116" s="948"/>
      <c r="T116" s="948"/>
      <c r="U116" s="948"/>
      <c r="V116" s="948"/>
      <c r="W116" s="948"/>
      <c r="X116" s="948"/>
      <c r="Y116" s="948"/>
      <c r="Z116" s="948"/>
      <c r="AA116" s="948"/>
      <c r="AB116" s="948"/>
      <c r="AC116" s="948"/>
      <c r="AD116" s="948"/>
      <c r="AE116" s="948"/>
      <c r="AF116" s="948"/>
      <c r="AG116" s="948"/>
      <c r="AH116" s="948"/>
    </row>
    <row r="117" spans="1:384" s="846" customFormat="1"/>
    <row r="118" spans="1:384" s="846" customFormat="1"/>
    <row r="119" spans="1:384" s="846" customFormat="1"/>
    <row r="120" spans="1:384" s="846" customFormat="1"/>
    <row r="121" spans="1:384" s="846" customFormat="1"/>
    <row r="122" spans="1:384" s="846" customFormat="1"/>
    <row r="123" spans="1:384" s="846" customFormat="1"/>
    <row r="124" spans="1:384" s="846" customFormat="1"/>
    <row r="125" spans="1:384" s="846" customFormat="1"/>
    <row r="126" spans="1:384" s="846" customFormat="1"/>
    <row r="127" spans="1:384" s="846" customFormat="1"/>
    <row r="128" spans="1:384" s="846" customFormat="1"/>
    <row r="129" s="846" customFormat="1"/>
    <row r="130" s="846" customFormat="1"/>
    <row r="131" s="846" customFormat="1"/>
    <row r="132" s="846" customFormat="1"/>
    <row r="133" s="846" customFormat="1"/>
    <row r="134" s="846" customFormat="1"/>
    <row r="135" s="846" customFormat="1"/>
    <row r="136" s="846" customFormat="1"/>
    <row r="137" s="846" customFormat="1"/>
    <row r="138" s="846" customFormat="1"/>
    <row r="139" s="846" customFormat="1"/>
    <row r="140" s="846" customFormat="1"/>
    <row r="141" s="846" customFormat="1"/>
    <row r="142" s="846" customFormat="1"/>
    <row r="143" s="846" customFormat="1"/>
    <row r="144" s="846" customFormat="1"/>
    <row r="145" s="846" customFormat="1"/>
    <row r="146" s="846" customFormat="1"/>
    <row r="147" s="846" customFormat="1"/>
    <row r="148" s="846" customFormat="1"/>
    <row r="149" s="846" customFormat="1"/>
    <row r="150" s="846" customFormat="1"/>
    <row r="151" s="846" customFormat="1"/>
    <row r="152" s="846" customFormat="1"/>
    <row r="153" s="846" customFormat="1"/>
    <row r="154" s="846" customFormat="1"/>
    <row r="155" s="846" customFormat="1"/>
    <row r="156" s="846" customFormat="1"/>
    <row r="157" s="846" customFormat="1"/>
    <row r="158" s="846" customFormat="1"/>
    <row r="159" s="846" customFormat="1"/>
    <row r="160" s="846" customFormat="1"/>
    <row r="161" s="846" customFormat="1"/>
    <row r="162" s="846" customFormat="1"/>
    <row r="163" s="846" customFormat="1"/>
    <row r="164" s="846" customFormat="1"/>
    <row r="165" s="846" customFormat="1"/>
    <row r="166" s="846" customFormat="1"/>
    <row r="167" s="846" customFormat="1"/>
    <row r="168" s="846" customFormat="1"/>
    <row r="169" s="846" customFormat="1"/>
    <row r="170" s="846" customFormat="1"/>
    <row r="171" s="846" customFormat="1"/>
    <row r="172" s="846" customFormat="1"/>
    <row r="173" s="846" customFormat="1"/>
    <row r="174" s="846" customFormat="1"/>
    <row r="175" s="846" customFormat="1"/>
    <row r="176" s="846" customFormat="1"/>
    <row r="177" s="846" customFormat="1"/>
    <row r="178" s="846" customFormat="1"/>
    <row r="179" s="846" customFormat="1"/>
    <row r="180" s="846" customFormat="1"/>
    <row r="181" s="846" customFormat="1"/>
    <row r="182" s="846" customFormat="1"/>
    <row r="183" s="846" customFormat="1"/>
    <row r="184" s="846" customFormat="1"/>
    <row r="185" s="846" customFormat="1"/>
    <row r="186" s="846" customFormat="1"/>
    <row r="187" s="846" customFormat="1"/>
    <row r="188" s="846" customFormat="1"/>
    <row r="189" s="846" customFormat="1"/>
    <row r="190" s="846" customFormat="1"/>
    <row r="191" s="846" customFormat="1"/>
    <row r="192" s="846" customFormat="1"/>
    <row r="193" s="846" customFormat="1"/>
    <row r="194" s="846" customFormat="1"/>
    <row r="195" s="846" customFormat="1"/>
    <row r="196" s="846" customFormat="1"/>
    <row r="197" s="846" customFormat="1"/>
    <row r="198" s="846" customFormat="1"/>
    <row r="199" s="846" customFormat="1"/>
    <row r="200" s="846" customFormat="1"/>
    <row r="201" s="846" customFormat="1"/>
    <row r="202" s="846" customFormat="1"/>
    <row r="203" s="846" customFormat="1"/>
    <row r="204" s="846" customFormat="1"/>
    <row r="205" s="846" customFormat="1"/>
    <row r="206" s="846" customFormat="1"/>
    <row r="207" s="846" customFormat="1"/>
    <row r="208" s="846" customFormat="1"/>
    <row r="209" s="846" customFormat="1"/>
    <row r="210" s="846" customFormat="1"/>
    <row r="211" s="846" customFormat="1"/>
    <row r="212" s="846" customFormat="1"/>
    <row r="213" s="846" customFormat="1"/>
    <row r="214" s="846" customFormat="1"/>
    <row r="215" s="846" customFormat="1"/>
    <row r="216" s="846" customFormat="1"/>
    <row r="217" s="846" customFormat="1"/>
    <row r="218" s="846" customFormat="1"/>
    <row r="219" s="846" customFormat="1"/>
    <row r="220" s="846" customFormat="1"/>
    <row r="221" s="846" customFormat="1"/>
    <row r="222" s="846" customFormat="1"/>
    <row r="223" s="846" customFormat="1"/>
    <row r="224" s="846" customFormat="1"/>
    <row r="225" s="846" customFormat="1"/>
    <row r="226" s="846" customFormat="1"/>
    <row r="227" s="846" customFormat="1"/>
    <row r="228" s="846" customFormat="1"/>
    <row r="229" s="846" customFormat="1"/>
    <row r="230" s="846" customFormat="1"/>
    <row r="231" s="846" customFormat="1"/>
    <row r="232" s="846" customFormat="1"/>
    <row r="233" s="846" customFormat="1"/>
    <row r="234" s="846" customFormat="1"/>
    <row r="235" s="846" customFormat="1"/>
    <row r="236" s="846" customFormat="1"/>
    <row r="237" s="846" customFormat="1"/>
    <row r="238" s="846" customFormat="1"/>
    <row r="239" s="846" customFormat="1"/>
    <row r="240" s="846" customFormat="1"/>
    <row r="241" s="846" customFormat="1"/>
    <row r="242" s="846" customFormat="1"/>
    <row r="243" s="846" customFormat="1"/>
    <row r="244" s="846" customFormat="1"/>
    <row r="245" s="846" customFormat="1"/>
    <row r="246" s="846" customFormat="1"/>
    <row r="247" s="846" customFormat="1"/>
    <row r="248" s="846" customFormat="1"/>
    <row r="249" s="846" customFormat="1"/>
    <row r="250" s="846" customFormat="1"/>
    <row r="251" s="846" customFormat="1"/>
    <row r="252" s="846" customFormat="1"/>
    <row r="253" s="846" customFormat="1"/>
    <row r="254" s="846" customFormat="1"/>
    <row r="255" s="846" customFormat="1"/>
    <row r="256" s="846" customFormat="1"/>
    <row r="257" s="846" customFormat="1"/>
    <row r="258" s="846" customFormat="1"/>
    <row r="259" s="846" customFormat="1"/>
    <row r="260" s="846" customFormat="1"/>
    <row r="261" s="846" customFormat="1"/>
    <row r="262" s="846" customFormat="1"/>
    <row r="263" s="846" customFormat="1"/>
    <row r="264" s="846" customFormat="1"/>
    <row r="265" s="846" customFormat="1"/>
    <row r="266" s="846" customFormat="1"/>
    <row r="267" s="846" customFormat="1"/>
    <row r="268" s="846" customFormat="1"/>
    <row r="269" s="846" customFormat="1"/>
    <row r="270" s="846" customFormat="1"/>
    <row r="271" s="846" customFormat="1"/>
    <row r="272" s="846" customFormat="1"/>
    <row r="273" s="846" customFormat="1"/>
    <row r="274" s="846" customFormat="1"/>
    <row r="275" s="846" customFormat="1"/>
    <row r="276" s="846" customFormat="1"/>
    <row r="277" s="846" customFormat="1"/>
    <row r="278" s="846" customFormat="1"/>
    <row r="279" s="846" customFormat="1"/>
    <row r="280" s="846" customFormat="1"/>
    <row r="281" s="846" customFormat="1"/>
    <row r="282" s="846" customFormat="1"/>
    <row r="283" s="846" customFormat="1"/>
    <row r="284" s="846" customFormat="1"/>
    <row r="285" s="846" customFormat="1"/>
    <row r="286" s="846" customFormat="1"/>
    <row r="287" s="846" customFormat="1"/>
    <row r="288" s="846" customFormat="1"/>
    <row r="289" s="846" customFormat="1"/>
    <row r="290" s="846" customFormat="1"/>
    <row r="291" s="846" customFormat="1"/>
    <row r="292" s="846" customFormat="1"/>
    <row r="293" s="846" customFormat="1"/>
    <row r="294" s="846" customFormat="1"/>
    <row r="295" s="846" customFormat="1"/>
    <row r="296" s="846" customFormat="1"/>
    <row r="297" s="846" customFormat="1"/>
    <row r="298" s="846" customFormat="1"/>
    <row r="299" s="846" customFormat="1"/>
    <row r="300" s="846" customFormat="1"/>
    <row r="301" s="846" customFormat="1"/>
    <row r="302" s="846" customFormat="1"/>
    <row r="303" s="846" customFormat="1"/>
    <row r="304" s="846" customFormat="1"/>
    <row r="305" s="846" customFormat="1"/>
    <row r="306" s="846" customFormat="1"/>
    <row r="307" s="846" customFormat="1"/>
    <row r="308" s="846" customFormat="1"/>
    <row r="309" s="846" customFormat="1"/>
    <row r="310" s="846" customFormat="1"/>
    <row r="311" s="846" customFormat="1"/>
    <row r="312" s="846" customFormat="1"/>
    <row r="313" s="846" customFormat="1"/>
    <row r="314" s="846" customFormat="1"/>
    <row r="315" s="846" customFormat="1"/>
    <row r="316" s="846" customFormat="1"/>
    <row r="317" s="846" customFormat="1"/>
    <row r="318" s="846" customFormat="1"/>
    <row r="319" s="846" customFormat="1"/>
    <row r="320" s="846" customFormat="1"/>
    <row r="321" s="846" customFormat="1"/>
    <row r="322" s="846" customFormat="1"/>
    <row r="323" s="846" customFormat="1"/>
    <row r="324" s="846" customFormat="1"/>
    <row r="325" s="846" customFormat="1"/>
    <row r="326" s="846" customFormat="1"/>
    <row r="327" s="846" customFormat="1"/>
    <row r="328" s="846" customFormat="1"/>
    <row r="329" s="846" customFormat="1"/>
    <row r="330" s="846" customFormat="1"/>
    <row r="331" s="846" customFormat="1"/>
    <row r="332" s="846" customFormat="1"/>
    <row r="333" s="846" customFormat="1"/>
    <row r="334" s="846" customFormat="1"/>
    <row r="335" s="846" customFormat="1"/>
    <row r="336" s="846" customFormat="1"/>
    <row r="337" s="846" customFormat="1"/>
    <row r="338" s="846" customFormat="1"/>
    <row r="339" s="846" customFormat="1"/>
    <row r="340" s="846" customFormat="1"/>
    <row r="341" s="846" customFormat="1"/>
    <row r="342" s="846" customFormat="1"/>
    <row r="343" s="846" customFormat="1"/>
    <row r="344" s="846" customFormat="1"/>
    <row r="345" s="846" customFormat="1"/>
    <row r="346" s="846" customFormat="1"/>
    <row r="347" s="846" customFormat="1"/>
    <row r="348" s="846" customFormat="1"/>
    <row r="349" s="846" customFormat="1"/>
    <row r="350" s="846" customFormat="1"/>
    <row r="351" s="846" customFormat="1"/>
    <row r="352" s="846" customFormat="1"/>
    <row r="353" s="846" customFormat="1"/>
    <row r="354" s="846" customFormat="1"/>
    <row r="355" s="846" customFormat="1"/>
    <row r="356" s="846" customFormat="1"/>
    <row r="357" s="846" customFormat="1"/>
    <row r="358" s="846" customFormat="1"/>
    <row r="359" s="846" customFormat="1"/>
    <row r="360" s="846" customFormat="1"/>
    <row r="361" s="846" customFormat="1"/>
    <row r="362" s="846" customFormat="1"/>
    <row r="363" s="846" customFormat="1"/>
    <row r="364" s="846" customFormat="1"/>
    <row r="365" s="846" customFormat="1"/>
    <row r="366" s="846" customFormat="1"/>
    <row r="367" s="846" customFormat="1"/>
    <row r="368" s="846" customFormat="1"/>
    <row r="369" s="846" customFormat="1"/>
    <row r="370" s="846" customFormat="1"/>
    <row r="371" s="846" customFormat="1"/>
    <row r="372" s="846" customFormat="1"/>
    <row r="373" s="846" customFormat="1"/>
    <row r="374" s="846" customFormat="1"/>
    <row r="375" s="846" customFormat="1"/>
    <row r="376" s="846" customFormat="1"/>
    <row r="377" s="846" customFormat="1"/>
    <row r="378" s="846" customFormat="1"/>
    <row r="379" s="846" customFormat="1"/>
    <row r="380" s="846" customFormat="1"/>
    <row r="381" s="846" customFormat="1"/>
    <row r="382" s="846" customFormat="1"/>
    <row r="383" s="846" customFormat="1"/>
    <row r="384" s="846" customFormat="1"/>
    <row r="385" s="846" customFormat="1"/>
    <row r="386" s="846" customFormat="1"/>
    <row r="387" s="846" customFormat="1"/>
    <row r="388" s="846" customFormat="1"/>
    <row r="389" s="846" customFormat="1"/>
    <row r="390" s="846" customFormat="1"/>
    <row r="391" s="846" customFormat="1"/>
    <row r="392" s="846" customFormat="1"/>
    <row r="393" s="846" customFormat="1"/>
    <row r="394" s="846" customFormat="1"/>
    <row r="395" s="846" customFormat="1"/>
    <row r="396" s="846" customFormat="1"/>
    <row r="397" s="846" customFormat="1"/>
    <row r="398" s="846" customFormat="1"/>
    <row r="399" s="846" customFormat="1"/>
    <row r="400" s="846" customFormat="1"/>
    <row r="401" s="846" customFormat="1"/>
    <row r="402" s="846" customFormat="1"/>
    <row r="403" s="846" customFormat="1"/>
    <row r="404" s="846" customFormat="1"/>
    <row r="405" s="846" customFormat="1"/>
    <row r="406" s="846" customFormat="1"/>
    <row r="407" s="846" customFormat="1"/>
    <row r="408" s="846" customFormat="1"/>
    <row r="409" s="846" customFormat="1"/>
    <row r="410" s="846" customFormat="1"/>
    <row r="411" s="846" customFormat="1"/>
    <row r="412" s="846" customFormat="1"/>
    <row r="413" s="846" customFormat="1"/>
    <row r="414" s="846" customFormat="1"/>
    <row r="415" s="846" customFormat="1"/>
    <row r="416" s="846" customFormat="1"/>
    <row r="417" s="846" customFormat="1"/>
    <row r="418" s="846" customFormat="1"/>
    <row r="419" s="846" customFormat="1"/>
    <row r="420" s="846" customFormat="1"/>
    <row r="421" s="846" customFormat="1"/>
    <row r="422" s="846" customFormat="1"/>
    <row r="423" s="846" customFormat="1"/>
    <row r="424" s="846" customFormat="1"/>
    <row r="425" s="846" customFormat="1"/>
    <row r="426" s="846" customFormat="1"/>
    <row r="427" s="846" customFormat="1"/>
    <row r="428" s="846" customFormat="1"/>
    <row r="429" s="846" customFormat="1"/>
    <row r="430" s="846" customFormat="1"/>
    <row r="431" s="846" customFormat="1"/>
    <row r="432" s="846" customFormat="1"/>
    <row r="433" s="846" customFormat="1"/>
    <row r="434" s="846" customFormat="1"/>
    <row r="435" s="846" customFormat="1"/>
    <row r="436" s="846" customFormat="1"/>
    <row r="437" s="846" customFormat="1"/>
    <row r="438" s="846" customFormat="1"/>
    <row r="439" s="846" customFormat="1"/>
    <row r="440" s="846" customFormat="1"/>
    <row r="441" s="846" customFormat="1"/>
    <row r="442" s="846" customFormat="1"/>
    <row r="443" s="846" customFormat="1"/>
    <row r="444" s="846" customFormat="1"/>
    <row r="445" s="846" customFormat="1"/>
    <row r="446" s="846" customFormat="1"/>
    <row r="447" s="846" customFormat="1"/>
    <row r="448" s="846" customFormat="1"/>
    <row r="449" s="846" customFormat="1"/>
    <row r="450" s="846" customFormat="1"/>
    <row r="451" s="846" customFormat="1"/>
    <row r="452" s="846" customFormat="1"/>
    <row r="453" s="846" customFormat="1"/>
    <row r="454" s="846" customFormat="1"/>
    <row r="455" s="846" customFormat="1"/>
    <row r="456" s="846" customFormat="1"/>
    <row r="457" s="846" customFormat="1"/>
    <row r="458" s="846" customFormat="1"/>
    <row r="459" s="846" customFormat="1"/>
    <row r="460" s="846" customFormat="1"/>
    <row r="461" s="846" customFormat="1"/>
    <row r="462" s="846" customFormat="1"/>
    <row r="463" s="846" customFormat="1"/>
    <row r="464" s="846" customFormat="1"/>
    <row r="465" s="846" customFormat="1"/>
    <row r="466" s="846" customFormat="1"/>
    <row r="467" s="846" customFormat="1"/>
    <row r="468" s="846" customFormat="1"/>
    <row r="469" s="846" customFormat="1"/>
    <row r="470" s="846" customFormat="1"/>
    <row r="471" s="846" customFormat="1"/>
    <row r="472" s="846" customFormat="1"/>
    <row r="473" s="846" customFormat="1"/>
    <row r="474" s="846" customFormat="1"/>
    <row r="475" s="846" customFormat="1"/>
    <row r="476" s="846" customFormat="1"/>
    <row r="477" s="846" customFormat="1"/>
    <row r="478" s="846" customFormat="1"/>
    <row r="479" s="846" customFormat="1"/>
    <row r="480" s="846" customFormat="1"/>
    <row r="481" s="846" customFormat="1"/>
    <row r="482" s="846" customFormat="1"/>
    <row r="483" s="846" customFormat="1"/>
    <row r="484" s="846" customFormat="1"/>
    <row r="485" s="846" customFormat="1"/>
    <row r="486" s="846" customFormat="1"/>
    <row r="487" s="846" customFormat="1"/>
    <row r="488" s="846" customFormat="1"/>
    <row r="489" s="846" customFormat="1"/>
    <row r="490" s="846" customFormat="1"/>
    <row r="491" s="846" customFormat="1"/>
    <row r="492" s="846" customFormat="1"/>
    <row r="493" s="846" customFormat="1"/>
    <row r="494" s="846" customFormat="1"/>
    <row r="495" s="846" customFormat="1"/>
    <row r="496" s="846" customFormat="1"/>
    <row r="497" s="846" customFormat="1"/>
    <row r="498" s="846" customFormat="1"/>
    <row r="499" s="846" customFormat="1"/>
    <row r="500" s="846" customFormat="1"/>
    <row r="501" s="846" customFormat="1"/>
    <row r="502" s="846" customFormat="1"/>
    <row r="503" s="846" customFormat="1"/>
    <row r="504" s="846" customFormat="1"/>
    <row r="505" s="846" customFormat="1"/>
    <row r="506" s="846" customFormat="1"/>
    <row r="507" s="846" customFormat="1"/>
    <row r="508" s="846" customFormat="1"/>
    <row r="509" s="846" customFormat="1"/>
    <row r="510" s="846" customFormat="1"/>
    <row r="511" s="846" customFormat="1"/>
    <row r="512" s="846" customFormat="1"/>
    <row r="513" s="846" customFormat="1"/>
    <row r="514" s="846" customFormat="1"/>
    <row r="515" s="846" customFormat="1"/>
    <row r="516" s="846" customFormat="1"/>
    <row r="517" s="846" customFormat="1"/>
    <row r="518" s="846" customFormat="1"/>
    <row r="519" s="846" customFormat="1"/>
    <row r="520" s="846" customFormat="1"/>
    <row r="521" s="846" customFormat="1"/>
    <row r="522" s="846" customFormat="1"/>
    <row r="523" s="846" customFormat="1"/>
    <row r="524" s="846" customFormat="1"/>
    <row r="525" s="846" customFormat="1"/>
    <row r="526" s="846" customFormat="1"/>
    <row r="527" s="846" customFormat="1"/>
    <row r="528" s="846" customFormat="1"/>
    <row r="529" s="846" customFormat="1"/>
    <row r="530" s="846" customFormat="1"/>
    <row r="531" s="846" customFormat="1"/>
    <row r="532" s="846" customFormat="1"/>
    <row r="533" s="846" customFormat="1"/>
    <row r="534" s="846" customFormat="1"/>
    <row r="535" s="846" customFormat="1"/>
    <row r="536" s="846" customFormat="1"/>
    <row r="537" s="846" customFormat="1"/>
    <row r="538" s="846" customFormat="1"/>
    <row r="539" s="846" customFormat="1"/>
    <row r="540" s="846" customFormat="1"/>
    <row r="541" s="846" customFormat="1"/>
    <row r="542" s="846" customFormat="1"/>
    <row r="543" s="846" customFormat="1"/>
    <row r="544" s="846" customFormat="1"/>
    <row r="545" s="846" customFormat="1"/>
    <row r="546" s="846" customFormat="1"/>
    <row r="547" s="846" customFormat="1"/>
    <row r="548" s="846" customFormat="1"/>
    <row r="549" s="846" customFormat="1"/>
    <row r="550" s="846" customFormat="1"/>
    <row r="551" s="846" customFormat="1"/>
    <row r="552" s="846" customFormat="1"/>
    <row r="553" s="846" customFormat="1"/>
    <row r="554" s="846" customFormat="1"/>
    <row r="555" s="846" customFormat="1"/>
    <row r="556" s="846" customFormat="1"/>
    <row r="557" s="846" customFormat="1"/>
    <row r="558" s="846" customFormat="1"/>
    <row r="559" s="846" customFormat="1"/>
    <row r="560" s="846" customFormat="1"/>
    <row r="561" s="846" customFormat="1"/>
    <row r="562" s="846" customFormat="1"/>
    <row r="563" s="846" customFormat="1"/>
    <row r="564" s="846" customFormat="1"/>
    <row r="565" s="846" customFormat="1"/>
    <row r="566" s="846" customFormat="1"/>
    <row r="567" s="846" customFormat="1"/>
    <row r="568" s="846" customFormat="1"/>
    <row r="569" s="846" customFormat="1"/>
    <row r="570" s="846" customFormat="1"/>
    <row r="571" s="846" customFormat="1"/>
    <row r="572" s="846" customFormat="1"/>
    <row r="573" s="846" customFormat="1"/>
    <row r="574" s="846" customFormat="1"/>
    <row r="575" s="846" customFormat="1"/>
    <row r="576" s="846" customFormat="1"/>
    <row r="577" s="846" customFormat="1"/>
    <row r="578" s="846" customFormat="1"/>
    <row r="579" s="846" customFormat="1"/>
    <row r="580" s="846" customFormat="1"/>
    <row r="581" s="846" customFormat="1"/>
    <row r="582" s="846" customFormat="1"/>
    <row r="583" s="846" customFormat="1"/>
    <row r="584" s="846" customFormat="1"/>
    <row r="585" s="846" customFormat="1"/>
    <row r="586" s="846" customFormat="1"/>
    <row r="587" s="846" customFormat="1"/>
    <row r="588" s="846" customFormat="1"/>
    <row r="589" s="846" customFormat="1"/>
    <row r="590" s="846" customFormat="1"/>
    <row r="591" s="846" customFormat="1"/>
    <row r="592" s="846" customFormat="1"/>
    <row r="593" s="846" customFormat="1"/>
    <row r="594" s="846" customFormat="1"/>
    <row r="595" s="846" customFormat="1"/>
    <row r="596" s="846" customFormat="1"/>
    <row r="597" s="846" customFormat="1"/>
    <row r="598" s="846" customFormat="1"/>
    <row r="599" s="846" customFormat="1"/>
    <row r="600" s="846" customFormat="1"/>
    <row r="601" s="846" customFormat="1"/>
    <row r="602" s="846" customFormat="1"/>
    <row r="603" s="846" customFormat="1"/>
    <row r="604" s="846" customFormat="1"/>
    <row r="605" s="846" customFormat="1"/>
    <row r="606" s="846" customFormat="1"/>
    <row r="607" s="846" customFormat="1"/>
    <row r="608" s="846" customFormat="1"/>
    <row r="609" s="846" customFormat="1"/>
    <row r="610" s="846" customFormat="1"/>
    <row r="611" s="846" customFormat="1"/>
    <row r="612" s="846" customFormat="1"/>
    <row r="613" s="846" customFormat="1"/>
    <row r="614" s="846" customFormat="1"/>
    <row r="615" s="846" customFormat="1"/>
    <row r="616" s="846" customFormat="1"/>
    <row r="617" s="846" customFormat="1"/>
    <row r="618" s="846" customFormat="1"/>
    <row r="619" s="846" customFormat="1"/>
    <row r="620" s="846" customFormat="1"/>
    <row r="621" s="846" customFormat="1"/>
    <row r="622" s="846" customFormat="1"/>
    <row r="623" s="846" customFormat="1"/>
    <row r="624" s="846" customFormat="1"/>
    <row r="625" s="846" customFormat="1"/>
    <row r="626" s="846" customFormat="1"/>
    <row r="627" s="846" customFormat="1"/>
    <row r="628" s="846" customFormat="1"/>
    <row r="629" s="846" customFormat="1"/>
    <row r="630" s="846" customFormat="1"/>
    <row r="631" s="846" customFormat="1"/>
    <row r="632" s="846" customFormat="1"/>
    <row r="633" s="846" customFormat="1"/>
    <row r="634" s="846" customFormat="1"/>
    <row r="635" s="846" customFormat="1"/>
    <row r="636" s="846" customFormat="1"/>
    <row r="637" s="846" customFormat="1"/>
    <row r="638" s="846" customFormat="1"/>
    <row r="639" s="846" customFormat="1"/>
    <row r="640" s="846" customFormat="1"/>
    <row r="641" s="846" customFormat="1"/>
    <row r="642" s="846" customFormat="1"/>
    <row r="643" s="846" customFormat="1"/>
    <row r="644" s="846" customFormat="1"/>
    <row r="645" s="846" customFormat="1"/>
    <row r="646" s="846" customFormat="1"/>
    <row r="647" s="846" customFormat="1"/>
    <row r="648" s="846" customFormat="1"/>
    <row r="649" s="846" customFormat="1"/>
    <row r="650" s="846" customFormat="1"/>
    <row r="651" s="846" customFormat="1"/>
    <row r="652" s="846" customFormat="1"/>
    <row r="653" s="846" customFormat="1"/>
    <row r="654" s="846" customFormat="1"/>
    <row r="655" s="846" customFormat="1"/>
    <row r="656" s="846" customFormat="1"/>
    <row r="657" s="846" customFormat="1"/>
    <row r="658" s="846" customFormat="1"/>
    <row r="659" s="846" customFormat="1"/>
    <row r="660" s="846" customFormat="1"/>
    <row r="661" s="846" customFormat="1"/>
    <row r="662" s="846" customFormat="1"/>
    <row r="663" s="846" customFormat="1"/>
    <row r="664" s="846" customFormat="1"/>
    <row r="665" s="846" customFormat="1"/>
    <row r="666" s="846" customFormat="1"/>
    <row r="667" s="846" customFormat="1"/>
    <row r="668" s="846" customFormat="1"/>
    <row r="669" s="846" customFormat="1"/>
    <row r="670" s="846" customFormat="1"/>
    <row r="671" s="846" customFormat="1"/>
    <row r="672" s="846" customFormat="1"/>
    <row r="673" s="846" customFormat="1"/>
    <row r="674" s="846" customFormat="1"/>
    <row r="675" s="846" customFormat="1"/>
    <row r="676" s="846" customFormat="1"/>
    <row r="677" s="846" customFormat="1"/>
    <row r="678" s="846" customFormat="1"/>
    <row r="679" s="846" customFormat="1"/>
    <row r="680" s="846" customFormat="1"/>
    <row r="681" s="846" customFormat="1"/>
    <row r="682" s="846" customFormat="1"/>
    <row r="683" s="846" customFormat="1"/>
    <row r="684" s="846" customFormat="1"/>
    <row r="685" s="846" customFormat="1"/>
    <row r="686" s="846" customFormat="1"/>
    <row r="687" s="846" customFormat="1"/>
    <row r="688" s="846" customFormat="1"/>
    <row r="689" s="846" customFormat="1"/>
    <row r="690" s="846" customFormat="1"/>
    <row r="691" s="846" customFormat="1"/>
    <row r="692" s="846" customFormat="1"/>
    <row r="693" s="846" customFormat="1"/>
    <row r="694" s="846" customFormat="1"/>
    <row r="695" s="846" customFormat="1"/>
    <row r="696" s="846" customFormat="1"/>
    <row r="697" s="846" customFormat="1"/>
    <row r="698" s="846" customFormat="1"/>
    <row r="699" s="846" customFormat="1"/>
    <row r="700" s="846" customFormat="1"/>
    <row r="701" s="846" customFormat="1"/>
    <row r="702" s="846" customFormat="1"/>
    <row r="703" s="846" customFormat="1"/>
    <row r="704" s="846" customFormat="1"/>
    <row r="705" s="846" customFormat="1"/>
    <row r="706" s="846" customFormat="1"/>
    <row r="707" s="846" customFormat="1"/>
    <row r="708" s="846" customFormat="1"/>
    <row r="709" s="846" customFormat="1"/>
    <row r="710" s="846" customFormat="1"/>
    <row r="711" s="846" customFormat="1"/>
    <row r="712" s="846" customFormat="1"/>
    <row r="713" s="846" customFormat="1"/>
    <row r="714" s="846" customFormat="1"/>
    <row r="715" s="846" customFormat="1"/>
    <row r="716" s="846" customFormat="1"/>
    <row r="717" s="846" customFormat="1"/>
    <row r="718" s="846" customFormat="1"/>
    <row r="719" s="846" customFormat="1"/>
    <row r="720" s="846" customFormat="1"/>
    <row r="721" s="846" customFormat="1"/>
    <row r="722" s="846" customFormat="1"/>
    <row r="723" s="846" customFormat="1"/>
    <row r="724" s="846" customFormat="1"/>
    <row r="725" s="846" customFormat="1"/>
    <row r="726" s="846" customFormat="1"/>
    <row r="727" s="846" customFormat="1"/>
    <row r="728" s="846" customFormat="1"/>
    <row r="729" s="846" customFormat="1"/>
    <row r="730" s="846" customFormat="1"/>
    <row r="731" s="846" customFormat="1"/>
    <row r="732" s="846" customFormat="1"/>
    <row r="733" s="846" customFormat="1"/>
    <row r="734" s="846" customFormat="1"/>
    <row r="735" s="846" customFormat="1"/>
    <row r="736" s="846" customFormat="1"/>
    <row r="737" s="846" customFormat="1"/>
    <row r="738" s="846" customFormat="1"/>
    <row r="739" s="846" customFormat="1"/>
    <row r="740" s="846" customFormat="1"/>
    <row r="741" s="846" customFormat="1"/>
    <row r="742" s="846" customFormat="1"/>
    <row r="743" s="846" customFormat="1"/>
    <row r="744" s="846" customFormat="1"/>
    <row r="745" s="846" customFormat="1"/>
    <row r="746" s="846" customFormat="1"/>
    <row r="747" s="846" customFormat="1"/>
    <row r="748" s="846" customFormat="1"/>
    <row r="749" s="846" customFormat="1"/>
    <row r="750" s="846" customFormat="1"/>
    <row r="751" s="846" customFormat="1"/>
    <row r="752" s="846" customFormat="1"/>
    <row r="753" s="846" customFormat="1"/>
    <row r="754" s="846" customFormat="1"/>
    <row r="755" s="846" customFormat="1"/>
    <row r="756" s="846" customFormat="1"/>
    <row r="757" s="846" customFormat="1"/>
    <row r="758" s="846" customFormat="1"/>
    <row r="759" s="846" customFormat="1"/>
    <row r="760" s="846" customFormat="1"/>
    <row r="761" s="846" customFormat="1"/>
    <row r="762" s="846" customFormat="1"/>
    <row r="763" s="846" customFormat="1"/>
    <row r="764" s="846" customFormat="1"/>
    <row r="765" s="846" customFormat="1"/>
    <row r="766" s="846" customFormat="1"/>
    <row r="767" s="846" customFormat="1"/>
    <row r="768" s="846" customFormat="1"/>
    <row r="769" s="846" customFormat="1"/>
    <row r="770" s="846" customFormat="1"/>
    <row r="771" s="846" customFormat="1"/>
    <row r="772" s="846" customFormat="1"/>
    <row r="773" s="846" customFormat="1"/>
    <row r="774" s="846" customFormat="1"/>
    <row r="775" s="846" customFormat="1"/>
    <row r="776" s="846" customFormat="1"/>
    <row r="777" s="846" customFormat="1"/>
    <row r="778" s="846" customFormat="1"/>
    <row r="779" s="846" customFormat="1"/>
    <row r="780" s="846" customFormat="1"/>
    <row r="781" s="846" customFormat="1"/>
    <row r="782" s="846" customFormat="1"/>
    <row r="783" s="846" customFormat="1"/>
    <row r="784" s="846" customFormat="1"/>
    <row r="785" s="846" customFormat="1"/>
    <row r="786" s="846" customFormat="1"/>
    <row r="787" s="846" customFormat="1"/>
    <row r="788" s="846" customFormat="1"/>
  </sheetData>
  <pageMargins left="0.75" right="0.75" top="1" bottom="1" header="0.5" footer="0.5"/>
  <pageSetup paperSize="9" orientation="portrait" horizontalDpi="4294967292" verticalDpi="429496729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188"/>
  <sheetViews>
    <sheetView zoomScale="80" zoomScaleNormal="80" workbookViewId="0">
      <pane xSplit="1" topLeftCell="B1" activePane="topRight" state="frozen"/>
      <selection pane="topRight" activeCell="B6" sqref="B6"/>
    </sheetView>
  </sheetViews>
  <sheetFormatPr baseColWidth="10" defaultRowHeight="15"/>
  <cols>
    <col min="1" max="1" width="49.6640625" style="99" customWidth="1"/>
    <col min="2" max="6" width="10.83203125" style="99"/>
    <col min="7" max="7" width="10.83203125" style="99" customWidth="1"/>
    <col min="8" max="15" width="10.83203125" style="99"/>
    <col min="16" max="16" width="10.83203125" style="99" customWidth="1"/>
    <col min="17" max="34" width="10.83203125" style="99"/>
    <col min="35" max="35" width="6" style="99" customWidth="1"/>
    <col min="36" max="52" width="6" style="99" hidden="1" customWidth="1"/>
    <col min="53" max="53" width="33" style="99" customWidth="1"/>
    <col min="54" max="68" width="10.83203125" style="99"/>
    <col min="69" max="70" width="10.83203125" style="99" customWidth="1"/>
    <col min="71" max="75" width="10.83203125" style="99"/>
    <col min="76" max="76" width="10.6640625" style="99" customWidth="1"/>
    <col min="77" max="77" width="10.83203125" style="99" customWidth="1"/>
    <col min="78" max="79" width="10.83203125" style="99"/>
    <col min="80" max="86" width="12.5" style="99" customWidth="1"/>
    <col min="87" max="16384" width="10.83203125" style="99"/>
  </cols>
  <sheetData>
    <row r="1" spans="1:105" ht="21">
      <c r="A1" s="437" t="s">
        <v>148</v>
      </c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</row>
    <row r="2" spans="1:105" ht="21">
      <c r="A2" s="437"/>
      <c r="P2" s="126"/>
      <c r="Q2" s="126"/>
      <c r="R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</row>
    <row r="3" spans="1:105" ht="21">
      <c r="A3" s="437" t="s">
        <v>149</v>
      </c>
      <c r="S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</row>
    <row r="4" spans="1:105" ht="21">
      <c r="A4" s="437"/>
      <c r="J4" s="438"/>
      <c r="K4" s="260"/>
      <c r="L4" s="260"/>
      <c r="M4" s="260"/>
      <c r="O4" s="126"/>
      <c r="Q4" s="13"/>
      <c r="R4" s="13"/>
      <c r="S4" s="13"/>
      <c r="BC4" s="126"/>
      <c r="BD4" s="126"/>
      <c r="BE4" s="126"/>
      <c r="BF4" s="126"/>
      <c r="BG4" s="126"/>
      <c r="BH4" s="126"/>
      <c r="BI4" s="126"/>
      <c r="BJ4" s="126"/>
    </row>
    <row r="5" spans="1:105" ht="21">
      <c r="A5" s="437" t="s">
        <v>147</v>
      </c>
      <c r="B5" s="687">
        <v>45818</v>
      </c>
      <c r="Q5" s="13"/>
      <c r="R5" s="13"/>
      <c r="S5" s="13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26"/>
      <c r="CC5" s="126"/>
      <c r="CD5" s="126"/>
      <c r="CE5" s="126"/>
      <c r="CF5" s="126"/>
      <c r="CG5" s="126"/>
      <c r="CH5" s="126"/>
    </row>
    <row r="6" spans="1:105" ht="16" thickBo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7"/>
      <c r="BB6" s="7"/>
      <c r="BC6" s="7"/>
      <c r="BD6" s="7"/>
      <c r="BE6" s="7"/>
      <c r="BF6" s="7"/>
      <c r="BG6" s="7"/>
      <c r="BH6" s="7"/>
      <c r="BI6" s="7"/>
      <c r="BJ6" s="7"/>
      <c r="BK6" s="585"/>
      <c r="BL6" s="585"/>
      <c r="BM6" s="585"/>
      <c r="BN6" s="585"/>
      <c r="BO6" s="585"/>
      <c r="BP6" s="585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</row>
    <row r="7" spans="1:10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9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</row>
    <row r="8" spans="1:105" ht="16" thickBo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L8" s="126"/>
      <c r="CM8" s="126"/>
      <c r="CN8" s="126"/>
      <c r="CO8" s="126"/>
      <c r="CP8" s="126"/>
      <c r="CQ8" s="126"/>
    </row>
    <row r="9" spans="1:10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310"/>
      <c r="R9" s="310"/>
      <c r="S9" s="11"/>
      <c r="T9" s="310"/>
      <c r="U9" s="310"/>
      <c r="V9" s="310"/>
      <c r="W9" s="310"/>
      <c r="X9" s="310"/>
      <c r="Y9" s="310"/>
      <c r="Z9" s="310"/>
      <c r="AA9" s="310"/>
      <c r="AB9" s="310"/>
      <c r="AC9" s="310"/>
      <c r="AD9" s="310"/>
      <c r="AE9" s="310"/>
      <c r="AF9" s="310"/>
      <c r="AG9" s="310"/>
      <c r="AH9" s="310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595"/>
      <c r="CB9" s="595"/>
      <c r="CC9" s="11"/>
      <c r="CD9" s="11"/>
      <c r="CE9" s="11"/>
      <c r="CF9" s="11"/>
      <c r="CG9" s="11"/>
      <c r="CH9" s="11"/>
      <c r="CM9" s="260"/>
    </row>
    <row r="10" spans="1:105" ht="22" thickBot="1">
      <c r="A10" s="12" t="s">
        <v>107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13"/>
      <c r="N10" s="13"/>
      <c r="O10" s="13"/>
      <c r="P10" s="13"/>
      <c r="S10" s="13"/>
      <c r="T10" s="645"/>
      <c r="U10" s="13"/>
      <c r="V10" s="13"/>
      <c r="W10" s="13"/>
      <c r="X10" s="13"/>
      <c r="Y10" s="13"/>
      <c r="Z10" s="13"/>
      <c r="AA10" s="645"/>
      <c r="AB10" s="13"/>
      <c r="AC10" s="13"/>
      <c r="AD10" s="13"/>
      <c r="AE10" s="13"/>
      <c r="AF10" s="13"/>
      <c r="AG10" s="13"/>
      <c r="AH10" s="13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12" t="s">
        <v>387</v>
      </c>
      <c r="BB10" s="8"/>
      <c r="BC10" s="8"/>
      <c r="BD10" s="8"/>
      <c r="BE10" s="8"/>
      <c r="BF10" s="8"/>
      <c r="BG10" s="8"/>
      <c r="BH10" s="8"/>
      <c r="BI10" s="8"/>
      <c r="BJ10" s="8"/>
      <c r="BP10" s="13"/>
      <c r="BS10" s="126"/>
      <c r="BT10" s="13"/>
      <c r="BU10" s="13"/>
      <c r="BV10" s="91"/>
      <c r="BW10" s="91"/>
      <c r="BX10" s="91"/>
      <c r="BY10" s="13"/>
      <c r="BZ10" s="234"/>
      <c r="CA10" s="13"/>
      <c r="CB10" s="234"/>
      <c r="CC10" s="234"/>
      <c r="CD10" s="91"/>
      <c r="CE10" s="91"/>
      <c r="CF10" s="91"/>
      <c r="CG10" s="91"/>
      <c r="CH10" s="91"/>
      <c r="CW10" s="438"/>
      <c r="CX10" s="438"/>
      <c r="CY10" s="438"/>
      <c r="CZ10" s="438"/>
      <c r="DA10" s="438"/>
    </row>
    <row r="11" spans="1:105" ht="16" thickBo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34"/>
      <c r="O11" s="8"/>
      <c r="P11" s="8"/>
      <c r="Q11" s="309"/>
      <c r="R11" s="309"/>
      <c r="S11" s="8"/>
      <c r="T11" s="309"/>
      <c r="U11" s="309"/>
      <c r="V11" s="309"/>
      <c r="W11" s="309"/>
      <c r="X11" s="309"/>
      <c r="Y11" s="309"/>
      <c r="Z11" s="309"/>
      <c r="AA11" s="309"/>
      <c r="AB11" s="309"/>
      <c r="AC11" s="309"/>
      <c r="AD11" s="309"/>
      <c r="AE11" s="309"/>
      <c r="AF11" s="309"/>
      <c r="AG11" s="309"/>
      <c r="AH11" s="309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13"/>
      <c r="BQ11" s="13"/>
      <c r="BR11" s="8"/>
      <c r="BS11" s="13"/>
      <c r="BT11" s="13"/>
      <c r="BU11" s="8"/>
      <c r="BV11" s="8"/>
      <c r="BW11" s="8"/>
      <c r="BX11" s="234"/>
      <c r="BY11" s="8"/>
      <c r="BZ11" s="8"/>
      <c r="CA11" s="8"/>
      <c r="CB11" s="8"/>
      <c r="CC11" s="234"/>
      <c r="CD11" s="8"/>
      <c r="CE11" s="8"/>
      <c r="CF11" s="8"/>
      <c r="CG11" s="8"/>
      <c r="CH11" s="8"/>
      <c r="CJ11" s="439" t="s">
        <v>395</v>
      </c>
      <c r="CK11" s="440"/>
      <c r="CL11" s="440"/>
      <c r="CM11" s="440"/>
      <c r="CN11" s="440"/>
      <c r="CO11" s="440"/>
      <c r="CP11" s="440"/>
      <c r="CQ11" s="440"/>
      <c r="CR11" s="440"/>
      <c r="CS11" s="440"/>
      <c r="CT11" s="440"/>
      <c r="CU11" s="440"/>
      <c r="CV11" s="440"/>
      <c r="CW11" s="440"/>
      <c r="CX11" s="440"/>
      <c r="CY11" s="440"/>
      <c r="CZ11" s="440"/>
      <c r="DA11" s="441"/>
    </row>
    <row r="12" spans="1:105" ht="22" customHeight="1">
      <c r="A12" s="14" t="s">
        <v>150</v>
      </c>
      <c r="B12" s="15">
        <v>1998</v>
      </c>
      <c r="C12" s="15">
        <v>1999</v>
      </c>
      <c r="D12" s="15">
        <v>2000</v>
      </c>
      <c r="E12" s="15">
        <v>2001</v>
      </c>
      <c r="F12" s="15">
        <v>2002</v>
      </c>
      <c r="G12" s="15">
        <v>2003</v>
      </c>
      <c r="H12" s="15">
        <v>2004</v>
      </c>
      <c r="I12" s="15">
        <v>2005</v>
      </c>
      <c r="J12" s="15">
        <v>2006</v>
      </c>
      <c r="K12" s="15">
        <v>2007</v>
      </c>
      <c r="L12" s="15">
        <v>2008</v>
      </c>
      <c r="M12" s="15">
        <v>2009</v>
      </c>
      <c r="N12" s="15">
        <v>2010</v>
      </c>
      <c r="O12" s="15">
        <v>2011</v>
      </c>
      <c r="P12" s="15">
        <v>2012</v>
      </c>
      <c r="Q12" s="15">
        <v>2013</v>
      </c>
      <c r="R12" s="15">
        <v>2014</v>
      </c>
      <c r="S12" s="15">
        <v>2015</v>
      </c>
      <c r="T12" s="15">
        <v>2016</v>
      </c>
      <c r="U12" s="15">
        <v>2017</v>
      </c>
      <c r="V12" s="15">
        <v>2018</v>
      </c>
      <c r="W12" s="15">
        <v>2019</v>
      </c>
      <c r="X12" s="15">
        <v>2020</v>
      </c>
      <c r="Y12" s="15">
        <v>2021</v>
      </c>
      <c r="Z12" s="15">
        <v>2022</v>
      </c>
      <c r="AA12" s="15">
        <v>2023</v>
      </c>
      <c r="AB12" s="15" t="s">
        <v>495</v>
      </c>
      <c r="AC12" s="15" t="s">
        <v>499</v>
      </c>
      <c r="AD12" s="15" t="s">
        <v>508</v>
      </c>
      <c r="AE12" s="15" t="s">
        <v>517</v>
      </c>
      <c r="AF12" s="15" t="s">
        <v>821</v>
      </c>
      <c r="AG12" s="15" t="s">
        <v>863</v>
      </c>
      <c r="AH12" s="16" t="s">
        <v>929</v>
      </c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14" t="s">
        <v>150</v>
      </c>
      <c r="BB12" s="15">
        <v>1998</v>
      </c>
      <c r="BC12" s="15">
        <v>1999</v>
      </c>
      <c r="BD12" s="15">
        <v>2000</v>
      </c>
      <c r="BE12" s="15">
        <v>2001</v>
      </c>
      <c r="BF12" s="15">
        <v>2002</v>
      </c>
      <c r="BG12" s="15">
        <v>2003</v>
      </c>
      <c r="BH12" s="15">
        <v>2004</v>
      </c>
      <c r="BI12" s="15">
        <v>2005</v>
      </c>
      <c r="BJ12" s="15">
        <v>2006</v>
      </c>
      <c r="BK12" s="15">
        <v>2007</v>
      </c>
      <c r="BL12" s="15">
        <v>2008</v>
      </c>
      <c r="BM12" s="15">
        <v>2009</v>
      </c>
      <c r="BN12" s="15">
        <v>2010</v>
      </c>
      <c r="BO12" s="15">
        <v>2011</v>
      </c>
      <c r="BP12" s="15">
        <v>2012</v>
      </c>
      <c r="BQ12" s="15">
        <v>2013</v>
      </c>
      <c r="BR12" s="15">
        <v>2014</v>
      </c>
      <c r="BS12" s="15">
        <v>2015</v>
      </c>
      <c r="BT12" s="15">
        <v>2016</v>
      </c>
      <c r="BU12" s="15">
        <v>2017</v>
      </c>
      <c r="BV12" s="15">
        <v>2018</v>
      </c>
      <c r="BW12" s="15">
        <v>2019</v>
      </c>
      <c r="BX12" s="15">
        <v>2020</v>
      </c>
      <c r="BY12" s="15">
        <v>2021</v>
      </c>
      <c r="BZ12" s="15">
        <v>2022</v>
      </c>
      <c r="CA12" s="15">
        <v>2023</v>
      </c>
      <c r="CB12" s="15" t="s">
        <v>495</v>
      </c>
      <c r="CC12" s="15" t="s">
        <v>499</v>
      </c>
      <c r="CD12" s="15" t="s">
        <v>508</v>
      </c>
      <c r="CE12" s="15" t="s">
        <v>517</v>
      </c>
      <c r="CF12" s="15" t="s">
        <v>821</v>
      </c>
      <c r="CG12" s="15" t="s">
        <v>863</v>
      </c>
      <c r="CH12" s="16" t="s">
        <v>929</v>
      </c>
      <c r="CJ12" s="442"/>
      <c r="CK12" s="443"/>
      <c r="CL12" s="443"/>
      <c r="CM12" s="443"/>
      <c r="CN12" s="443"/>
      <c r="CO12" s="443"/>
      <c r="CP12" s="443"/>
      <c r="CQ12" s="443"/>
      <c r="CR12" s="443"/>
      <c r="CS12" s="443"/>
      <c r="CT12" s="443"/>
      <c r="CU12" s="443"/>
      <c r="CV12" s="443"/>
      <c r="CW12" s="443"/>
      <c r="CX12" s="443"/>
      <c r="CY12" s="443"/>
      <c r="CZ12" s="443"/>
      <c r="DA12" s="444"/>
    </row>
    <row r="13" spans="1:105">
      <c r="A13" s="17"/>
      <c r="B13" s="8"/>
      <c r="C13" s="708"/>
      <c r="D13" s="708"/>
      <c r="E13" s="708"/>
      <c r="F13" s="708"/>
      <c r="G13" s="708"/>
      <c r="H13" s="708"/>
      <c r="I13" s="708"/>
      <c r="J13" s="708"/>
      <c r="K13" s="708"/>
      <c r="L13" s="708"/>
      <c r="M13" s="708"/>
      <c r="N13" s="708"/>
      <c r="O13" s="708"/>
      <c r="P13" s="708"/>
      <c r="Q13" s="708"/>
      <c r="R13" s="708"/>
      <c r="S13" s="708"/>
      <c r="T13" s="708"/>
      <c r="U13" s="708"/>
      <c r="V13" s="708"/>
      <c r="W13" s="708"/>
      <c r="X13" s="708"/>
      <c r="Y13" s="708"/>
      <c r="Z13" s="708"/>
      <c r="AA13" s="708"/>
      <c r="AB13" s="708"/>
      <c r="AC13" s="708"/>
      <c r="AD13" s="708"/>
      <c r="AE13" s="708"/>
      <c r="AF13" s="708"/>
      <c r="AG13" s="708"/>
      <c r="AH13" s="709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7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18"/>
      <c r="CJ13" s="442"/>
      <c r="CK13" s="443"/>
      <c r="CL13" s="443"/>
      <c r="CM13" s="443"/>
      <c r="CN13" s="443"/>
      <c r="CO13" s="443"/>
      <c r="CP13" s="443"/>
      <c r="CQ13" s="443"/>
      <c r="CR13" s="443"/>
      <c r="CS13" s="443"/>
      <c r="CT13" s="443"/>
      <c r="CU13" s="443"/>
      <c r="CV13" s="443"/>
      <c r="CW13" s="443"/>
      <c r="CX13" s="443"/>
      <c r="CY13" s="443"/>
      <c r="CZ13" s="443"/>
      <c r="DA13" s="444"/>
    </row>
    <row r="14" spans="1:105">
      <c r="A14" s="20" t="s">
        <v>151</v>
      </c>
      <c r="B14" s="13"/>
      <c r="C14" s="13">
        <v>180.5125438841622</v>
      </c>
      <c r="D14" s="13">
        <v>151.41308816169791</v>
      </c>
      <c r="E14" s="13">
        <v>152.64230633547589</v>
      </c>
      <c r="F14" s="13">
        <v>153.88150368170912</v>
      </c>
      <c r="G14" s="13">
        <v>155.13076121439903</v>
      </c>
      <c r="H14" s="13">
        <v>156.39016060524372</v>
      </c>
      <c r="I14" s="13">
        <v>136.43729742782614</v>
      </c>
      <c r="J14" s="13">
        <v>149.78446751488826</v>
      </c>
      <c r="K14" s="13">
        <v>151.26651228056772</v>
      </c>
      <c r="L14" s="13">
        <v>123.64020181332644</v>
      </c>
      <c r="M14" s="13">
        <v>103.88844059483378</v>
      </c>
      <c r="N14" s="13">
        <v>87.762839038163662</v>
      </c>
      <c r="O14" s="13">
        <v>68.597778000000005</v>
      </c>
      <c r="P14" s="13">
        <v>37.617899223331072</v>
      </c>
      <c r="Q14" s="13">
        <v>29.334977983252784</v>
      </c>
      <c r="R14" s="13">
        <v>24.500025976871012</v>
      </c>
      <c r="S14" s="13">
        <v>22.75785089736803</v>
      </c>
      <c r="T14" s="13">
        <v>21.560914114416473</v>
      </c>
      <c r="U14" s="13">
        <v>19.46</v>
      </c>
      <c r="V14" s="13">
        <v>18.62</v>
      </c>
      <c r="W14" s="13">
        <v>17.236000000000001</v>
      </c>
      <c r="X14" s="13">
        <v>11</v>
      </c>
      <c r="Y14" s="13">
        <v>11.3</v>
      </c>
      <c r="Z14" s="13">
        <v>13.110408538449089</v>
      </c>
      <c r="AA14" s="13">
        <v>12.73</v>
      </c>
      <c r="AB14" s="13">
        <v>12.15</v>
      </c>
      <c r="AC14" s="13">
        <v>11.71</v>
      </c>
      <c r="AD14" s="13">
        <v>11.42</v>
      </c>
      <c r="AE14" s="13">
        <v>11.2</v>
      </c>
      <c r="AF14" s="13">
        <v>11.08</v>
      </c>
      <c r="AG14" s="13">
        <v>11.02</v>
      </c>
      <c r="AH14" s="19">
        <v>11.02</v>
      </c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20" t="s">
        <v>151</v>
      </c>
      <c r="BB14" s="13"/>
      <c r="BC14" s="13">
        <v>54.292635335192102</v>
      </c>
      <c r="BD14" s="13">
        <v>45.54041178331439</v>
      </c>
      <c r="BE14" s="13">
        <v>45.910122899341566</v>
      </c>
      <c r="BF14" s="13">
        <v>46.28283544429663</v>
      </c>
      <c r="BG14" s="13">
        <v>46.658573784705816</v>
      </c>
      <c r="BH14" s="13">
        <v>47.037362484910339</v>
      </c>
      <c r="BI14" s="13">
        <v>41.036153366281539</v>
      </c>
      <c r="BJ14" s="13">
        <v>45.050572656492584</v>
      </c>
      <c r="BK14" s="13">
        <v>45.496326255007602</v>
      </c>
      <c r="BL14" s="13">
        <v>37.231546116501512</v>
      </c>
      <c r="BM14" s="13">
        <v>41.530750009094959</v>
      </c>
      <c r="BN14" s="13">
        <v>35.02939825770715</v>
      </c>
      <c r="BO14" s="13">
        <v>20.579333399999999</v>
      </c>
      <c r="BP14" s="13">
        <v>11.3939899034868</v>
      </c>
      <c r="BQ14" s="13">
        <v>8.9209925219561068</v>
      </c>
      <c r="BR14" s="13">
        <v>6.7514629591614197</v>
      </c>
      <c r="BS14" s="13">
        <v>6.1501232810725206</v>
      </c>
      <c r="BT14" s="13">
        <v>5.762444247868209</v>
      </c>
      <c r="BU14" s="13">
        <v>5.08</v>
      </c>
      <c r="BV14" s="13">
        <v>4.5599999999999996</v>
      </c>
      <c r="BW14" s="13">
        <v>4.0599999999999996</v>
      </c>
      <c r="BX14" s="13">
        <v>2.6</v>
      </c>
      <c r="BY14" s="13">
        <v>2.67</v>
      </c>
      <c r="BZ14" s="13">
        <v>3.67</v>
      </c>
      <c r="CA14" s="13">
        <v>3.5635121409821977</v>
      </c>
      <c r="CB14" s="13">
        <v>3.4011525933176512</v>
      </c>
      <c r="CC14" s="13">
        <v>3.2779832812962715</v>
      </c>
      <c r="CD14" s="13">
        <v>3.196803507463998</v>
      </c>
      <c r="CE14" s="13">
        <v>3.1352188514533079</v>
      </c>
      <c r="CF14" s="13">
        <v>3.1016272209020226</v>
      </c>
      <c r="CG14" s="13">
        <v>3.0848314056263799</v>
      </c>
      <c r="CH14" s="19">
        <v>3.0848314056263799</v>
      </c>
      <c r="CJ14" s="442"/>
      <c r="CK14" s="443"/>
      <c r="CL14" s="443"/>
      <c r="CM14" s="443"/>
      <c r="CN14" s="443"/>
      <c r="CO14" s="443"/>
      <c r="CP14" s="443"/>
      <c r="CQ14" s="443"/>
      <c r="CR14" s="443"/>
      <c r="CS14" s="443"/>
      <c r="CT14" s="443"/>
      <c r="CU14" s="443"/>
      <c r="CV14" s="443"/>
      <c r="CW14" s="443"/>
      <c r="CX14" s="443"/>
      <c r="CY14" s="443"/>
      <c r="CZ14" s="443"/>
      <c r="DA14" s="444"/>
    </row>
    <row r="15" spans="1:105">
      <c r="A15" s="23" t="s">
        <v>195</v>
      </c>
      <c r="B15" s="21"/>
      <c r="C15" s="21">
        <v>2172.9874561158376</v>
      </c>
      <c r="D15" s="21">
        <v>2362.5869118383021</v>
      </c>
      <c r="E15" s="21">
        <v>2585.1908374632117</v>
      </c>
      <c r="F15" s="21">
        <v>2622.983675993195</v>
      </c>
      <c r="G15" s="21">
        <v>2787.0191434608096</v>
      </c>
      <c r="H15" s="21">
        <v>2716.5784845265143</v>
      </c>
      <c r="I15" s="21">
        <v>2580.5917713889448</v>
      </c>
      <c r="J15" s="21">
        <v>2687.6844468511617</v>
      </c>
      <c r="K15" s="21">
        <v>2514.7754768653913</v>
      </c>
      <c r="L15" s="21">
        <v>2055.4935972750927</v>
      </c>
      <c r="M15" s="21">
        <v>1792.1080875246105</v>
      </c>
      <c r="N15" s="21">
        <v>1570.8987185928011</v>
      </c>
      <c r="O15" s="21">
        <v>1248.7042329999999</v>
      </c>
      <c r="P15" s="21">
        <v>924.12379450915296</v>
      </c>
      <c r="Q15" s="21">
        <v>741.47534541582957</v>
      </c>
      <c r="R15" s="21">
        <v>621.53631728857351</v>
      </c>
      <c r="S15" s="21">
        <v>579.15883125405446</v>
      </c>
      <c r="T15" s="21">
        <v>552.93750002793217</v>
      </c>
      <c r="U15" s="21">
        <v>502.5</v>
      </c>
      <c r="V15" s="21">
        <v>486.68</v>
      </c>
      <c r="W15" s="21">
        <v>459.22300000000001</v>
      </c>
      <c r="X15" s="21">
        <v>296.2</v>
      </c>
      <c r="Y15" s="21">
        <v>304.89999999999998</v>
      </c>
      <c r="Z15" s="21">
        <v>354.91144662795085</v>
      </c>
      <c r="AA15" s="21">
        <v>346.96</v>
      </c>
      <c r="AB15" s="21">
        <v>332.82</v>
      </c>
      <c r="AC15" s="21">
        <v>335.17</v>
      </c>
      <c r="AD15" s="21">
        <v>339.07</v>
      </c>
      <c r="AE15" s="21">
        <v>343.04</v>
      </c>
      <c r="AF15" s="21">
        <v>348.15</v>
      </c>
      <c r="AG15" s="21">
        <v>354.01</v>
      </c>
      <c r="AH15" s="22">
        <v>360.5</v>
      </c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23" t="s">
        <v>195</v>
      </c>
      <c r="BB15" s="21"/>
      <c r="BC15" s="21">
        <v>653.56796267051561</v>
      </c>
      <c r="BD15" s="21">
        <v>710.59366231328613</v>
      </c>
      <c r="BE15" s="21">
        <v>777.54609397305524</v>
      </c>
      <c r="BF15" s="21">
        <v>788.91302037295623</v>
      </c>
      <c r="BG15" s="21">
        <v>838.24985661505173</v>
      </c>
      <c r="BH15" s="21">
        <v>817.0634674256969</v>
      </c>
      <c r="BI15" s="21">
        <v>776.16283599064661</v>
      </c>
      <c r="BJ15" s="21">
        <v>808.3730273204601</v>
      </c>
      <c r="BK15" s="21">
        <v>756.36731374719545</v>
      </c>
      <c r="BL15" s="21">
        <v>618.96699889463116</v>
      </c>
      <c r="BM15" s="21">
        <v>534.00612057192097</v>
      </c>
      <c r="BN15" s="21">
        <v>467.35800621676384</v>
      </c>
      <c r="BO15" s="21">
        <v>374.61126989999997</v>
      </c>
      <c r="BP15" s="21">
        <v>279.90550779291527</v>
      </c>
      <c r="BQ15" s="21">
        <v>225.48835780431605</v>
      </c>
      <c r="BR15" s="21">
        <v>185.70261647099875</v>
      </c>
      <c r="BS15" s="21">
        <v>169.69553870772347</v>
      </c>
      <c r="BT15" s="21">
        <v>160.22702895024031</v>
      </c>
      <c r="BU15" s="21">
        <v>142.38</v>
      </c>
      <c r="BV15" s="21">
        <v>129.22999999999999</v>
      </c>
      <c r="BW15" s="21">
        <v>117.17</v>
      </c>
      <c r="BX15" s="21">
        <v>75.569999999999993</v>
      </c>
      <c r="BY15" s="21">
        <v>77.8</v>
      </c>
      <c r="BZ15" s="21">
        <v>107.08</v>
      </c>
      <c r="CA15" s="21">
        <v>104.68097648861257</v>
      </c>
      <c r="CB15" s="21">
        <v>100.41481033819471</v>
      </c>
      <c r="CC15" s="21">
        <v>101.1238266361779</v>
      </c>
      <c r="CD15" s="21">
        <v>102.30049198176697</v>
      </c>
      <c r="CE15" s="21">
        <v>103.49827696176408</v>
      </c>
      <c r="CF15" s="21">
        <v>105.04001027354873</v>
      </c>
      <c r="CG15" s="21">
        <v>106.80802538256208</v>
      </c>
      <c r="CH15" s="22">
        <v>108.76611720124751</v>
      </c>
      <c r="CJ15" s="442"/>
      <c r="CK15" s="443"/>
      <c r="CL15" s="443"/>
      <c r="CM15" s="443"/>
      <c r="CN15" s="443"/>
      <c r="CO15" s="443"/>
      <c r="CP15" s="443"/>
      <c r="CQ15" s="443"/>
      <c r="CR15" s="443"/>
      <c r="CS15" s="443"/>
      <c r="CT15" s="443"/>
      <c r="CU15" s="443"/>
      <c r="CV15" s="443"/>
      <c r="CW15" s="443"/>
      <c r="CX15" s="443"/>
      <c r="CY15" s="443"/>
      <c r="CZ15" s="443"/>
      <c r="DA15" s="444"/>
    </row>
    <row r="16" spans="1:105">
      <c r="A16" s="647" t="s">
        <v>196</v>
      </c>
      <c r="B16" s="25"/>
      <c r="C16" s="25">
        <f>SUM(C14:C15)</f>
        <v>2353.5</v>
      </c>
      <c r="D16" s="25">
        <f t="shared" ref="D16:Y16" si="0">SUM(D14:D15)</f>
        <v>2514</v>
      </c>
      <c r="E16" s="25">
        <f t="shared" si="0"/>
        <v>2737.8331437986876</v>
      </c>
      <c r="F16" s="25">
        <f t="shared" si="0"/>
        <v>2776.8651796749041</v>
      </c>
      <c r="G16" s="25">
        <f t="shared" si="0"/>
        <v>2942.1499046752087</v>
      </c>
      <c r="H16" s="25">
        <f t="shared" si="0"/>
        <v>2872.968645131758</v>
      </c>
      <c r="I16" s="25">
        <f t="shared" si="0"/>
        <v>2717.0290688167711</v>
      </c>
      <c r="J16" s="25">
        <f t="shared" si="0"/>
        <v>2837.4689143660498</v>
      </c>
      <c r="K16" s="25">
        <f t="shared" si="0"/>
        <v>2666.0419891459592</v>
      </c>
      <c r="L16" s="25">
        <f t="shared" si="0"/>
        <v>2179.133799088419</v>
      </c>
      <c r="M16" s="25">
        <f t="shared" si="0"/>
        <v>1895.9965281194443</v>
      </c>
      <c r="N16" s="25">
        <f t="shared" si="0"/>
        <v>1658.6615576309648</v>
      </c>
      <c r="O16" s="25">
        <f t="shared" si="0"/>
        <v>1317.302011</v>
      </c>
      <c r="P16" s="25">
        <f t="shared" si="0"/>
        <v>961.74169373248401</v>
      </c>
      <c r="Q16" s="25">
        <f t="shared" si="0"/>
        <v>770.81032339908234</v>
      </c>
      <c r="R16" s="25">
        <f t="shared" si="0"/>
        <v>646.03634326544454</v>
      </c>
      <c r="S16" s="25">
        <f t="shared" si="0"/>
        <v>601.91668215142249</v>
      </c>
      <c r="T16" s="25">
        <f t="shared" si="0"/>
        <v>574.49841414234868</v>
      </c>
      <c r="U16" s="25">
        <f t="shared" si="0"/>
        <v>521.96</v>
      </c>
      <c r="V16" s="25">
        <f t="shared" si="0"/>
        <v>505.3</v>
      </c>
      <c r="W16" s="25">
        <f t="shared" si="0"/>
        <v>476.459</v>
      </c>
      <c r="X16" s="25">
        <f t="shared" ref="X16" si="1">SUM(X14:X15)</f>
        <v>307.2</v>
      </c>
      <c r="Y16" s="25">
        <f t="shared" si="0"/>
        <v>316.2</v>
      </c>
      <c r="Z16" s="25">
        <f t="shared" ref="Z16:AA16" si="2">SUM(Z14:Z15)</f>
        <v>368.02185516639992</v>
      </c>
      <c r="AA16" s="25">
        <f t="shared" si="2"/>
        <v>359.69</v>
      </c>
      <c r="AB16" s="25">
        <f t="shared" ref="AB16:AC16" si="3">SUM(AB14:AB15)</f>
        <v>344.96999999999997</v>
      </c>
      <c r="AC16" s="25">
        <f t="shared" si="3"/>
        <v>346.88</v>
      </c>
      <c r="AD16" s="25">
        <f t="shared" ref="AD16:AE16" si="4">SUM(AD14:AD15)</f>
        <v>350.49</v>
      </c>
      <c r="AE16" s="25">
        <f t="shared" si="4"/>
        <v>354.24</v>
      </c>
      <c r="AF16" s="25">
        <f t="shared" ref="AF16:AG16" si="5">SUM(AF14:AF15)</f>
        <v>359.22999999999996</v>
      </c>
      <c r="AG16" s="25">
        <f t="shared" si="5"/>
        <v>365.03</v>
      </c>
      <c r="AH16" s="26">
        <f t="shared" ref="AH16" si="6">SUM(AH14:AH15)</f>
        <v>371.52</v>
      </c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647" t="s">
        <v>196</v>
      </c>
      <c r="BB16" s="25"/>
      <c r="BC16" s="25">
        <f>SUM(BC14:BC15)</f>
        <v>707.86059800570774</v>
      </c>
      <c r="BD16" s="25">
        <f t="shared" ref="BD16:BZ16" si="7">SUM(BD14:BD15)</f>
        <v>756.13407409660056</v>
      </c>
      <c r="BE16" s="25">
        <f t="shared" si="7"/>
        <v>823.45621687239679</v>
      </c>
      <c r="BF16" s="25">
        <f t="shared" si="7"/>
        <v>835.19585581725289</v>
      </c>
      <c r="BG16" s="25">
        <f t="shared" si="7"/>
        <v>884.90843039975755</v>
      </c>
      <c r="BH16" s="25">
        <f t="shared" si="7"/>
        <v>864.10082991060722</v>
      </c>
      <c r="BI16" s="25">
        <f t="shared" si="7"/>
        <v>817.19898935692811</v>
      </c>
      <c r="BJ16" s="25">
        <f t="shared" si="7"/>
        <v>853.42359997695269</v>
      </c>
      <c r="BK16" s="25">
        <f t="shared" si="7"/>
        <v>801.86364000220306</v>
      </c>
      <c r="BL16" s="25">
        <f t="shared" si="7"/>
        <v>656.19854501113264</v>
      </c>
      <c r="BM16" s="25">
        <f t="shared" si="7"/>
        <v>575.53687058101593</v>
      </c>
      <c r="BN16" s="25">
        <f t="shared" si="7"/>
        <v>502.387404474471</v>
      </c>
      <c r="BO16" s="25">
        <f t="shared" si="7"/>
        <v>395.19060329999996</v>
      </c>
      <c r="BP16" s="25">
        <f t="shared" si="7"/>
        <v>291.29949769640206</v>
      </c>
      <c r="BQ16" s="25">
        <f t="shared" si="7"/>
        <v>234.40935032627215</v>
      </c>
      <c r="BR16" s="25">
        <f t="shared" si="7"/>
        <v>192.45407943016016</v>
      </c>
      <c r="BS16" s="25">
        <f t="shared" si="7"/>
        <v>175.845661988796</v>
      </c>
      <c r="BT16" s="25">
        <f t="shared" si="7"/>
        <v>165.98947319810853</v>
      </c>
      <c r="BU16" s="25">
        <f t="shared" si="7"/>
        <v>147.46</v>
      </c>
      <c r="BV16" s="25">
        <f t="shared" si="7"/>
        <v>133.79</v>
      </c>
      <c r="BW16" s="25">
        <f t="shared" si="7"/>
        <v>121.23</v>
      </c>
      <c r="BX16" s="25">
        <f t="shared" ref="BX16" si="8">SUM(BX14:BX15)</f>
        <v>78.169999999999987</v>
      </c>
      <c r="BY16" s="25">
        <f t="shared" si="7"/>
        <v>80.47</v>
      </c>
      <c r="BZ16" s="25">
        <f t="shared" si="7"/>
        <v>110.75</v>
      </c>
      <c r="CA16" s="25">
        <f t="shared" ref="CA16:CB16" si="9">SUM(CA14:CA15)</f>
        <v>108.24448862959477</v>
      </c>
      <c r="CB16" s="25">
        <f t="shared" si="9"/>
        <v>103.81596293151236</v>
      </c>
      <c r="CC16" s="25">
        <f t="shared" ref="CC16:CD16" si="10">SUM(CC14:CC15)</f>
        <v>104.40180991747417</v>
      </c>
      <c r="CD16" s="25">
        <f t="shared" si="10"/>
        <v>105.49729548923096</v>
      </c>
      <c r="CE16" s="25">
        <f t="shared" ref="CE16:CF16" si="11">SUM(CE14:CE15)</f>
        <v>106.63349581321738</v>
      </c>
      <c r="CF16" s="25">
        <f t="shared" si="11"/>
        <v>108.14163749445075</v>
      </c>
      <c r="CG16" s="25">
        <f t="shared" ref="CG16:CH16" si="12">SUM(CG14:CG15)</f>
        <v>109.89285678818845</v>
      </c>
      <c r="CH16" s="26">
        <f t="shared" si="12"/>
        <v>111.85094860687389</v>
      </c>
      <c r="CJ16" s="442"/>
      <c r="CK16" s="443"/>
      <c r="CL16" s="443"/>
      <c r="CM16" s="443"/>
      <c r="CN16" s="443"/>
      <c r="CO16" s="443"/>
      <c r="CP16" s="443"/>
      <c r="CQ16" s="443"/>
      <c r="CR16" s="443"/>
      <c r="CS16" s="443"/>
      <c r="CT16" s="443"/>
      <c r="CU16" s="443"/>
      <c r="CV16" s="443"/>
      <c r="CW16" s="443"/>
      <c r="CX16" s="443"/>
      <c r="CY16" s="443"/>
      <c r="CZ16" s="443"/>
      <c r="DA16" s="444"/>
    </row>
    <row r="17" spans="1:121">
      <c r="A17" s="20" t="s">
        <v>151</v>
      </c>
      <c r="B17" s="13"/>
      <c r="C17" s="95"/>
      <c r="D17" s="95"/>
      <c r="E17" s="13">
        <v>13.901604366065122</v>
      </c>
      <c r="F17" s="13">
        <v>11.172376046379791</v>
      </c>
      <c r="G17" s="13">
        <v>8.9789626603401924</v>
      </c>
      <c r="H17" s="13">
        <v>7.2161705013417867</v>
      </c>
      <c r="I17" s="13">
        <v>5.7994579857694202</v>
      </c>
      <c r="J17" s="13">
        <v>5.0790312464362755</v>
      </c>
      <c r="K17" s="13">
        <v>4.1721113203239462</v>
      </c>
      <c r="L17" s="13">
        <v>3.8971035837439345</v>
      </c>
      <c r="M17" s="13">
        <v>3.4567792083665587</v>
      </c>
      <c r="N17" s="13">
        <v>2.9517326340540611</v>
      </c>
      <c r="O17" s="13">
        <v>1.1477087876109033</v>
      </c>
      <c r="P17" s="13">
        <v>1.0253564375895647</v>
      </c>
      <c r="Q17" s="13">
        <v>0.82683164036640144</v>
      </c>
      <c r="R17" s="13">
        <v>0.68898533258595651</v>
      </c>
      <c r="S17" s="13">
        <v>0.63758584578288846</v>
      </c>
      <c r="T17" s="13">
        <v>0.59780501581083356</v>
      </c>
      <c r="U17" s="13">
        <v>0.54</v>
      </c>
      <c r="V17" s="13">
        <v>0.52</v>
      </c>
      <c r="W17" s="13">
        <v>0.48099999999999998</v>
      </c>
      <c r="X17" s="13">
        <v>0.4</v>
      </c>
      <c r="Y17" s="13">
        <v>0.3</v>
      </c>
      <c r="Z17" s="13">
        <v>0.33833312357287976</v>
      </c>
      <c r="AA17" s="13">
        <v>0.32</v>
      </c>
      <c r="AB17" s="13">
        <v>0.3</v>
      </c>
      <c r="AC17" s="13">
        <v>0.28000000000000003</v>
      </c>
      <c r="AD17" s="13">
        <v>0.27</v>
      </c>
      <c r="AE17" s="13">
        <v>0.26</v>
      </c>
      <c r="AF17" s="13">
        <v>0.25</v>
      </c>
      <c r="AG17" s="13">
        <v>0.25</v>
      </c>
      <c r="AH17" s="19">
        <v>0.25</v>
      </c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20" t="s">
        <v>151</v>
      </c>
      <c r="BB17" s="13"/>
      <c r="BC17" s="95"/>
      <c r="BD17" s="95"/>
      <c r="BE17" s="13">
        <v>7.1471110634767552</v>
      </c>
      <c r="BF17" s="13">
        <v>5.7439566213899855</v>
      </c>
      <c r="BG17" s="13">
        <v>4.6162760555116096</v>
      </c>
      <c r="BH17" s="13">
        <v>3.7099870394795902</v>
      </c>
      <c r="BI17" s="13">
        <v>2.9816249434807913</v>
      </c>
      <c r="BJ17" s="13">
        <v>2.6112382036825106</v>
      </c>
      <c r="BK17" s="13">
        <v>2.1449713421807073</v>
      </c>
      <c r="BL17" s="13">
        <v>2.0059743988305918</v>
      </c>
      <c r="BM17" s="13">
        <v>1.3584465808135591</v>
      </c>
      <c r="BN17" s="13">
        <v>1.1581569218800596</v>
      </c>
      <c r="BO17" s="13">
        <v>0.27545010902661676</v>
      </c>
      <c r="BP17" s="13">
        <v>0.16029295783712993</v>
      </c>
      <c r="BQ17" s="13">
        <v>0.12977851038484939</v>
      </c>
      <c r="BR17" s="13">
        <v>0.10624775885581579</v>
      </c>
      <c r="BS17" s="13">
        <v>9.6420570759121235E-2</v>
      </c>
      <c r="BT17" s="13">
        <v>8.9408246724572732E-2</v>
      </c>
      <c r="BU17" s="13">
        <v>0.08</v>
      </c>
      <c r="BV17" s="13">
        <v>7.0000000000000007E-2</v>
      </c>
      <c r="BW17" s="13">
        <v>0.06</v>
      </c>
      <c r="BX17" s="13">
        <v>0.05</v>
      </c>
      <c r="BY17" s="13">
        <v>0.04</v>
      </c>
      <c r="BZ17" s="13">
        <v>0.05</v>
      </c>
      <c r="CA17" s="13">
        <v>4.7290669713435457E-2</v>
      </c>
      <c r="CB17" s="13">
        <v>4.4335002856345736E-2</v>
      </c>
      <c r="CC17" s="13">
        <v>4.1379335999256028E-2</v>
      </c>
      <c r="CD17" s="13">
        <v>3.9901502570711171E-2</v>
      </c>
      <c r="CE17" s="13">
        <v>3.8423669142166307E-2</v>
      </c>
      <c r="CF17" s="13">
        <v>3.694583571362145E-2</v>
      </c>
      <c r="CG17" s="13">
        <v>3.694583571362145E-2</v>
      </c>
      <c r="CH17" s="19">
        <v>3.694583571362145E-2</v>
      </c>
      <c r="CJ17" s="442"/>
      <c r="CK17" s="443"/>
      <c r="CL17" s="443"/>
      <c r="CM17" s="443"/>
      <c r="CN17" s="443"/>
      <c r="CO17" s="443"/>
      <c r="CP17" s="443"/>
      <c r="CQ17" s="443"/>
      <c r="CR17" s="443"/>
      <c r="CS17" s="443"/>
      <c r="CT17" s="443"/>
      <c r="CU17" s="443"/>
      <c r="CV17" s="443"/>
      <c r="CW17" s="443"/>
      <c r="CX17" s="443"/>
      <c r="CY17" s="443"/>
      <c r="CZ17" s="443"/>
      <c r="DA17" s="444"/>
    </row>
    <row r="18" spans="1:121">
      <c r="A18" s="23" t="s">
        <v>195</v>
      </c>
      <c r="B18" s="21"/>
      <c r="C18" s="284"/>
      <c r="D18" s="284"/>
      <c r="E18" s="21">
        <v>2.265251835247315</v>
      </c>
      <c r="F18" s="21">
        <v>4.9624442787164309</v>
      </c>
      <c r="G18" s="21">
        <v>10.871132664451343</v>
      </c>
      <c r="H18" s="21">
        <v>23.815184366900212</v>
      </c>
      <c r="I18" s="21">
        <v>52.171473197459363</v>
      </c>
      <c r="J18" s="21">
        <v>66.452054387513726</v>
      </c>
      <c r="K18" s="21">
        <v>77.785899533717199</v>
      </c>
      <c r="L18" s="21">
        <v>88.969097327836707</v>
      </c>
      <c r="M18" s="21">
        <v>78.916692672189058</v>
      </c>
      <c r="N18" s="21">
        <v>67.38670973498121</v>
      </c>
      <c r="O18" s="21">
        <v>53.988426212389101</v>
      </c>
      <c r="P18" s="21">
        <v>48.232949829926412</v>
      </c>
      <c r="Q18" s="21">
        <v>41.16284496055134</v>
      </c>
      <c r="R18" s="21">
        <v>35.274671401969528</v>
      </c>
      <c r="S18" s="21">
        <v>33.445732002794685</v>
      </c>
      <c r="T18" s="21">
        <v>32.90378084184043</v>
      </c>
      <c r="U18" s="13">
        <v>30.5</v>
      </c>
      <c r="V18" s="13">
        <v>30.19</v>
      </c>
      <c r="W18" s="13">
        <v>29.06</v>
      </c>
      <c r="X18" s="21">
        <v>21.8</v>
      </c>
      <c r="Y18" s="21">
        <v>19.5</v>
      </c>
      <c r="Z18" s="21">
        <v>34.425395323540513</v>
      </c>
      <c r="AA18" s="21">
        <v>36.4</v>
      </c>
      <c r="AB18" s="21">
        <v>37.340000000000003</v>
      </c>
      <c r="AC18" s="21">
        <v>38.229999999999997</v>
      </c>
      <c r="AD18" s="21">
        <v>39.21</v>
      </c>
      <c r="AE18" s="21">
        <v>40.130000000000003</v>
      </c>
      <c r="AF18" s="21">
        <v>41.12</v>
      </c>
      <c r="AG18" s="21">
        <v>42.15</v>
      </c>
      <c r="AH18" s="22">
        <v>43.21</v>
      </c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23" t="s">
        <v>195</v>
      </c>
      <c r="BB18" s="21"/>
      <c r="BC18" s="284"/>
      <c r="BD18" s="284"/>
      <c r="BE18" s="21">
        <v>1.1646142435745146</v>
      </c>
      <c r="BF18" s="21">
        <v>2.5512983589778391</v>
      </c>
      <c r="BG18" s="21">
        <v>5.5890809789040228</v>
      </c>
      <c r="BH18" s="21">
        <v>12.243893811487407</v>
      </c>
      <c r="BI18" s="21">
        <v>26.822466203804485</v>
      </c>
      <c r="BJ18" s="21">
        <v>34.164417328918056</v>
      </c>
      <c r="BK18" s="21">
        <v>39.991388655616198</v>
      </c>
      <c r="BL18" s="21">
        <v>45.79548059003664</v>
      </c>
      <c r="BM18" s="21">
        <v>45.104682838170454</v>
      </c>
      <c r="BN18" s="21">
        <v>38.454438603648946</v>
      </c>
      <c r="BO18" s="21">
        <v>12.957222290973384</v>
      </c>
      <c r="BP18" s="21">
        <v>7.5402093457607604</v>
      </c>
      <c r="BQ18" s="21">
        <v>6.4608711633429818</v>
      </c>
      <c r="BR18" s="21">
        <v>5.4396728109840096</v>
      </c>
      <c r="BS18" s="21">
        <v>5.0579174404448821</v>
      </c>
      <c r="BT18" s="21">
        <v>4.9211185551669097</v>
      </c>
      <c r="BU18" s="13">
        <v>4.46</v>
      </c>
      <c r="BV18" s="13">
        <v>4.1399999999999997</v>
      </c>
      <c r="BW18" s="13">
        <v>3.71</v>
      </c>
      <c r="BX18" s="21">
        <v>2.78</v>
      </c>
      <c r="BY18" s="21">
        <v>2.4900000000000002</v>
      </c>
      <c r="BZ18" s="21">
        <v>5.2</v>
      </c>
      <c r="CA18" s="21">
        <v>5.4982665622598672</v>
      </c>
      <c r="CB18" s="21">
        <v>5.6402547646918526</v>
      </c>
      <c r="CC18" s="21">
        <v>5.7746904031646897</v>
      </c>
      <c r="CD18" s="21">
        <v>5.9227206567639943</v>
      </c>
      <c r="CE18" s="21">
        <v>6.0616878336123206</v>
      </c>
      <c r="CF18" s="21">
        <v>6.2112286000034533</v>
      </c>
      <c r="CG18" s="21">
        <v>6.3668114175619062</v>
      </c>
      <c r="CH18" s="22">
        <v>6.5269257734958472</v>
      </c>
      <c r="CJ18" s="442"/>
      <c r="CK18" s="443"/>
      <c r="CL18" s="443"/>
      <c r="CM18" s="443"/>
      <c r="CN18" s="443"/>
      <c r="CO18" s="443"/>
      <c r="CP18" s="443"/>
      <c r="CQ18" s="443"/>
      <c r="CR18" s="443"/>
      <c r="CS18" s="443"/>
      <c r="CT18" s="443"/>
      <c r="CU18" s="443"/>
      <c r="CV18" s="443"/>
      <c r="CW18" s="443"/>
      <c r="CX18" s="443"/>
      <c r="CY18" s="443"/>
      <c r="CZ18" s="443"/>
      <c r="DA18" s="444"/>
    </row>
    <row r="19" spans="1:121">
      <c r="A19" s="24" t="s">
        <v>197</v>
      </c>
      <c r="B19" s="27"/>
      <c r="C19" s="25"/>
      <c r="D19" s="25"/>
      <c r="E19" s="25">
        <f>SUM(E17:E18)</f>
        <v>16.166856201312438</v>
      </c>
      <c r="F19" s="25">
        <f t="shared" ref="F19:X19" si="13">SUM(F17:F18)</f>
        <v>16.134820325096221</v>
      </c>
      <c r="G19" s="25">
        <f t="shared" si="13"/>
        <v>19.850095324791535</v>
      </c>
      <c r="H19" s="25">
        <f t="shared" si="13"/>
        <v>31.031354868241998</v>
      </c>
      <c r="I19" s="25">
        <f t="shared" si="13"/>
        <v>57.970931183228785</v>
      </c>
      <c r="J19" s="25">
        <f t="shared" si="13"/>
        <v>71.531085633949999</v>
      </c>
      <c r="K19" s="25">
        <f t="shared" si="13"/>
        <v>81.958010854041149</v>
      </c>
      <c r="L19" s="25">
        <f t="shared" si="13"/>
        <v>92.866200911580648</v>
      </c>
      <c r="M19" s="25">
        <f t="shared" si="13"/>
        <v>82.373471880555613</v>
      </c>
      <c r="N19" s="25">
        <f t="shared" si="13"/>
        <v>70.338442369035278</v>
      </c>
      <c r="O19" s="25">
        <f t="shared" si="13"/>
        <v>55.136135000000003</v>
      </c>
      <c r="P19" s="25">
        <f t="shared" si="13"/>
        <v>49.258306267515977</v>
      </c>
      <c r="Q19" s="25">
        <f t="shared" si="13"/>
        <v>41.98967660091774</v>
      </c>
      <c r="R19" s="25">
        <f t="shared" si="13"/>
        <v>35.963656734555485</v>
      </c>
      <c r="S19" s="25">
        <f t="shared" si="13"/>
        <v>34.083317848577572</v>
      </c>
      <c r="T19" s="25">
        <f t="shared" si="13"/>
        <v>33.501585857651264</v>
      </c>
      <c r="U19" s="614">
        <f t="shared" si="13"/>
        <v>31.04</v>
      </c>
      <c r="V19" s="614">
        <f t="shared" si="13"/>
        <v>30.71</v>
      </c>
      <c r="W19" s="614">
        <f t="shared" si="13"/>
        <v>29.541</v>
      </c>
      <c r="X19" s="25">
        <f t="shared" si="13"/>
        <v>22.2</v>
      </c>
      <c r="Y19" s="25">
        <f t="shared" ref="Y19:Z19" si="14">SUM(Y17:Y18)</f>
        <v>19.8</v>
      </c>
      <c r="Z19" s="25">
        <f t="shared" si="14"/>
        <v>34.763728447113394</v>
      </c>
      <c r="AA19" s="25">
        <f t="shared" ref="AA19:AB19" si="15">SUM(AA17:AA18)</f>
        <v>36.72</v>
      </c>
      <c r="AB19" s="25">
        <f t="shared" si="15"/>
        <v>37.64</v>
      </c>
      <c r="AC19" s="25">
        <f t="shared" ref="AC19:AD19" si="16">SUM(AC17:AC18)</f>
        <v>38.51</v>
      </c>
      <c r="AD19" s="25">
        <f t="shared" si="16"/>
        <v>39.480000000000004</v>
      </c>
      <c r="AE19" s="25">
        <f t="shared" ref="AE19:AF19" si="17">SUM(AE17:AE18)</f>
        <v>40.39</v>
      </c>
      <c r="AF19" s="25">
        <f t="shared" si="17"/>
        <v>41.37</v>
      </c>
      <c r="AG19" s="25">
        <f t="shared" ref="AG19:AH19" si="18">SUM(AG17:AG18)</f>
        <v>42.4</v>
      </c>
      <c r="AH19" s="26">
        <f t="shared" si="18"/>
        <v>43.46</v>
      </c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24" t="s">
        <v>197</v>
      </c>
      <c r="BB19" s="27"/>
      <c r="BC19" s="25"/>
      <c r="BD19" s="25"/>
      <c r="BE19" s="25">
        <f>SUM(BE17:BE18)</f>
        <v>8.3117253070512689</v>
      </c>
      <c r="BF19" s="25">
        <f t="shared" ref="BF19:BZ19" si="19">SUM(BF17:BF18)</f>
        <v>8.2952549803678242</v>
      </c>
      <c r="BG19" s="25">
        <f t="shared" si="19"/>
        <v>10.205357034415632</v>
      </c>
      <c r="BH19" s="25">
        <f t="shared" si="19"/>
        <v>15.953880850966996</v>
      </c>
      <c r="BI19" s="25">
        <f t="shared" si="19"/>
        <v>29.804091147285277</v>
      </c>
      <c r="BJ19" s="25">
        <f t="shared" si="19"/>
        <v>36.775655532600567</v>
      </c>
      <c r="BK19" s="25">
        <f t="shared" si="19"/>
        <v>42.136359997796909</v>
      </c>
      <c r="BL19" s="25">
        <f t="shared" si="19"/>
        <v>47.801454988867235</v>
      </c>
      <c r="BM19" s="25">
        <f t="shared" si="19"/>
        <v>46.46312941898401</v>
      </c>
      <c r="BN19" s="25">
        <f t="shared" si="19"/>
        <v>39.612595525529002</v>
      </c>
      <c r="BO19" s="25">
        <f t="shared" si="19"/>
        <v>13.2326724</v>
      </c>
      <c r="BP19" s="25">
        <f t="shared" si="19"/>
        <v>7.7005023035978901</v>
      </c>
      <c r="BQ19" s="25">
        <f t="shared" si="19"/>
        <v>6.5906496737278308</v>
      </c>
      <c r="BR19" s="25">
        <f t="shared" si="19"/>
        <v>5.5459205698398257</v>
      </c>
      <c r="BS19" s="25">
        <f t="shared" si="19"/>
        <v>5.1543380112040031</v>
      </c>
      <c r="BT19" s="25">
        <f t="shared" si="19"/>
        <v>5.0105268018914826</v>
      </c>
      <c r="BU19" s="614">
        <f t="shared" si="19"/>
        <v>4.54</v>
      </c>
      <c r="BV19" s="614">
        <f t="shared" si="19"/>
        <v>4.21</v>
      </c>
      <c r="BW19" s="614">
        <f t="shared" si="19"/>
        <v>3.77</v>
      </c>
      <c r="BX19" s="25">
        <f t="shared" ref="BX19" si="20">SUM(BX17:BX18)</f>
        <v>2.8299999999999996</v>
      </c>
      <c r="BY19" s="25">
        <f t="shared" si="19"/>
        <v>2.5300000000000002</v>
      </c>
      <c r="BZ19" s="25">
        <f t="shared" si="19"/>
        <v>5.25</v>
      </c>
      <c r="CA19" s="25">
        <f t="shared" ref="CA19:CB19" si="21">SUM(CA17:CA18)</f>
        <v>5.5455572319733024</v>
      </c>
      <c r="CB19" s="25">
        <f t="shared" si="21"/>
        <v>5.6845897675481982</v>
      </c>
      <c r="CC19" s="25">
        <f t="shared" ref="CC19:CD19" si="22">SUM(CC17:CC18)</f>
        <v>5.8160697391639458</v>
      </c>
      <c r="CD19" s="25">
        <f t="shared" si="22"/>
        <v>5.9626221593347051</v>
      </c>
      <c r="CE19" s="25">
        <f t="shared" ref="CE19:CF19" si="23">SUM(CE17:CE18)</f>
        <v>6.100111502754487</v>
      </c>
      <c r="CF19" s="25">
        <f t="shared" si="23"/>
        <v>6.2481744357170745</v>
      </c>
      <c r="CG19" s="25">
        <f t="shared" ref="CG19:CH19" si="24">SUM(CG17:CG18)</f>
        <v>6.4037572532755274</v>
      </c>
      <c r="CH19" s="26">
        <f t="shared" si="24"/>
        <v>6.5638716092094684</v>
      </c>
      <c r="CJ19" s="442"/>
      <c r="CK19" s="443"/>
      <c r="CL19" s="443"/>
      <c r="CM19" s="443"/>
      <c r="CN19" s="443"/>
      <c r="CO19" s="443"/>
      <c r="CP19" s="443"/>
      <c r="CQ19" s="443"/>
      <c r="CR19" s="443"/>
      <c r="CS19" s="443"/>
      <c r="CT19" s="443"/>
      <c r="CU19" s="443"/>
      <c r="CV19" s="443"/>
      <c r="CW19" s="443"/>
      <c r="CX19" s="443"/>
      <c r="CY19" s="443"/>
      <c r="CZ19" s="443"/>
      <c r="DA19" s="444"/>
    </row>
    <row r="20" spans="1:121">
      <c r="A20" s="28" t="s">
        <v>224</v>
      </c>
      <c r="B20" s="31"/>
      <c r="C20" s="29">
        <f t="shared" ref="C20:V20" si="25">C19+C16</f>
        <v>2353.5</v>
      </c>
      <c r="D20" s="29">
        <f t="shared" si="25"/>
        <v>2514</v>
      </c>
      <c r="E20" s="29">
        <f t="shared" si="25"/>
        <v>2754</v>
      </c>
      <c r="F20" s="29">
        <f t="shared" si="25"/>
        <v>2793.0000000000005</v>
      </c>
      <c r="G20" s="29">
        <f t="shared" si="25"/>
        <v>2962.0000000000005</v>
      </c>
      <c r="H20" s="29">
        <f t="shared" si="25"/>
        <v>2904</v>
      </c>
      <c r="I20" s="29">
        <f t="shared" si="25"/>
        <v>2775</v>
      </c>
      <c r="J20" s="29">
        <f t="shared" si="25"/>
        <v>2909</v>
      </c>
      <c r="K20" s="29">
        <f t="shared" si="25"/>
        <v>2748.0000000000005</v>
      </c>
      <c r="L20" s="29">
        <f t="shared" si="25"/>
        <v>2271.9999999999995</v>
      </c>
      <c r="M20" s="29">
        <f t="shared" si="25"/>
        <v>1978.37</v>
      </c>
      <c r="N20" s="29">
        <f t="shared" si="25"/>
        <v>1729</v>
      </c>
      <c r="O20" s="29">
        <f t="shared" si="25"/>
        <v>1372.438146</v>
      </c>
      <c r="P20" s="29">
        <f t="shared" si="25"/>
        <v>1011</v>
      </c>
      <c r="Q20" s="29">
        <f t="shared" si="25"/>
        <v>812.80000000000007</v>
      </c>
      <c r="R20" s="29">
        <f t="shared" si="25"/>
        <v>682</v>
      </c>
      <c r="S20" s="29">
        <f t="shared" si="25"/>
        <v>636.00000000000011</v>
      </c>
      <c r="T20" s="29">
        <f t="shared" si="25"/>
        <v>608</v>
      </c>
      <c r="U20" s="29">
        <f t="shared" si="25"/>
        <v>553</v>
      </c>
      <c r="V20" s="29">
        <f t="shared" si="25"/>
        <v>536.01</v>
      </c>
      <c r="W20" s="29">
        <f t="shared" ref="W20:X20" si="26">W19+W16</f>
        <v>506</v>
      </c>
      <c r="X20" s="29">
        <f t="shared" si="26"/>
        <v>329.4</v>
      </c>
      <c r="Y20" s="29">
        <f t="shared" ref="Y20:Z20" si="27">Y19+Y16</f>
        <v>336</v>
      </c>
      <c r="Z20" s="29">
        <f t="shared" si="27"/>
        <v>402.78558361351332</v>
      </c>
      <c r="AA20" s="29">
        <f t="shared" ref="AA20:AB20" si="28">AA19+AA16</f>
        <v>396.40999999999997</v>
      </c>
      <c r="AB20" s="29">
        <f t="shared" si="28"/>
        <v>382.60999999999996</v>
      </c>
      <c r="AC20" s="29">
        <f t="shared" ref="AC20:AD20" si="29">AC19+AC16</f>
        <v>385.39</v>
      </c>
      <c r="AD20" s="29">
        <f t="shared" si="29"/>
        <v>389.97</v>
      </c>
      <c r="AE20" s="29">
        <f t="shared" ref="AE20:AF20" si="30">AE19+AE16</f>
        <v>394.63</v>
      </c>
      <c r="AF20" s="29">
        <f t="shared" si="30"/>
        <v>400.59999999999997</v>
      </c>
      <c r="AG20" s="29">
        <f t="shared" ref="AG20:AH20" si="31">AG19+AG16</f>
        <v>407.42999999999995</v>
      </c>
      <c r="AH20" s="30">
        <f t="shared" si="31"/>
        <v>414.97999999999996</v>
      </c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28" t="s">
        <v>224</v>
      </c>
      <c r="BB20" s="31"/>
      <c r="BC20" s="29">
        <f t="shared" ref="BC20:BZ20" si="32">BC19+BC16</f>
        <v>707.86059800570774</v>
      </c>
      <c r="BD20" s="29">
        <f t="shared" si="32"/>
        <v>756.13407409660056</v>
      </c>
      <c r="BE20" s="29">
        <f t="shared" si="32"/>
        <v>831.76794217944803</v>
      </c>
      <c r="BF20" s="29">
        <f t="shared" si="32"/>
        <v>843.49111079762076</v>
      </c>
      <c r="BG20" s="29">
        <f t="shared" si="32"/>
        <v>895.11378743417322</v>
      </c>
      <c r="BH20" s="29">
        <f t="shared" si="32"/>
        <v>880.05471076157426</v>
      </c>
      <c r="BI20" s="29">
        <f t="shared" si="32"/>
        <v>847.00308050421336</v>
      </c>
      <c r="BJ20" s="29">
        <f t="shared" si="32"/>
        <v>890.19925550955327</v>
      </c>
      <c r="BK20" s="29">
        <f t="shared" si="32"/>
        <v>844</v>
      </c>
      <c r="BL20" s="29">
        <f t="shared" si="32"/>
        <v>703.99999999999989</v>
      </c>
      <c r="BM20" s="29">
        <f t="shared" si="32"/>
        <v>622</v>
      </c>
      <c r="BN20" s="29">
        <f t="shared" si="32"/>
        <v>542</v>
      </c>
      <c r="BO20" s="29">
        <f t="shared" si="32"/>
        <v>408.42327569999998</v>
      </c>
      <c r="BP20" s="29">
        <f t="shared" si="32"/>
        <v>298.99999999999994</v>
      </c>
      <c r="BQ20" s="29">
        <f t="shared" si="32"/>
        <v>240.99999999999997</v>
      </c>
      <c r="BR20" s="29">
        <f t="shared" si="32"/>
        <v>198</v>
      </c>
      <c r="BS20" s="29">
        <f t="shared" si="32"/>
        <v>181</v>
      </c>
      <c r="BT20" s="29">
        <f t="shared" si="32"/>
        <v>171</v>
      </c>
      <c r="BU20" s="29">
        <f t="shared" si="32"/>
        <v>152</v>
      </c>
      <c r="BV20" s="29">
        <f t="shared" si="32"/>
        <v>138</v>
      </c>
      <c r="BW20" s="29">
        <f t="shared" si="32"/>
        <v>125</v>
      </c>
      <c r="BX20" s="29">
        <f t="shared" ref="BX20" si="33">BX19+BX16</f>
        <v>80.999999999999986</v>
      </c>
      <c r="BY20" s="29">
        <f t="shared" si="32"/>
        <v>83</v>
      </c>
      <c r="BZ20" s="29">
        <f t="shared" si="32"/>
        <v>116</v>
      </c>
      <c r="CA20" s="29">
        <f t="shared" ref="CA20:CB20" si="34">CA19+CA16</f>
        <v>113.79004586156807</v>
      </c>
      <c r="CB20" s="29">
        <f t="shared" si="34"/>
        <v>109.50055269906056</v>
      </c>
      <c r="CC20" s="29">
        <f t="shared" ref="CC20:CD20" si="35">CC19+CC16</f>
        <v>110.21787965663812</v>
      </c>
      <c r="CD20" s="29">
        <f t="shared" si="35"/>
        <v>111.45991764856566</v>
      </c>
      <c r="CE20" s="29">
        <f>CE19+CE16</f>
        <v>112.73360731597187</v>
      </c>
      <c r="CF20" s="29">
        <f>CF19+CF16</f>
        <v>114.38981193016782</v>
      </c>
      <c r="CG20" s="29">
        <f>CG19+CG16</f>
        <v>116.29661404146398</v>
      </c>
      <c r="CH20" s="30">
        <f>CH19+CH16</f>
        <v>118.41482021608336</v>
      </c>
      <c r="CJ20" s="442"/>
      <c r="CK20" s="443"/>
      <c r="CL20" s="443"/>
      <c r="CM20" s="443"/>
      <c r="CN20" s="443"/>
      <c r="CO20" s="443"/>
      <c r="CP20" s="443"/>
      <c r="CQ20" s="443"/>
      <c r="CR20" s="443"/>
      <c r="CS20" s="443"/>
      <c r="CT20" s="443"/>
      <c r="CU20" s="443"/>
      <c r="CV20" s="443"/>
      <c r="CW20" s="443"/>
      <c r="CX20" s="443"/>
      <c r="CY20" s="443"/>
      <c r="CZ20" s="443"/>
      <c r="DA20" s="444"/>
    </row>
    <row r="21" spans="1:121">
      <c r="A21" s="17" t="s">
        <v>418</v>
      </c>
      <c r="B21" s="32"/>
      <c r="C21" s="13">
        <v>1474.35806649796</v>
      </c>
      <c r="D21" s="13">
        <v>1500</v>
      </c>
      <c r="E21" s="13">
        <v>1755</v>
      </c>
      <c r="F21" s="13">
        <v>1656</v>
      </c>
      <c r="G21" s="13">
        <v>1621</v>
      </c>
      <c r="H21" s="13">
        <v>1747</v>
      </c>
      <c r="I21" s="13">
        <v>1847</v>
      </c>
      <c r="J21" s="13">
        <v>2586</v>
      </c>
      <c r="K21" s="13">
        <v>2820</v>
      </c>
      <c r="L21" s="13">
        <v>4009.8592944929164</v>
      </c>
      <c r="M21" s="13">
        <v>4167.2299999999996</v>
      </c>
      <c r="N21" s="13">
        <v>4488.0288839999994</v>
      </c>
      <c r="O21" s="13">
        <v>3924</v>
      </c>
      <c r="P21" s="13">
        <v>3995</v>
      </c>
      <c r="Q21" s="13">
        <v>3822.2</v>
      </c>
      <c r="R21" s="13">
        <v>4250</v>
      </c>
      <c r="S21" s="13">
        <v>5592</v>
      </c>
      <c r="T21" s="13">
        <v>7505</v>
      </c>
      <c r="U21" s="13">
        <v>9976</v>
      </c>
      <c r="V21" s="13">
        <v>10903</v>
      </c>
      <c r="W21" s="13">
        <v>12514</v>
      </c>
      <c r="X21" s="13">
        <v>12373</v>
      </c>
      <c r="Y21" s="13">
        <v>14322.9</v>
      </c>
      <c r="Z21" s="13">
        <v>16607.588870260159</v>
      </c>
      <c r="AA21" s="13">
        <v>18029.2</v>
      </c>
      <c r="AB21" s="13">
        <v>19323.023667533562</v>
      </c>
      <c r="AC21" s="13">
        <v>21510.648524791588</v>
      </c>
      <c r="AD21" s="13">
        <v>22938.381859768779</v>
      </c>
      <c r="AE21" s="13">
        <v>24364.012770523168</v>
      </c>
      <c r="AF21" s="13">
        <v>25861.622521833156</v>
      </c>
      <c r="AG21" s="13">
        <v>27411.866800299431</v>
      </c>
      <c r="AH21" s="19">
        <v>29010.096972469441</v>
      </c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7" t="s">
        <v>418</v>
      </c>
      <c r="BB21" s="32"/>
      <c r="BC21" s="13">
        <v>384.27417690638305</v>
      </c>
      <c r="BD21" s="13">
        <v>390.9574468085105</v>
      </c>
      <c r="BE21" s="13">
        <v>457.42021276595733</v>
      </c>
      <c r="BF21" s="13">
        <v>431.61702127659566</v>
      </c>
      <c r="BG21" s="13">
        <v>422.49468085106378</v>
      </c>
      <c r="BH21" s="13">
        <v>455.33510638297867</v>
      </c>
      <c r="BI21" s="13">
        <v>481.39893617021272</v>
      </c>
      <c r="BJ21" s="13">
        <v>674.01063829787233</v>
      </c>
      <c r="BK21" s="13">
        <v>735</v>
      </c>
      <c r="BL21" s="13">
        <v>1032</v>
      </c>
      <c r="BM21" s="13">
        <v>912</v>
      </c>
      <c r="BN21" s="13">
        <v>966</v>
      </c>
      <c r="BO21" s="13">
        <v>913</v>
      </c>
      <c r="BP21" s="13">
        <v>700</v>
      </c>
      <c r="BQ21" s="13">
        <v>782</v>
      </c>
      <c r="BR21" s="13">
        <v>814</v>
      </c>
      <c r="BS21" s="13">
        <v>785</v>
      </c>
      <c r="BT21" s="13">
        <v>939</v>
      </c>
      <c r="BU21" s="13">
        <v>1345</v>
      </c>
      <c r="BV21" s="13">
        <v>1489</v>
      </c>
      <c r="BW21" s="13">
        <v>1598</v>
      </c>
      <c r="BX21" s="13">
        <v>1580</v>
      </c>
      <c r="BY21" s="13">
        <v>1829</v>
      </c>
      <c r="BZ21" s="13">
        <v>2215</v>
      </c>
      <c r="CA21" s="13">
        <v>2404.6</v>
      </c>
      <c r="CB21" s="13">
        <v>2577.1605346299998</v>
      </c>
      <c r="CC21" s="13">
        <v>2868.929594364356</v>
      </c>
      <c r="CD21" s="13">
        <v>3059.35</v>
      </c>
      <c r="CE21" s="13">
        <v>3249.49</v>
      </c>
      <c r="CF21" s="13">
        <v>3449.23</v>
      </c>
      <c r="CG21" s="13">
        <v>3655.99</v>
      </c>
      <c r="CH21" s="19">
        <v>3869.15</v>
      </c>
      <c r="CI21" s="260"/>
      <c r="CJ21" s="442"/>
      <c r="CK21" s="443"/>
      <c r="CL21" s="443"/>
      <c r="CM21" s="443"/>
      <c r="CN21" s="443"/>
      <c r="CO21" s="443"/>
      <c r="CP21" s="443"/>
      <c r="CQ21" s="443"/>
      <c r="CR21" s="443"/>
      <c r="CS21" s="443"/>
      <c r="CT21" s="443"/>
      <c r="CU21" s="443"/>
      <c r="CV21" s="443"/>
      <c r="CW21" s="443"/>
      <c r="CX21" s="443"/>
      <c r="CY21" s="443"/>
      <c r="CZ21" s="443"/>
      <c r="DA21" s="444"/>
    </row>
    <row r="22" spans="1:121" ht="21">
      <c r="A22" s="17" t="s">
        <v>417</v>
      </c>
      <c r="B22" s="32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13">
        <v>205</v>
      </c>
      <c r="S22" s="13">
        <v>541</v>
      </c>
      <c r="T22" s="13">
        <v>784</v>
      </c>
      <c r="U22" s="13">
        <v>1130</v>
      </c>
      <c r="V22" s="13">
        <v>1507</v>
      </c>
      <c r="W22" s="13">
        <v>1695</v>
      </c>
      <c r="X22" s="13">
        <v>2071.6999999999998</v>
      </c>
      <c r="Y22" s="13">
        <v>2448.4</v>
      </c>
      <c r="Z22" s="13">
        <v>3027.590872948093</v>
      </c>
      <c r="AA22" s="13">
        <v>3608.34</v>
      </c>
      <c r="AB22" s="13">
        <v>4091.42</v>
      </c>
      <c r="AC22" s="13">
        <v>4526.57</v>
      </c>
      <c r="AD22" s="13">
        <v>4929.18</v>
      </c>
      <c r="AE22" s="13">
        <v>5284.22</v>
      </c>
      <c r="AF22" s="13">
        <v>5612.17</v>
      </c>
      <c r="AG22" s="13">
        <v>5914.28</v>
      </c>
      <c r="AH22" s="19">
        <v>6194.75</v>
      </c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7" t="s">
        <v>417</v>
      </c>
      <c r="BB22" s="32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13">
        <v>1</v>
      </c>
      <c r="BS22" s="13">
        <v>3</v>
      </c>
      <c r="BT22" s="13">
        <v>4</v>
      </c>
      <c r="BU22" s="13">
        <v>6</v>
      </c>
      <c r="BV22" s="13">
        <v>8</v>
      </c>
      <c r="BW22" s="13">
        <v>9</v>
      </c>
      <c r="BX22" s="13">
        <v>11</v>
      </c>
      <c r="BY22" s="13">
        <v>13</v>
      </c>
      <c r="BZ22" s="13">
        <v>17</v>
      </c>
      <c r="CA22" s="13">
        <v>19</v>
      </c>
      <c r="CB22" s="13">
        <v>21.543695993171376</v>
      </c>
      <c r="CC22" s="13">
        <v>23.835012775957917</v>
      </c>
      <c r="CD22" s="13">
        <v>25.954987612032127</v>
      </c>
      <c r="CE22" s="13">
        <v>27.824478846228459</v>
      </c>
      <c r="CF22" s="13">
        <v>29.551325540276139</v>
      </c>
      <c r="CG22" s="13">
        <v>31.142109668157655</v>
      </c>
      <c r="CH22" s="19">
        <v>32.618946662454199</v>
      </c>
      <c r="CJ22" s="442"/>
      <c r="CK22" s="443"/>
      <c r="CL22" s="443"/>
      <c r="CM22" s="443"/>
      <c r="CN22" s="443"/>
      <c r="CO22" s="443"/>
      <c r="CP22" s="443"/>
      <c r="CQ22" s="443"/>
      <c r="CR22" s="443"/>
      <c r="CS22" s="443"/>
      <c r="CT22" s="443"/>
      <c r="CU22" s="443"/>
      <c r="CV22" s="443"/>
      <c r="CW22" s="443"/>
      <c r="CX22" s="443"/>
      <c r="CY22" s="443"/>
      <c r="CZ22" s="443"/>
      <c r="DA22" s="444"/>
      <c r="DF22" s="12" t="s">
        <v>515</v>
      </c>
      <c r="DQ22" s="12" t="s">
        <v>823</v>
      </c>
    </row>
    <row r="23" spans="1:121">
      <c r="A23" s="17" t="s">
        <v>400</v>
      </c>
      <c r="B23" s="32"/>
      <c r="C23" s="284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284"/>
      <c r="Q23" s="13">
        <v>16.5</v>
      </c>
      <c r="R23" s="13">
        <v>1148</v>
      </c>
      <c r="S23" s="13">
        <v>1067</v>
      </c>
      <c r="T23" s="13">
        <v>1166</v>
      </c>
      <c r="U23" s="13">
        <v>1517</v>
      </c>
      <c r="V23" s="13">
        <v>1744</v>
      </c>
      <c r="W23" s="13">
        <v>1982</v>
      </c>
      <c r="X23" s="13">
        <v>1581.7</v>
      </c>
      <c r="Y23" s="13">
        <v>1760.5</v>
      </c>
      <c r="Z23" s="13">
        <v>2543.3346731782303</v>
      </c>
      <c r="AA23" s="13">
        <v>2978.8</v>
      </c>
      <c r="AB23" s="13">
        <v>3451.02</v>
      </c>
      <c r="AC23" s="13">
        <v>3956.3</v>
      </c>
      <c r="AD23" s="13">
        <v>4506.59</v>
      </c>
      <c r="AE23" s="13">
        <v>5084.97</v>
      </c>
      <c r="AF23" s="13">
        <v>5703.7</v>
      </c>
      <c r="AG23" s="13">
        <v>6357.77</v>
      </c>
      <c r="AH23" s="19">
        <v>7044.52</v>
      </c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7" t="s">
        <v>400</v>
      </c>
      <c r="BB23" s="32"/>
      <c r="BC23" s="284"/>
      <c r="BD23" s="284"/>
      <c r="BE23" s="284"/>
      <c r="BF23" s="284"/>
      <c r="BG23" s="284"/>
      <c r="BH23" s="284"/>
      <c r="BI23" s="284"/>
      <c r="BJ23" s="284"/>
      <c r="BK23" s="284"/>
      <c r="BL23" s="284"/>
      <c r="BM23" s="284"/>
      <c r="BN23" s="284"/>
      <c r="BO23" s="284"/>
      <c r="BP23" s="284"/>
      <c r="BQ23" s="13">
        <v>3</v>
      </c>
      <c r="BR23" s="13">
        <v>186</v>
      </c>
      <c r="BS23" s="13">
        <v>180</v>
      </c>
      <c r="BT23" s="13">
        <v>192</v>
      </c>
      <c r="BU23" s="13">
        <v>234</v>
      </c>
      <c r="BV23" s="13">
        <v>267</v>
      </c>
      <c r="BW23" s="13">
        <v>307</v>
      </c>
      <c r="BX23" s="13">
        <v>245</v>
      </c>
      <c r="BY23" s="13">
        <v>272.70232363000002</v>
      </c>
      <c r="BZ23" s="13">
        <v>465.77503093000007</v>
      </c>
      <c r="CA23" s="13">
        <v>553</v>
      </c>
      <c r="CB23" s="13">
        <v>640.66538874714649</v>
      </c>
      <c r="CC23" s="13">
        <v>734.46820867463407</v>
      </c>
      <c r="CD23" s="13">
        <v>836.62692023633679</v>
      </c>
      <c r="CE23" s="13">
        <v>944.0004062038405</v>
      </c>
      <c r="CF23" s="13">
        <v>1058.8646770511614</v>
      </c>
      <c r="CG23" s="13">
        <v>1180.2896501947093</v>
      </c>
      <c r="CH23" s="19">
        <v>1307.7815093326171</v>
      </c>
      <c r="CJ23" s="442"/>
      <c r="CK23" s="443"/>
      <c r="CL23" s="443"/>
      <c r="CM23" s="443"/>
      <c r="CN23" s="443"/>
      <c r="CO23" s="443"/>
      <c r="CP23" s="443"/>
      <c r="CQ23" s="443"/>
      <c r="CR23" s="443"/>
      <c r="CS23" s="443"/>
      <c r="CT23" s="443"/>
      <c r="CU23" s="443"/>
      <c r="CV23" s="443"/>
      <c r="CW23" s="443"/>
      <c r="CX23" s="443"/>
      <c r="CY23" s="443"/>
      <c r="CZ23" s="443"/>
      <c r="DA23" s="444"/>
    </row>
    <row r="24" spans="1:121">
      <c r="A24" s="33" t="s">
        <v>262</v>
      </c>
      <c r="B24" s="34"/>
      <c r="C24" s="34">
        <f>SUM(C20:C21)</f>
        <v>3827.85806649796</v>
      </c>
      <c r="D24" s="34">
        <f t="shared" ref="D24:Q24" si="36">SUM(D20:D23)</f>
        <v>4014</v>
      </c>
      <c r="E24" s="34">
        <f t="shared" si="36"/>
        <v>4509</v>
      </c>
      <c r="F24" s="34">
        <f t="shared" si="36"/>
        <v>4449</v>
      </c>
      <c r="G24" s="34">
        <f t="shared" si="36"/>
        <v>4583</v>
      </c>
      <c r="H24" s="34">
        <f t="shared" si="36"/>
        <v>4651</v>
      </c>
      <c r="I24" s="34">
        <f t="shared" si="36"/>
        <v>4622</v>
      </c>
      <c r="J24" s="34">
        <f t="shared" si="36"/>
        <v>5495</v>
      </c>
      <c r="K24" s="34">
        <f t="shared" si="36"/>
        <v>5568</v>
      </c>
      <c r="L24" s="34">
        <f t="shared" si="36"/>
        <v>6281.859294492916</v>
      </c>
      <c r="M24" s="34">
        <f t="shared" si="36"/>
        <v>6145.5999999999995</v>
      </c>
      <c r="N24" s="34">
        <f t="shared" si="36"/>
        <v>6217.0288839999994</v>
      </c>
      <c r="O24" s="34">
        <f t="shared" si="36"/>
        <v>5296.4381460000004</v>
      </c>
      <c r="P24" s="34">
        <f t="shared" si="36"/>
        <v>5006</v>
      </c>
      <c r="Q24" s="34">
        <f t="shared" si="36"/>
        <v>4651.5</v>
      </c>
      <c r="R24" s="34">
        <f>SUM(R20:R23)</f>
        <v>6285</v>
      </c>
      <c r="S24" s="34">
        <f t="shared" ref="S24:X24" si="37">SUM(S20:S23)</f>
        <v>7836</v>
      </c>
      <c r="T24" s="34">
        <f t="shared" si="37"/>
        <v>10063</v>
      </c>
      <c r="U24" s="34">
        <f t="shared" si="37"/>
        <v>13176</v>
      </c>
      <c r="V24" s="34">
        <f t="shared" si="37"/>
        <v>14690.01</v>
      </c>
      <c r="W24" s="34">
        <f t="shared" si="37"/>
        <v>16697</v>
      </c>
      <c r="X24" s="34">
        <f t="shared" si="37"/>
        <v>16355.8</v>
      </c>
      <c r="Y24" s="34">
        <f t="shared" ref="Y24:Z24" si="38">SUM(Y20:Y23)</f>
        <v>18867.8</v>
      </c>
      <c r="Z24" s="34">
        <f t="shared" si="38"/>
        <v>22581.299999999996</v>
      </c>
      <c r="AA24" s="34">
        <f t="shared" ref="AA24:AB24" si="39">SUM(AA20:AA23)</f>
        <v>25012.75</v>
      </c>
      <c r="AB24" s="34">
        <f t="shared" si="39"/>
        <v>27248.073667533561</v>
      </c>
      <c r="AC24" s="34">
        <f t="shared" ref="AC24:AD24" si="40">SUM(AC20:AC23)</f>
        <v>30378.908524791586</v>
      </c>
      <c r="AD24" s="34">
        <f t="shared" si="40"/>
        <v>32764.12185976878</v>
      </c>
      <c r="AE24" s="34">
        <f t="shared" ref="AE24:AF24" si="41">SUM(AE20:AE23)</f>
        <v>35127.832770523171</v>
      </c>
      <c r="AF24" s="34">
        <f t="shared" si="41"/>
        <v>37578.092521833154</v>
      </c>
      <c r="AG24" s="34">
        <f t="shared" ref="AG24:AH24" si="42">SUM(AG20:AG23)</f>
        <v>40091.346800299434</v>
      </c>
      <c r="AH24" s="35">
        <f t="shared" si="42"/>
        <v>42664.346972469444</v>
      </c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33" t="s">
        <v>262</v>
      </c>
      <c r="BB24" s="34"/>
      <c r="BC24" s="34">
        <f>SUM(BC20:BC21)</f>
        <v>1092.1347749120907</v>
      </c>
      <c r="BD24" s="34">
        <f t="shared" ref="BD24:BQ24" si="43">SUM(BD20:BD23)</f>
        <v>1147.0915209051111</v>
      </c>
      <c r="BE24" s="34">
        <f t="shared" si="43"/>
        <v>1289.1881549454054</v>
      </c>
      <c r="BF24" s="34">
        <f t="shared" si="43"/>
        <v>1275.1081320742164</v>
      </c>
      <c r="BG24" s="34">
        <f t="shared" si="43"/>
        <v>1317.608468285237</v>
      </c>
      <c r="BH24" s="34">
        <f t="shared" si="43"/>
        <v>1335.389817144553</v>
      </c>
      <c r="BI24" s="34">
        <f t="shared" si="43"/>
        <v>1328.402016674426</v>
      </c>
      <c r="BJ24" s="34">
        <f t="shared" si="43"/>
        <v>1564.2098938074255</v>
      </c>
      <c r="BK24" s="34">
        <f t="shared" si="43"/>
        <v>1579</v>
      </c>
      <c r="BL24" s="34">
        <f t="shared" si="43"/>
        <v>1736</v>
      </c>
      <c r="BM24" s="34">
        <f t="shared" si="43"/>
        <v>1534</v>
      </c>
      <c r="BN24" s="34">
        <f t="shared" si="43"/>
        <v>1508</v>
      </c>
      <c r="BO24" s="34">
        <f t="shared" si="43"/>
        <v>1321.4232757</v>
      </c>
      <c r="BP24" s="34">
        <f t="shared" si="43"/>
        <v>999</v>
      </c>
      <c r="BQ24" s="34">
        <f t="shared" si="43"/>
        <v>1026</v>
      </c>
      <c r="BR24" s="34">
        <f>SUM(BR20:BR23)</f>
        <v>1199</v>
      </c>
      <c r="BS24" s="34">
        <f t="shared" ref="BS24:BZ24" si="44">SUM(BS20:BS23)</f>
        <v>1149</v>
      </c>
      <c r="BT24" s="34">
        <f t="shared" si="44"/>
        <v>1306</v>
      </c>
      <c r="BU24" s="34">
        <f t="shared" si="44"/>
        <v>1737</v>
      </c>
      <c r="BV24" s="34">
        <f t="shared" si="44"/>
        <v>1902</v>
      </c>
      <c r="BW24" s="34">
        <f t="shared" si="44"/>
        <v>2039</v>
      </c>
      <c r="BX24" s="34">
        <f t="shared" ref="BX24" si="45">SUM(BX20:BX23)</f>
        <v>1917</v>
      </c>
      <c r="BY24" s="34">
        <f t="shared" si="44"/>
        <v>2197.7023236300001</v>
      </c>
      <c r="BZ24" s="34">
        <f t="shared" si="44"/>
        <v>2813.77503093</v>
      </c>
      <c r="CA24" s="34">
        <f t="shared" ref="CA24:CB24" si="46">SUM(CA20:CA23)</f>
        <v>3090.3900458615681</v>
      </c>
      <c r="CB24" s="34">
        <f t="shared" si="46"/>
        <v>3348.870172069378</v>
      </c>
      <c r="CC24" s="34">
        <f t="shared" ref="CC24:CD24" si="47">SUM(CC20:CC23)</f>
        <v>3737.4506954715862</v>
      </c>
      <c r="CD24" s="34">
        <f t="shared" si="47"/>
        <v>4033.3918254969349</v>
      </c>
      <c r="CE24" s="34">
        <f t="shared" ref="CE24:CF24" si="48">SUM(CE20:CE23)</f>
        <v>4334.0484923660406</v>
      </c>
      <c r="CF24" s="34">
        <f t="shared" si="48"/>
        <v>4652.0358145216051</v>
      </c>
      <c r="CG24" s="34">
        <f t="shared" ref="CG24:CH24" si="49">SUM(CG20:CG23)</f>
        <v>4983.7183739043303</v>
      </c>
      <c r="CH24" s="35">
        <f t="shared" si="49"/>
        <v>5327.9652762111546</v>
      </c>
      <c r="CJ24" s="442"/>
      <c r="CK24" s="443"/>
      <c r="CL24" s="443"/>
      <c r="CM24" s="443"/>
      <c r="CN24" s="443"/>
      <c r="CO24" s="443"/>
      <c r="CP24" s="443"/>
      <c r="CQ24" s="443"/>
      <c r="CR24" s="443"/>
      <c r="CS24" s="443"/>
      <c r="CT24" s="443"/>
      <c r="CU24" s="443"/>
      <c r="CV24" s="443"/>
      <c r="CW24" s="443"/>
      <c r="CX24" s="443"/>
      <c r="CY24" s="443"/>
      <c r="CZ24" s="443"/>
      <c r="DA24" s="444"/>
    </row>
    <row r="25" spans="1:121">
      <c r="A25" s="20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9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20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9"/>
      <c r="CJ25" s="442"/>
      <c r="CK25" s="443"/>
      <c r="CL25" s="443"/>
      <c r="CM25" s="443"/>
      <c r="CN25" s="443"/>
      <c r="CO25" s="443"/>
      <c r="CP25" s="443"/>
      <c r="CQ25" s="443"/>
      <c r="CR25" s="443"/>
      <c r="CS25" s="443"/>
      <c r="CT25" s="443"/>
      <c r="CU25" s="443"/>
      <c r="CV25" s="443"/>
      <c r="CW25" s="443"/>
      <c r="CX25" s="443"/>
      <c r="CY25" s="443"/>
      <c r="CZ25" s="443"/>
      <c r="DA25" s="444"/>
    </row>
    <row r="26" spans="1:121">
      <c r="A26" s="17" t="s">
        <v>310</v>
      </c>
      <c r="B26" s="13"/>
      <c r="C26" s="13">
        <v>2463.9376402759449</v>
      </c>
      <c r="D26" s="13">
        <v>2530.4639565633952</v>
      </c>
      <c r="E26" s="13">
        <v>2598.7864833906065</v>
      </c>
      <c r="F26" s="13">
        <v>2955.5555555555557</v>
      </c>
      <c r="G26" s="13">
        <v>2955.5555555555557</v>
      </c>
      <c r="H26" s="13">
        <v>3044.2222222222226</v>
      </c>
      <c r="I26" s="13">
        <v>3135.5488888888881</v>
      </c>
      <c r="J26" s="13">
        <v>3033.3333333333335</v>
      </c>
      <c r="K26" s="13">
        <v>3093.9999999999991</v>
      </c>
      <c r="L26" s="13">
        <v>3032.9773095299915</v>
      </c>
      <c r="M26" s="13">
        <v>2913.3390189275319</v>
      </c>
      <c r="N26" s="13">
        <v>2797.657914667594</v>
      </c>
      <c r="O26" s="13">
        <v>2519.3866197180137</v>
      </c>
      <c r="P26" s="13">
        <v>2062.0814760498215</v>
      </c>
      <c r="Q26" s="13">
        <v>2006.6485379289122</v>
      </c>
      <c r="R26" s="13">
        <v>1984.7511529535527</v>
      </c>
      <c r="S26" s="13">
        <v>1935.2144475819282</v>
      </c>
      <c r="T26" s="13">
        <v>1885.2349410002623</v>
      </c>
      <c r="U26" s="13">
        <v>1871.3671437948612</v>
      </c>
      <c r="V26" s="13">
        <v>1582.9493033970457</v>
      </c>
      <c r="W26" s="13">
        <v>1285.5661907784722</v>
      </c>
      <c r="X26" s="13">
        <v>615.70000000000005</v>
      </c>
      <c r="Y26" s="13">
        <v>388.5</v>
      </c>
      <c r="Z26" s="13">
        <v>854.5</v>
      </c>
      <c r="AA26" s="13">
        <v>844.3</v>
      </c>
      <c r="AB26" s="13">
        <v>827.04318637227584</v>
      </c>
      <c r="AC26" s="13">
        <v>810.54417084788565</v>
      </c>
      <c r="AD26" s="13">
        <v>796.92891876308886</v>
      </c>
      <c r="AE26" s="13">
        <v>783.80286626696568</v>
      </c>
      <c r="AF26" s="13">
        <v>772.67340489575065</v>
      </c>
      <c r="AG26" s="13">
        <v>762.87324120684184</v>
      </c>
      <c r="AH26" s="19">
        <v>754.16499098057989</v>
      </c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7" t="s">
        <v>310</v>
      </c>
      <c r="BB26" s="13"/>
      <c r="BC26" s="13">
        <v>443.50877524967007</v>
      </c>
      <c r="BD26" s="13">
        <v>455.48351218141113</v>
      </c>
      <c r="BE26" s="13">
        <v>467.78156701030917</v>
      </c>
      <c r="BF26" s="13">
        <v>532</v>
      </c>
      <c r="BG26" s="13">
        <v>532</v>
      </c>
      <c r="BH26" s="13">
        <v>564.86</v>
      </c>
      <c r="BI26" s="13">
        <v>487.53099999999995</v>
      </c>
      <c r="BJ26" s="13">
        <v>548.24399999999991</v>
      </c>
      <c r="BK26" s="13">
        <v>551.65499999999997</v>
      </c>
      <c r="BL26" s="13">
        <v>529.596</v>
      </c>
      <c r="BM26" s="13">
        <v>485.97999999999996</v>
      </c>
      <c r="BN26" s="13">
        <v>466.68299999999999</v>
      </c>
      <c r="BO26" s="13">
        <v>420.26400000000001</v>
      </c>
      <c r="BP26" s="13">
        <v>343.97999999999996</v>
      </c>
      <c r="BQ26" s="13">
        <v>309</v>
      </c>
      <c r="BR26" s="13">
        <v>305.62806324600837</v>
      </c>
      <c r="BS26" s="13">
        <v>298</v>
      </c>
      <c r="BT26" s="13">
        <v>290.30375063603594</v>
      </c>
      <c r="BU26" s="13">
        <v>288.16827486363604</v>
      </c>
      <c r="BV26" s="13">
        <v>243.755359</v>
      </c>
      <c r="BW26" s="13">
        <v>197.96189788199999</v>
      </c>
      <c r="BX26" s="13">
        <v>94.812078999999997</v>
      </c>
      <c r="BY26" s="13">
        <v>59.829000000000001</v>
      </c>
      <c r="BZ26" s="13">
        <v>131.58600000000001</v>
      </c>
      <c r="CA26" s="13">
        <v>130.01155278085193</v>
      </c>
      <c r="CB26" s="13">
        <v>127.35422110278705</v>
      </c>
      <c r="CC26" s="13">
        <v>124.81358077626645</v>
      </c>
      <c r="CD26" s="13">
        <v>122.71700365315007</v>
      </c>
      <c r="CE26" s="13">
        <v>120.69575709753718</v>
      </c>
      <c r="CF26" s="13">
        <v>118.98196039673631</v>
      </c>
      <c r="CG26" s="13">
        <v>117.47285877562823</v>
      </c>
      <c r="CH26" s="19">
        <v>116.13189805796802</v>
      </c>
      <c r="CJ26" s="442"/>
      <c r="CK26" s="443"/>
      <c r="CL26" s="443"/>
      <c r="CM26" s="443"/>
      <c r="CN26" s="443"/>
      <c r="CO26" s="443"/>
      <c r="CP26" s="443"/>
      <c r="CQ26" s="443"/>
      <c r="CR26" s="443"/>
      <c r="CS26" s="443"/>
      <c r="CT26" s="443"/>
      <c r="CU26" s="443"/>
      <c r="CV26" s="443"/>
      <c r="CW26" s="443"/>
      <c r="CX26" s="443"/>
      <c r="CY26" s="443"/>
      <c r="CZ26" s="443"/>
      <c r="DA26" s="444"/>
      <c r="DG26" s="99">
        <v>2019</v>
      </c>
      <c r="DH26" s="99">
        <v>2020</v>
      </c>
      <c r="DI26" s="99">
        <v>2021</v>
      </c>
      <c r="DJ26" s="99">
        <v>2022</v>
      </c>
    </row>
    <row r="27" spans="1:121">
      <c r="A27" s="17" t="s">
        <v>198</v>
      </c>
      <c r="B27" s="13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13">
        <f>O54</f>
        <v>1557.378747</v>
      </c>
      <c r="P27" s="13">
        <f t="shared" ref="P27:Z27" si="50">P54</f>
        <v>5530.3592014474834</v>
      </c>
      <c r="Q27" s="13">
        <f t="shared" si="50"/>
        <v>8070.9175654591927</v>
      </c>
      <c r="R27" s="13">
        <f t="shared" si="50"/>
        <v>8133.507629770771</v>
      </c>
      <c r="S27" s="13">
        <f t="shared" si="50"/>
        <v>10275.200508468046</v>
      </c>
      <c r="T27" s="13">
        <f t="shared" si="50"/>
        <v>10378</v>
      </c>
      <c r="U27" s="13">
        <f t="shared" si="50"/>
        <v>16310</v>
      </c>
      <c r="V27" s="13">
        <f t="shared" si="50"/>
        <v>19759</v>
      </c>
      <c r="W27" s="13">
        <f t="shared" si="50"/>
        <v>23315</v>
      </c>
      <c r="X27" s="21">
        <f t="shared" ref="X27" si="51">X54</f>
        <v>34151.153815068639</v>
      </c>
      <c r="Y27" s="21">
        <f t="shared" si="50"/>
        <v>49919.762666457093</v>
      </c>
      <c r="Z27" s="21">
        <f t="shared" si="50"/>
        <v>56274.002763198565</v>
      </c>
      <c r="AA27" s="21">
        <f t="shared" ref="AA27:AB27" si="52">AA54</f>
        <v>66201.140999359835</v>
      </c>
      <c r="AB27" s="21">
        <f t="shared" si="52"/>
        <v>78201.571795715485</v>
      </c>
      <c r="AC27" s="21">
        <f t="shared" ref="AC27:AD27" si="53">AC54</f>
        <v>88239.276482041038</v>
      </c>
      <c r="AD27" s="21">
        <f t="shared" si="53"/>
        <v>98110.409625497225</v>
      </c>
      <c r="AE27" s="21">
        <f t="shared" ref="AE27:AF27" si="54">AE54</f>
        <v>108001.11110893534</v>
      </c>
      <c r="AF27" s="21">
        <f t="shared" si="54"/>
        <v>118165.47267360627</v>
      </c>
      <c r="AG27" s="21">
        <f t="shared" ref="AG27:AH27" si="55">AG54</f>
        <v>128481.53528637228</v>
      </c>
      <c r="AH27" s="22">
        <f t="shared" si="55"/>
        <v>138891.01689724659</v>
      </c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7" t="s">
        <v>198</v>
      </c>
      <c r="BB27" s="13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13">
        <f>BO54</f>
        <v>49.159015000000004</v>
      </c>
      <c r="BP27" s="13">
        <f t="shared" ref="BP27:CB27" si="56">BP54</f>
        <v>146.77506804005574</v>
      </c>
      <c r="BQ27" s="13">
        <f t="shared" si="56"/>
        <v>244.25165270423457</v>
      </c>
      <c r="BR27" s="13">
        <f t="shared" si="56"/>
        <v>255.45719050547552</v>
      </c>
      <c r="BS27" s="13">
        <f t="shared" si="56"/>
        <v>288</v>
      </c>
      <c r="BT27" s="13">
        <f t="shared" si="56"/>
        <v>388</v>
      </c>
      <c r="BU27" s="13">
        <f t="shared" si="56"/>
        <v>569</v>
      </c>
      <c r="BV27" s="13">
        <f t="shared" si="56"/>
        <v>710.03786290999994</v>
      </c>
      <c r="BW27" s="13">
        <f t="shared" si="56"/>
        <v>831.16971128123259</v>
      </c>
      <c r="BX27" s="13">
        <f t="shared" si="56"/>
        <v>1217.8720565599997</v>
      </c>
      <c r="BY27" s="13">
        <f t="shared" si="56"/>
        <v>1773.6061473599998</v>
      </c>
      <c r="BZ27" s="13">
        <f t="shared" si="56"/>
        <v>2013.1635003899999</v>
      </c>
      <c r="CA27" s="13">
        <f t="shared" si="56"/>
        <v>2368.3000000000002</v>
      </c>
      <c r="CB27" s="13">
        <f t="shared" si="56"/>
        <v>2797.6071059800001</v>
      </c>
      <c r="CC27" s="13">
        <f t="shared" ref="CC27:CD27" si="57">CC54</f>
        <v>3156.6990438191788</v>
      </c>
      <c r="CD27" s="13">
        <f t="shared" si="57"/>
        <v>3509.8319999999999</v>
      </c>
      <c r="CE27" s="13">
        <f t="shared" ref="CE27:CF27" si="58">CE54</f>
        <v>3863.665</v>
      </c>
      <c r="CF27" s="13">
        <f t="shared" si="58"/>
        <v>4227.2879999999996</v>
      </c>
      <c r="CG27" s="13">
        <f t="shared" ref="CG27:CH27" si="59">CG54</f>
        <v>4596.3379999999997</v>
      </c>
      <c r="CH27" s="19">
        <f t="shared" si="59"/>
        <v>4968.7299999999996</v>
      </c>
      <c r="CJ27" s="442"/>
      <c r="CK27" s="443"/>
      <c r="CL27" s="443"/>
      <c r="CM27" s="443"/>
      <c r="CN27" s="443"/>
      <c r="CO27" s="443"/>
      <c r="CP27" s="443"/>
      <c r="CQ27" s="443"/>
      <c r="CR27" s="443"/>
      <c r="CS27" s="443"/>
      <c r="CT27" s="443"/>
      <c r="CU27" s="443"/>
      <c r="CV27" s="443"/>
      <c r="CW27" s="443"/>
      <c r="CX27" s="443"/>
      <c r="CY27" s="443"/>
      <c r="CZ27" s="443"/>
      <c r="DA27" s="444"/>
      <c r="DF27" s="99" t="s">
        <v>110</v>
      </c>
      <c r="DG27" s="126">
        <f>BW24-W113</f>
        <v>1256.2500122000001</v>
      </c>
      <c r="DH27" s="126">
        <f>BX24-X113</f>
        <v>805.66058479057278</v>
      </c>
      <c r="DI27" s="126">
        <f>BY24-Y113</f>
        <v>594.12543541637524</v>
      </c>
      <c r="DJ27" s="126">
        <f>BZ24-Z113</f>
        <v>1298.4336948700002</v>
      </c>
    </row>
    <row r="28" spans="1:121">
      <c r="A28" s="92" t="s">
        <v>309</v>
      </c>
      <c r="B28" s="93"/>
      <c r="C28" s="93">
        <f t="shared" ref="C28:V28" si="60">SUM(C26:C27)</f>
        <v>2463.9376402759449</v>
      </c>
      <c r="D28" s="93">
        <f t="shared" si="60"/>
        <v>2530.4639565633952</v>
      </c>
      <c r="E28" s="93">
        <f t="shared" si="60"/>
        <v>2598.7864833906065</v>
      </c>
      <c r="F28" s="93">
        <f t="shared" si="60"/>
        <v>2955.5555555555557</v>
      </c>
      <c r="G28" s="93">
        <f t="shared" si="60"/>
        <v>2955.5555555555557</v>
      </c>
      <c r="H28" s="93">
        <f t="shared" si="60"/>
        <v>3044.2222222222226</v>
      </c>
      <c r="I28" s="93">
        <f t="shared" si="60"/>
        <v>3135.5488888888881</v>
      </c>
      <c r="J28" s="93">
        <f t="shared" si="60"/>
        <v>3033.3333333333335</v>
      </c>
      <c r="K28" s="93">
        <f t="shared" si="60"/>
        <v>3093.9999999999991</v>
      </c>
      <c r="L28" s="93">
        <f t="shared" si="60"/>
        <v>3032.9773095299915</v>
      </c>
      <c r="M28" s="93">
        <f t="shared" si="60"/>
        <v>2913.3390189275319</v>
      </c>
      <c r="N28" s="93">
        <f t="shared" si="60"/>
        <v>2797.657914667594</v>
      </c>
      <c r="O28" s="93">
        <f t="shared" si="60"/>
        <v>4076.7653667180139</v>
      </c>
      <c r="P28" s="93">
        <f t="shared" si="60"/>
        <v>7592.4406774973049</v>
      </c>
      <c r="Q28" s="93">
        <f t="shared" si="60"/>
        <v>10077.566103388104</v>
      </c>
      <c r="R28" s="93">
        <f t="shared" si="60"/>
        <v>10118.258782724324</v>
      </c>
      <c r="S28" s="93">
        <f t="shared" si="60"/>
        <v>12210.414956049974</v>
      </c>
      <c r="T28" s="93">
        <f t="shared" si="60"/>
        <v>12263.234941000263</v>
      </c>
      <c r="U28" s="93">
        <f t="shared" si="60"/>
        <v>18181.367143794861</v>
      </c>
      <c r="V28" s="93">
        <f t="shared" si="60"/>
        <v>21341.949303397047</v>
      </c>
      <c r="W28" s="93">
        <f t="shared" ref="W28:X28" si="61">SUM(W26:W27)</f>
        <v>24600.566190778471</v>
      </c>
      <c r="X28" s="93">
        <f t="shared" si="61"/>
        <v>34766.853815068636</v>
      </c>
      <c r="Y28" s="93">
        <f t="shared" ref="Y28:Z28" si="62">SUM(Y26:Y27)</f>
        <v>50308.262666457093</v>
      </c>
      <c r="Z28" s="93">
        <f t="shared" si="62"/>
        <v>57128.502763198565</v>
      </c>
      <c r="AA28" s="93">
        <f t="shared" ref="AA28:AB28" si="63">SUM(AA26:AA27)</f>
        <v>67045.440999359838</v>
      </c>
      <c r="AB28" s="93">
        <f t="shared" si="63"/>
        <v>79028.614982087762</v>
      </c>
      <c r="AC28" s="93">
        <f t="shared" ref="AC28:AD28" si="64">SUM(AC26:AC27)</f>
        <v>89049.820652888928</v>
      </c>
      <c r="AD28" s="93">
        <f t="shared" si="64"/>
        <v>98907.338544260318</v>
      </c>
      <c r="AE28" s="93">
        <f t="shared" ref="AE28:AF28" si="65">SUM(AE26:AE27)</f>
        <v>108784.9139752023</v>
      </c>
      <c r="AF28" s="93">
        <f t="shared" si="65"/>
        <v>118938.14607850202</v>
      </c>
      <c r="AG28" s="93">
        <f t="shared" ref="AG28:AH28" si="66">SUM(AG26:AG27)</f>
        <v>129244.40852757911</v>
      </c>
      <c r="AH28" s="94">
        <f t="shared" si="66"/>
        <v>139645.18188822718</v>
      </c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92" t="s">
        <v>309</v>
      </c>
      <c r="BB28" s="93"/>
      <c r="BC28" s="93">
        <f t="shared" ref="BC28:BZ28" si="67">SUM(BC26:BC27)</f>
        <v>443.50877524967007</v>
      </c>
      <c r="BD28" s="93">
        <f t="shared" si="67"/>
        <v>455.48351218141113</v>
      </c>
      <c r="BE28" s="93">
        <f t="shared" si="67"/>
        <v>467.78156701030917</v>
      </c>
      <c r="BF28" s="93">
        <f t="shared" si="67"/>
        <v>532</v>
      </c>
      <c r="BG28" s="93">
        <f t="shared" si="67"/>
        <v>532</v>
      </c>
      <c r="BH28" s="93">
        <f t="shared" si="67"/>
        <v>564.86</v>
      </c>
      <c r="BI28" s="93">
        <f t="shared" si="67"/>
        <v>487.53099999999995</v>
      </c>
      <c r="BJ28" s="93">
        <f t="shared" si="67"/>
        <v>548.24399999999991</v>
      </c>
      <c r="BK28" s="93">
        <f t="shared" si="67"/>
        <v>551.65499999999997</v>
      </c>
      <c r="BL28" s="93">
        <f t="shared" si="67"/>
        <v>529.596</v>
      </c>
      <c r="BM28" s="93">
        <f t="shared" si="67"/>
        <v>485.97999999999996</v>
      </c>
      <c r="BN28" s="93">
        <f t="shared" si="67"/>
        <v>466.68299999999999</v>
      </c>
      <c r="BO28" s="93">
        <f t="shared" si="67"/>
        <v>469.42301500000002</v>
      </c>
      <c r="BP28" s="93">
        <f t="shared" si="67"/>
        <v>490.75506804005568</v>
      </c>
      <c r="BQ28" s="93">
        <f t="shared" si="67"/>
        <v>553.25165270423463</v>
      </c>
      <c r="BR28" s="93">
        <f t="shared" si="67"/>
        <v>561.08525375148383</v>
      </c>
      <c r="BS28" s="93">
        <f t="shared" si="67"/>
        <v>586</v>
      </c>
      <c r="BT28" s="93">
        <f t="shared" si="67"/>
        <v>678.30375063603594</v>
      </c>
      <c r="BU28" s="93">
        <f t="shared" si="67"/>
        <v>857.16827486363604</v>
      </c>
      <c r="BV28" s="93">
        <f t="shared" si="67"/>
        <v>953.79322190999994</v>
      </c>
      <c r="BW28" s="93">
        <f t="shared" si="67"/>
        <v>1029.1316091632325</v>
      </c>
      <c r="BX28" s="93">
        <f t="shared" ref="BX28" si="68">SUM(BX26:BX27)</f>
        <v>1312.6841355599997</v>
      </c>
      <c r="BY28" s="93">
        <f t="shared" si="67"/>
        <v>1833.4351473599997</v>
      </c>
      <c r="BZ28" s="93">
        <f t="shared" si="67"/>
        <v>2144.7495003899999</v>
      </c>
      <c r="CA28" s="93">
        <f t="shared" ref="CA28:CB28" si="69">SUM(CA26:CA27)</f>
        <v>2498.3115527808523</v>
      </c>
      <c r="CB28" s="93">
        <f t="shared" si="69"/>
        <v>2924.9613270827872</v>
      </c>
      <c r="CC28" s="93">
        <f t="shared" ref="CC28:CD28" si="70">SUM(CC26:CC27)</f>
        <v>3281.5126245954452</v>
      </c>
      <c r="CD28" s="93">
        <f t="shared" si="70"/>
        <v>3632.5490036531501</v>
      </c>
      <c r="CE28" s="93">
        <f t="shared" ref="CE28:CF28" si="71">SUM(CE26:CE27)</f>
        <v>3984.3607570975373</v>
      </c>
      <c r="CF28" s="93">
        <f t="shared" si="71"/>
        <v>4346.2699603967358</v>
      </c>
      <c r="CG28" s="93">
        <f t="shared" ref="CG28:CH28" si="72">SUM(CG26:CG27)</f>
        <v>4713.8108587756278</v>
      </c>
      <c r="CH28" s="94">
        <f t="shared" si="72"/>
        <v>5084.8618980579677</v>
      </c>
      <c r="CJ28" s="442"/>
      <c r="CK28" s="443"/>
      <c r="CL28" s="443"/>
      <c r="CM28" s="443"/>
      <c r="CN28" s="443"/>
      <c r="CO28" s="443"/>
      <c r="CP28" s="443"/>
      <c r="CQ28" s="443"/>
      <c r="CR28" s="443"/>
      <c r="CS28" s="443"/>
      <c r="CT28" s="443"/>
      <c r="CU28" s="443"/>
      <c r="CV28" s="443"/>
      <c r="CW28" s="443"/>
      <c r="CX28" s="443"/>
      <c r="CY28" s="443"/>
      <c r="CZ28" s="443"/>
      <c r="DA28" s="444"/>
      <c r="DF28" s="99" t="s">
        <v>512</v>
      </c>
      <c r="DG28" s="126">
        <f>BW35-W114-W115-W116</f>
        <v>11075.539858558968</v>
      </c>
      <c r="DH28" s="126">
        <f>BX35-X114-X115-X116</f>
        <v>5168.6387078692142</v>
      </c>
      <c r="DI28" s="126">
        <f>BY35-Y114-Y115-Y116</f>
        <v>5027.2541122339999</v>
      </c>
      <c r="DJ28" s="126">
        <f>BZ35-Z114-Z115-Z116</f>
        <v>9206.485536825001</v>
      </c>
    </row>
    <row r="29" spans="1:121">
      <c r="A29" s="17" t="s">
        <v>293</v>
      </c>
      <c r="B29" s="13"/>
      <c r="C29" s="561"/>
      <c r="D29" s="561"/>
      <c r="E29" s="561"/>
      <c r="F29" s="561"/>
      <c r="G29" s="13">
        <v>367</v>
      </c>
      <c r="H29" s="13">
        <v>4474</v>
      </c>
      <c r="I29" s="13">
        <v>11470</v>
      </c>
      <c r="J29" s="13">
        <v>15436</v>
      </c>
      <c r="K29" s="13">
        <v>18827</v>
      </c>
      <c r="L29" s="13">
        <v>21685</v>
      </c>
      <c r="M29" s="13">
        <v>24951.200000000001</v>
      </c>
      <c r="N29" s="13">
        <v>30735</v>
      </c>
      <c r="O29" s="13">
        <v>30031</v>
      </c>
      <c r="P29" s="13">
        <v>27420</v>
      </c>
      <c r="Q29" s="606">
        <v>25428</v>
      </c>
      <c r="R29" s="606">
        <v>25396</v>
      </c>
      <c r="S29" s="606">
        <v>25903</v>
      </c>
      <c r="T29" s="606">
        <v>26355</v>
      </c>
      <c r="U29" s="13">
        <v>25429</v>
      </c>
      <c r="V29" s="13">
        <v>24081</v>
      </c>
      <c r="W29" s="13">
        <v>22931</v>
      </c>
      <c r="X29" s="13">
        <v>11546.1</v>
      </c>
      <c r="Y29" s="13">
        <v>10814</v>
      </c>
      <c r="Z29" s="13">
        <v>16994.507000000001</v>
      </c>
      <c r="AA29" s="13">
        <v>16957.472953488366</v>
      </c>
      <c r="AB29" s="13">
        <v>16243.490729926929</v>
      </c>
      <c r="AC29" s="13">
        <v>15072.166062227388</v>
      </c>
      <c r="AD29" s="13">
        <v>14260.16873206227</v>
      </c>
      <c r="AE29" s="13">
        <v>13657.095384447253</v>
      </c>
      <c r="AF29" s="13">
        <v>13251.163098711761</v>
      </c>
      <c r="AG29" s="13">
        <v>12986.764119787445</v>
      </c>
      <c r="AH29" s="19">
        <v>12830.548070774543</v>
      </c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7" t="s">
        <v>293</v>
      </c>
      <c r="BB29" s="13"/>
      <c r="BC29" s="561"/>
      <c r="BD29" s="561"/>
      <c r="BE29" s="561"/>
      <c r="BF29" s="561"/>
      <c r="BG29" s="13">
        <v>91.75</v>
      </c>
      <c r="BH29" s="13">
        <v>1118.5</v>
      </c>
      <c r="BI29" s="13">
        <v>2867.5</v>
      </c>
      <c r="BJ29" s="13">
        <v>3859</v>
      </c>
      <c r="BK29" s="13">
        <v>4706.75</v>
      </c>
      <c r="BL29" s="13">
        <v>5421.25</v>
      </c>
      <c r="BM29" s="13">
        <v>6237.8</v>
      </c>
      <c r="BN29" s="13">
        <v>7683.75</v>
      </c>
      <c r="BO29" s="13">
        <v>7403</v>
      </c>
      <c r="BP29" s="13">
        <v>6687</v>
      </c>
      <c r="BQ29" s="606">
        <v>6386</v>
      </c>
      <c r="BR29" s="606">
        <v>6457</v>
      </c>
      <c r="BS29" s="606">
        <v>6683</v>
      </c>
      <c r="BT29" s="606">
        <v>7519</v>
      </c>
      <c r="BU29" s="13">
        <v>7587</v>
      </c>
      <c r="BV29" s="13">
        <v>7185</v>
      </c>
      <c r="BW29" s="13">
        <v>7187.52</v>
      </c>
      <c r="BX29" s="13">
        <v>3619.01</v>
      </c>
      <c r="BY29" s="13">
        <v>3389.5</v>
      </c>
      <c r="BZ29" s="13">
        <v>6031.9</v>
      </c>
      <c r="CA29" s="13">
        <v>5917.1090000000004</v>
      </c>
      <c r="CB29" s="13">
        <v>5604.7930398214403</v>
      </c>
      <c r="CC29" s="13">
        <v>5200.6291532500545</v>
      </c>
      <c r="CD29" s="13">
        <v>4920.4506460478942</v>
      </c>
      <c r="CE29" s="13">
        <v>4712.3610575835764</v>
      </c>
      <c r="CF29" s="13">
        <v>4572.2947080804279</v>
      </c>
      <c r="CG29" s="13">
        <v>4481.0642218844623</v>
      </c>
      <c r="CH29" s="19">
        <v>4427.1620995652247</v>
      </c>
      <c r="CJ29" s="442"/>
      <c r="CK29" s="443"/>
      <c r="CL29" s="443"/>
      <c r="CM29" s="443"/>
      <c r="CN29" s="443"/>
      <c r="CO29" s="443"/>
      <c r="CP29" s="443"/>
      <c r="CQ29" s="443"/>
      <c r="CR29" s="443"/>
      <c r="CS29" s="443"/>
      <c r="CT29" s="443"/>
      <c r="CU29" s="443"/>
      <c r="CV29" s="443"/>
      <c r="CW29" s="443"/>
      <c r="CX29" s="443"/>
      <c r="CY29" s="443"/>
      <c r="CZ29" s="443"/>
      <c r="DA29" s="444"/>
      <c r="DF29" s="99" t="s">
        <v>514</v>
      </c>
      <c r="DG29" s="126">
        <f>BW40-W117</f>
        <v>5496.1500000000005</v>
      </c>
      <c r="DH29" s="126">
        <f>BX40-X117</f>
        <v>4469.55</v>
      </c>
      <c r="DI29" s="126">
        <f>BY40-Y117</f>
        <v>6219.59</v>
      </c>
      <c r="DJ29" s="126">
        <f>BZ40-Z117</f>
        <v>6076.86</v>
      </c>
    </row>
    <row r="30" spans="1:121">
      <c r="A30" s="17" t="s">
        <v>399</v>
      </c>
      <c r="B30" s="13"/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13">
        <v>302</v>
      </c>
      <c r="Q30" s="606">
        <v>303</v>
      </c>
      <c r="R30" s="606">
        <v>231</v>
      </c>
      <c r="S30" s="606">
        <v>229</v>
      </c>
      <c r="T30" s="606">
        <v>236</v>
      </c>
      <c r="U30" s="13">
        <v>140</v>
      </c>
      <c r="V30" s="13">
        <v>140</v>
      </c>
      <c r="W30" s="13">
        <v>60.48</v>
      </c>
      <c r="X30" s="13">
        <v>56</v>
      </c>
      <c r="Y30" s="13">
        <v>25.5</v>
      </c>
      <c r="Z30" s="13">
        <v>63.1</v>
      </c>
      <c r="AA30" s="13">
        <v>58.890999999999998</v>
      </c>
      <c r="AB30" s="13">
        <v>57.20696017855947</v>
      </c>
      <c r="AC30" s="13">
        <v>52.420846749945852</v>
      </c>
      <c r="AD30" s="13">
        <v>49.909353952105242</v>
      </c>
      <c r="AE30" s="13">
        <v>47.648942416423544</v>
      </c>
      <c r="AF30" s="13">
        <v>46.305291919572781</v>
      </c>
      <c r="AG30" s="13">
        <v>45.345778115537314</v>
      </c>
      <c r="AH30" s="19">
        <v>44.817900434774955</v>
      </c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7" t="s">
        <v>399</v>
      </c>
      <c r="BB30" s="13"/>
      <c r="BC30" s="561"/>
      <c r="BD30" s="561"/>
      <c r="BE30" s="561"/>
      <c r="BF30" s="561"/>
      <c r="BG30" s="561"/>
      <c r="BH30" s="561"/>
      <c r="BI30" s="561"/>
      <c r="BJ30" s="561"/>
      <c r="BK30" s="561"/>
      <c r="BL30" s="561"/>
      <c r="BM30" s="561"/>
      <c r="BN30" s="561"/>
      <c r="BO30" s="561"/>
      <c r="BP30" s="13">
        <v>302</v>
      </c>
      <c r="BQ30" s="606">
        <v>303</v>
      </c>
      <c r="BR30" s="606">
        <v>231</v>
      </c>
      <c r="BS30" s="606">
        <v>230</v>
      </c>
      <c r="BT30" s="606">
        <v>236</v>
      </c>
      <c r="BU30" s="13">
        <v>140</v>
      </c>
      <c r="BV30" s="13">
        <v>140</v>
      </c>
      <c r="BW30" s="13">
        <v>60.48</v>
      </c>
      <c r="BX30" s="13">
        <v>55.99</v>
      </c>
      <c r="BY30" s="13">
        <v>25.5</v>
      </c>
      <c r="BZ30" s="13">
        <v>63.1</v>
      </c>
      <c r="CA30" s="13">
        <v>58.890999999999998</v>
      </c>
      <c r="CB30" s="13">
        <v>57.20696017855947</v>
      </c>
      <c r="CC30" s="13">
        <v>52.420846749945852</v>
      </c>
      <c r="CD30" s="13">
        <v>49.909353952105242</v>
      </c>
      <c r="CE30" s="13">
        <v>47.648942416423544</v>
      </c>
      <c r="CF30" s="13">
        <v>46.305291919572781</v>
      </c>
      <c r="CG30" s="13">
        <v>45.345778115537314</v>
      </c>
      <c r="CH30" s="19">
        <v>44.817900434774955</v>
      </c>
      <c r="CJ30" s="442"/>
      <c r="CK30" s="443"/>
      <c r="CL30" s="443"/>
      <c r="CM30" s="443"/>
      <c r="CN30" s="443"/>
      <c r="CO30" s="443"/>
      <c r="CP30" s="443"/>
      <c r="CQ30" s="443"/>
      <c r="CR30" s="443"/>
      <c r="CS30" s="443"/>
      <c r="CT30" s="443"/>
      <c r="CU30" s="443"/>
      <c r="CV30" s="443"/>
      <c r="CW30" s="443"/>
      <c r="CX30" s="443"/>
      <c r="CY30" s="443"/>
      <c r="CZ30" s="443"/>
      <c r="DA30" s="444"/>
      <c r="DF30" s="99" t="s">
        <v>513</v>
      </c>
      <c r="DG30" s="126">
        <f>W118</f>
        <v>1847.2121279607607</v>
      </c>
      <c r="DH30" s="126">
        <f>X118</f>
        <v>2671.2599962187078</v>
      </c>
      <c r="DI30" s="126">
        <f>Y118</f>
        <v>3717.4214585596246</v>
      </c>
      <c r="DJ30" s="126">
        <f>Z118</f>
        <v>3880.167578565</v>
      </c>
    </row>
    <row r="31" spans="1:121">
      <c r="A31" s="17" t="s">
        <v>289</v>
      </c>
      <c r="B31" s="13"/>
      <c r="C31" s="562"/>
      <c r="D31" s="562"/>
      <c r="E31" s="562"/>
      <c r="F31" s="562"/>
      <c r="G31" s="562"/>
      <c r="H31" s="562"/>
      <c r="I31" s="562"/>
      <c r="J31" s="562"/>
      <c r="K31" s="562"/>
      <c r="L31" s="562"/>
      <c r="M31" s="562"/>
      <c r="N31" s="13">
        <v>799</v>
      </c>
      <c r="O31" s="13">
        <v>14865</v>
      </c>
      <c r="P31" s="13">
        <v>22344</v>
      </c>
      <c r="Q31" s="606">
        <v>21963</v>
      </c>
      <c r="R31" s="606">
        <v>21348</v>
      </c>
      <c r="S31" s="606">
        <v>22147</v>
      </c>
      <c r="T31" s="606">
        <v>23102</v>
      </c>
      <c r="U31" s="13">
        <v>23517</v>
      </c>
      <c r="V31" s="13">
        <v>24535</v>
      </c>
      <c r="W31" s="13">
        <v>23616</v>
      </c>
      <c r="X31" s="13">
        <v>9027.7000000000007</v>
      </c>
      <c r="Y31" s="13">
        <v>9888.8950657894748</v>
      </c>
      <c r="Z31" s="13">
        <v>16618.983</v>
      </c>
      <c r="AA31" s="13">
        <v>16744.18604651163</v>
      </c>
      <c r="AB31" s="13">
        <v>16346.552309894512</v>
      </c>
      <c r="AC31" s="13">
        <v>16103.879206381176</v>
      </c>
      <c r="AD31" s="13">
        <v>15957.226914637344</v>
      </c>
      <c r="AE31" s="13">
        <v>15831.798930155479</v>
      </c>
      <c r="AF31" s="13">
        <v>15776.181016547314</v>
      </c>
      <c r="AG31" s="13">
        <v>15769.852081550522</v>
      </c>
      <c r="AH31" s="19">
        <v>15805.012831532695</v>
      </c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7" t="s">
        <v>289</v>
      </c>
      <c r="BB31" s="13"/>
      <c r="BC31" s="562"/>
      <c r="BD31" s="562"/>
      <c r="BE31" s="562"/>
      <c r="BF31" s="562"/>
      <c r="BG31" s="562"/>
      <c r="BH31" s="562"/>
      <c r="BI31" s="562"/>
      <c r="BJ31" s="562"/>
      <c r="BK31" s="562"/>
      <c r="BL31" s="562"/>
      <c r="BM31" s="562"/>
      <c r="BN31" s="13">
        <v>68.783478260869572</v>
      </c>
      <c r="BO31" s="13">
        <v>1805</v>
      </c>
      <c r="BP31" s="13">
        <v>3298</v>
      </c>
      <c r="BQ31" s="606">
        <v>2732</v>
      </c>
      <c r="BR31" s="606">
        <v>2566</v>
      </c>
      <c r="BS31" s="606">
        <v>2664</v>
      </c>
      <c r="BT31" s="606">
        <v>2766</v>
      </c>
      <c r="BU31" s="13">
        <v>2845</v>
      </c>
      <c r="BV31" s="13">
        <v>3018</v>
      </c>
      <c r="BW31" s="13">
        <v>3181</v>
      </c>
      <c r="BX31" s="13">
        <v>1216</v>
      </c>
      <c r="BY31" s="13">
        <v>1332</v>
      </c>
      <c r="BZ31" s="13">
        <v>2552</v>
      </c>
      <c r="CA31" s="13">
        <v>2631</v>
      </c>
      <c r="CB31" s="13">
        <v>2557</v>
      </c>
      <c r="CC31" s="13">
        <v>2519.04</v>
      </c>
      <c r="CD31" s="13">
        <v>2496.1</v>
      </c>
      <c r="CE31" s="13">
        <v>2476.48</v>
      </c>
      <c r="CF31" s="13">
        <v>2467.7800000000002</v>
      </c>
      <c r="CG31" s="13">
        <v>2466.79</v>
      </c>
      <c r="CH31" s="19">
        <v>2472.29</v>
      </c>
      <c r="CJ31" s="442"/>
      <c r="CK31" s="443"/>
      <c r="CL31" s="443"/>
      <c r="CM31" s="443"/>
      <c r="CN31" s="443"/>
      <c r="CO31" s="443"/>
      <c r="CP31" s="443"/>
      <c r="CQ31" s="443"/>
      <c r="CR31" s="443"/>
      <c r="CS31" s="443"/>
      <c r="CT31" s="443"/>
      <c r="CU31" s="443"/>
      <c r="CV31" s="443"/>
      <c r="CW31" s="443"/>
      <c r="CX31" s="443"/>
      <c r="CY31" s="443"/>
      <c r="CZ31" s="443"/>
      <c r="DA31" s="444"/>
      <c r="DG31" s="126">
        <f>SUM(DG27:DG30)</f>
        <v>19675.151998719728</v>
      </c>
      <c r="DH31" s="126">
        <f>SUM(DH27:DH30)</f>
        <v>13115.109288878495</v>
      </c>
      <c r="DI31" s="126">
        <f>SUM(DI27:DI30)</f>
        <v>15558.39100621</v>
      </c>
      <c r="DJ31" s="126">
        <f>SUM(DJ27:DJ30)</f>
        <v>20461.94681026</v>
      </c>
    </row>
    <row r="32" spans="1:121">
      <c r="A32" s="92" t="s">
        <v>294</v>
      </c>
      <c r="B32" s="93"/>
      <c r="C32" s="563"/>
      <c r="D32" s="563"/>
      <c r="E32" s="563"/>
      <c r="F32" s="563"/>
      <c r="G32" s="93">
        <f>SUM(G29:G31)</f>
        <v>367</v>
      </c>
      <c r="H32" s="93">
        <f t="shared" ref="H32:V32" si="73">SUM(H29:H31)</f>
        <v>4474</v>
      </c>
      <c r="I32" s="93">
        <f t="shared" si="73"/>
        <v>11470</v>
      </c>
      <c r="J32" s="93">
        <f t="shared" si="73"/>
        <v>15436</v>
      </c>
      <c r="K32" s="93">
        <f t="shared" si="73"/>
        <v>18827</v>
      </c>
      <c r="L32" s="93">
        <f t="shared" si="73"/>
        <v>21685</v>
      </c>
      <c r="M32" s="93">
        <f t="shared" si="73"/>
        <v>24951.200000000001</v>
      </c>
      <c r="N32" s="93">
        <f t="shared" si="73"/>
        <v>31534</v>
      </c>
      <c r="O32" s="93">
        <f t="shared" si="73"/>
        <v>44896</v>
      </c>
      <c r="P32" s="93">
        <f>SUM(P29:P31)</f>
        <v>50066</v>
      </c>
      <c r="Q32" s="93">
        <f t="shared" si="73"/>
        <v>47694</v>
      </c>
      <c r="R32" s="93">
        <f>SUM(R29:R31)</f>
        <v>46975</v>
      </c>
      <c r="S32" s="93">
        <f t="shared" si="73"/>
        <v>48279</v>
      </c>
      <c r="T32" s="93">
        <f t="shared" si="73"/>
        <v>49693</v>
      </c>
      <c r="U32" s="93">
        <f t="shared" si="73"/>
        <v>49086</v>
      </c>
      <c r="V32" s="93">
        <f t="shared" si="73"/>
        <v>48756</v>
      </c>
      <c r="W32" s="93">
        <f t="shared" ref="W32:X32" si="74">SUM(W29:W31)</f>
        <v>46607.479999999996</v>
      </c>
      <c r="X32" s="93">
        <f t="shared" si="74"/>
        <v>20629.800000000003</v>
      </c>
      <c r="Y32" s="93">
        <f t="shared" ref="Y32:Z32" si="75">SUM(Y29:Y31)</f>
        <v>20728.395065789475</v>
      </c>
      <c r="Z32" s="93">
        <f t="shared" si="75"/>
        <v>33676.589999999997</v>
      </c>
      <c r="AA32" s="93">
        <f t="shared" ref="AA32:AB32" si="76">SUM(AA29:AA31)</f>
        <v>33760.549999999996</v>
      </c>
      <c r="AB32" s="93">
        <f t="shared" si="76"/>
        <v>32647.25</v>
      </c>
      <c r="AC32" s="93">
        <f t="shared" ref="AC32:AD32" si="77">SUM(AC29:AC31)</f>
        <v>31228.466115358511</v>
      </c>
      <c r="AD32" s="93">
        <f t="shared" si="77"/>
        <v>30267.305000651719</v>
      </c>
      <c r="AE32" s="93">
        <f t="shared" ref="AE32:AF32" si="78">SUM(AE29:AE31)</f>
        <v>29536.543257019155</v>
      </c>
      <c r="AF32" s="93">
        <f t="shared" si="78"/>
        <v>29073.649407178647</v>
      </c>
      <c r="AG32" s="93">
        <f t="shared" ref="AG32:AH32" si="79">SUM(AG29:AG31)</f>
        <v>28801.961979453503</v>
      </c>
      <c r="AH32" s="94">
        <f t="shared" si="79"/>
        <v>28680.378802742012</v>
      </c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92" t="s">
        <v>294</v>
      </c>
      <c r="BB32" s="93"/>
      <c r="BC32" s="563"/>
      <c r="BD32" s="563"/>
      <c r="BE32" s="563"/>
      <c r="BF32" s="563"/>
      <c r="BG32" s="93">
        <f>SUM(BG29:BG31)</f>
        <v>91.75</v>
      </c>
      <c r="BH32" s="93">
        <f t="shared" ref="BH32:BO32" si="80">SUM(BH29:BH31)</f>
        <v>1118.5</v>
      </c>
      <c r="BI32" s="93">
        <f t="shared" si="80"/>
        <v>2867.5</v>
      </c>
      <c r="BJ32" s="93">
        <f t="shared" si="80"/>
        <v>3859</v>
      </c>
      <c r="BK32" s="93">
        <f t="shared" si="80"/>
        <v>4706.75</v>
      </c>
      <c r="BL32" s="93">
        <f t="shared" si="80"/>
        <v>5421.25</v>
      </c>
      <c r="BM32" s="93">
        <f t="shared" si="80"/>
        <v>6237.8</v>
      </c>
      <c r="BN32" s="93">
        <f t="shared" si="80"/>
        <v>7752.5334782608697</v>
      </c>
      <c r="BO32" s="93">
        <f t="shared" si="80"/>
        <v>9208</v>
      </c>
      <c r="BP32" s="93">
        <f>SUM(BP29:BP31)</f>
        <v>10287</v>
      </c>
      <c r="BQ32" s="93">
        <f t="shared" ref="BQ32" si="81">SUM(BQ29:BQ31)</f>
        <v>9421</v>
      </c>
      <c r="BR32" s="93">
        <f>SUM(BR29:BR31)</f>
        <v>9254</v>
      </c>
      <c r="BS32" s="93">
        <f t="shared" ref="BS32:BZ32" si="82">SUM(BS29:BS31)</f>
        <v>9577</v>
      </c>
      <c r="BT32" s="93">
        <f t="shared" si="82"/>
        <v>10521</v>
      </c>
      <c r="BU32" s="93">
        <f t="shared" si="82"/>
        <v>10572</v>
      </c>
      <c r="BV32" s="93">
        <f t="shared" si="82"/>
        <v>10343</v>
      </c>
      <c r="BW32" s="93">
        <f t="shared" si="82"/>
        <v>10429</v>
      </c>
      <c r="BX32" s="93">
        <f t="shared" ref="BX32" si="83">SUM(BX29:BX31)</f>
        <v>4891</v>
      </c>
      <c r="BY32" s="93">
        <f t="shared" si="82"/>
        <v>4747</v>
      </c>
      <c r="BZ32" s="93">
        <f t="shared" si="82"/>
        <v>8647</v>
      </c>
      <c r="CA32" s="93">
        <f t="shared" ref="CA32:CB32" si="84">SUM(CA29:CA31)</f>
        <v>8607</v>
      </c>
      <c r="CB32" s="93">
        <f t="shared" si="84"/>
        <v>8219</v>
      </c>
      <c r="CC32" s="93">
        <f t="shared" ref="CC32:CD32" si="85">SUM(CC29:CC31)</f>
        <v>7772.09</v>
      </c>
      <c r="CD32" s="93">
        <f t="shared" si="85"/>
        <v>7466.4599999999991</v>
      </c>
      <c r="CE32" s="93">
        <f t="shared" ref="CE32:CF32" si="86">SUM(CE29:CE31)</f>
        <v>7236.49</v>
      </c>
      <c r="CF32" s="93">
        <f t="shared" si="86"/>
        <v>7086.380000000001</v>
      </c>
      <c r="CG32" s="93">
        <f t="shared" ref="CG32:CH32" si="87">SUM(CG29:CG31)</f>
        <v>6993.2</v>
      </c>
      <c r="CH32" s="94">
        <f t="shared" si="87"/>
        <v>6944.2699999999995</v>
      </c>
      <c r="CJ32" s="442"/>
      <c r="CK32" s="443"/>
      <c r="CL32" s="443"/>
      <c r="CM32" s="443"/>
      <c r="CN32" s="443"/>
      <c r="CO32" s="443"/>
      <c r="CP32" s="443"/>
      <c r="CQ32" s="443"/>
      <c r="CR32" s="443"/>
      <c r="CS32" s="443"/>
      <c r="CT32" s="443"/>
      <c r="CU32" s="443"/>
      <c r="CV32" s="443"/>
      <c r="CW32" s="443"/>
      <c r="CX32" s="443"/>
      <c r="CY32" s="443"/>
      <c r="CZ32" s="443"/>
      <c r="DA32" s="444"/>
    </row>
    <row r="33" spans="1:105">
      <c r="A33" s="17" t="s">
        <v>307</v>
      </c>
      <c r="B33" s="13"/>
      <c r="C33" s="95"/>
      <c r="D33" s="95"/>
      <c r="E33" s="13">
        <v>225</v>
      </c>
      <c r="F33" s="13">
        <v>784</v>
      </c>
      <c r="G33" s="13">
        <v>1257</v>
      </c>
      <c r="H33" s="13">
        <v>1542</v>
      </c>
      <c r="I33" s="13">
        <v>1553</v>
      </c>
      <c r="J33" s="13">
        <v>1755</v>
      </c>
      <c r="K33" s="13">
        <v>1726</v>
      </c>
      <c r="L33" s="13">
        <v>1636</v>
      </c>
      <c r="M33" s="13">
        <v>1454.48</v>
      </c>
      <c r="N33" s="13">
        <v>1916</v>
      </c>
      <c r="O33" s="13">
        <v>1850</v>
      </c>
      <c r="P33" s="13">
        <v>1763</v>
      </c>
      <c r="Q33" s="13">
        <v>1663.9</v>
      </c>
      <c r="R33" s="13">
        <v>1624</v>
      </c>
      <c r="S33" s="13">
        <v>1598</v>
      </c>
      <c r="T33" s="606">
        <v>1602</v>
      </c>
      <c r="U33" s="13">
        <v>1619</v>
      </c>
      <c r="V33" s="13">
        <v>1647</v>
      </c>
      <c r="W33" s="13">
        <v>1651</v>
      </c>
      <c r="X33" s="13">
        <v>818.70576131687244</v>
      </c>
      <c r="Y33" s="13">
        <v>991.95884773662556</v>
      </c>
      <c r="Z33" s="13">
        <v>1497.7536827978224</v>
      </c>
      <c r="AA33" s="13">
        <v>1556.87</v>
      </c>
      <c r="AB33" s="13">
        <v>1564.93</v>
      </c>
      <c r="AC33" s="13">
        <v>1571.98</v>
      </c>
      <c r="AD33" s="13">
        <v>1584.19</v>
      </c>
      <c r="AE33" s="13">
        <v>1594.98</v>
      </c>
      <c r="AF33" s="13">
        <v>1609.66</v>
      </c>
      <c r="AG33" s="13">
        <v>1626.7</v>
      </c>
      <c r="AH33" s="19">
        <v>1645.71</v>
      </c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7" t="s">
        <v>318</v>
      </c>
      <c r="BB33" s="13"/>
      <c r="BC33" s="95"/>
      <c r="BD33" s="95"/>
      <c r="BE33" s="13">
        <v>95.944380069524897</v>
      </c>
      <c r="BF33" s="13">
        <v>334.31286210892233</v>
      </c>
      <c r="BG33" s="13">
        <v>536.00926998841248</v>
      </c>
      <c r="BH33" s="13">
        <v>657.53881807647747</v>
      </c>
      <c r="BI33" s="13">
        <v>662.22943221320975</v>
      </c>
      <c r="BJ33" s="13">
        <v>748.36616454229431</v>
      </c>
      <c r="BK33" s="13">
        <v>736</v>
      </c>
      <c r="BL33" s="13">
        <v>687</v>
      </c>
      <c r="BM33" s="13">
        <v>454.0234985876462</v>
      </c>
      <c r="BN33" s="13">
        <v>585.20624099999998</v>
      </c>
      <c r="BO33" s="13">
        <v>517.93442600000003</v>
      </c>
      <c r="BP33" s="13">
        <v>578</v>
      </c>
      <c r="BQ33" s="13">
        <v>609</v>
      </c>
      <c r="BR33" s="13">
        <v>555</v>
      </c>
      <c r="BS33" s="13">
        <v>474</v>
      </c>
      <c r="BT33" s="606">
        <v>467</v>
      </c>
      <c r="BU33" s="13">
        <v>478</v>
      </c>
      <c r="BV33" s="13">
        <v>489</v>
      </c>
      <c r="BW33" s="13">
        <v>486</v>
      </c>
      <c r="BX33" s="13">
        <v>241</v>
      </c>
      <c r="BY33" s="13">
        <v>287</v>
      </c>
      <c r="BZ33" s="13">
        <v>489</v>
      </c>
      <c r="CA33" s="13">
        <v>488</v>
      </c>
      <c r="CB33" s="13">
        <v>490.52640233288594</v>
      </c>
      <c r="CC33" s="13">
        <v>492.73622075060865</v>
      </c>
      <c r="CD33" s="13">
        <v>496.5634381804519</v>
      </c>
      <c r="CE33" s="13">
        <v>499.94555743254097</v>
      </c>
      <c r="CF33" s="13">
        <v>504.54699493213957</v>
      </c>
      <c r="CG33" s="13">
        <v>509.88817306518854</v>
      </c>
      <c r="CH33" s="19">
        <v>515.84684655751607</v>
      </c>
      <c r="CI33" s="32"/>
      <c r="CJ33" s="442"/>
      <c r="CK33" s="443"/>
      <c r="CL33" s="443"/>
      <c r="CM33" s="443"/>
      <c r="CN33" s="443"/>
      <c r="CO33" s="443"/>
      <c r="CP33" s="443"/>
      <c r="CQ33" s="443"/>
      <c r="CR33" s="443"/>
      <c r="CS33" s="443"/>
      <c r="CT33" s="443"/>
      <c r="CU33" s="443"/>
      <c r="CV33" s="443"/>
      <c r="CW33" s="443"/>
      <c r="CX33" s="443"/>
      <c r="CY33" s="443"/>
      <c r="CZ33" s="443"/>
      <c r="DA33" s="444"/>
    </row>
    <row r="34" spans="1:105">
      <c r="A34" s="36" t="s">
        <v>383</v>
      </c>
      <c r="B34" s="13"/>
      <c r="C34" s="284"/>
      <c r="D34" s="284"/>
      <c r="E34" s="284"/>
      <c r="F34" s="284"/>
      <c r="G34" s="284"/>
      <c r="H34" s="284"/>
      <c r="I34" s="284"/>
      <c r="J34" s="284"/>
      <c r="K34" s="284"/>
      <c r="L34" s="13">
        <f t="shared" ref="L34:T34" si="88">L55+L56</f>
        <v>242.422236</v>
      </c>
      <c r="M34" s="13">
        <f t="shared" si="88"/>
        <v>2347.5192439999996</v>
      </c>
      <c r="N34" s="13">
        <f t="shared" si="88"/>
        <v>3145.8448280000007</v>
      </c>
      <c r="O34" s="13">
        <f t="shared" si="88"/>
        <v>6860.548490000001</v>
      </c>
      <c r="P34" s="13">
        <f t="shared" si="88"/>
        <v>8441.6407985525166</v>
      </c>
      <c r="Q34" s="13">
        <f t="shared" si="88"/>
        <v>5209.6824345408077</v>
      </c>
      <c r="R34" s="13">
        <f t="shared" si="88"/>
        <v>4184.492370229229</v>
      </c>
      <c r="S34" s="13">
        <f t="shared" si="88"/>
        <v>5484</v>
      </c>
      <c r="T34" s="13">
        <f t="shared" si="88"/>
        <v>5784</v>
      </c>
      <c r="U34" s="13">
        <f>U55+U56</f>
        <v>3444</v>
      </c>
      <c r="V34" s="13">
        <f t="shared" ref="V34:AB34" si="89">V55+V56</f>
        <v>3207</v>
      </c>
      <c r="W34" s="13">
        <f t="shared" si="89"/>
        <v>3014</v>
      </c>
      <c r="X34" s="13">
        <f t="shared" ref="X34" si="90">X55+X56</f>
        <v>4345.4964356647279</v>
      </c>
      <c r="Y34" s="13">
        <f t="shared" si="89"/>
        <v>2630.2165477014987</v>
      </c>
      <c r="Z34" s="13">
        <f t="shared" si="89"/>
        <v>3866.4643673379192</v>
      </c>
      <c r="AA34" s="13">
        <f t="shared" si="89"/>
        <v>3922.3273700204791</v>
      </c>
      <c r="AB34" s="13">
        <f t="shared" si="89"/>
        <v>3761.3869741256526</v>
      </c>
      <c r="AC34" s="13">
        <f t="shared" ref="AC34:AD34" si="91">AC55+AC56</f>
        <v>3782.4661810040561</v>
      </c>
      <c r="AD34" s="13">
        <f t="shared" si="91"/>
        <v>3770.2483451959461</v>
      </c>
      <c r="AE34" s="13">
        <f t="shared" ref="AE34:AF34" si="92">AE55+AE56</f>
        <v>3782.7058666459234</v>
      </c>
      <c r="AF34" s="13">
        <f t="shared" si="92"/>
        <v>3822.4912925870367</v>
      </c>
      <c r="AG34" s="13">
        <f t="shared" ref="AG34:AH34" si="93">AG55+AG56</f>
        <v>3879.7147116789215</v>
      </c>
      <c r="AH34" s="19">
        <f t="shared" si="93"/>
        <v>3949.5427824421849</v>
      </c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36" t="s">
        <v>383</v>
      </c>
      <c r="BB34" s="13"/>
      <c r="BC34" s="284"/>
      <c r="BD34" s="284"/>
      <c r="BE34" s="284"/>
      <c r="BF34" s="284"/>
      <c r="BG34" s="284"/>
      <c r="BH34" s="284"/>
      <c r="BI34" s="284"/>
      <c r="BJ34" s="284"/>
      <c r="BK34" s="284"/>
      <c r="BL34" s="13">
        <f t="shared" ref="BL34:BU34" si="94">BL55+BL56</f>
        <v>29.639246485482197</v>
      </c>
      <c r="BM34" s="13">
        <f t="shared" si="94"/>
        <v>287.01451917277438</v>
      </c>
      <c r="BN34" s="13">
        <f t="shared" si="94"/>
        <v>376.48407700000001</v>
      </c>
      <c r="BO34" s="13">
        <f t="shared" si="94"/>
        <v>384.37030100000004</v>
      </c>
      <c r="BP34" s="13">
        <f t="shared" si="94"/>
        <v>356.22493195994423</v>
      </c>
      <c r="BQ34" s="13">
        <f t="shared" si="94"/>
        <v>229.74834729576543</v>
      </c>
      <c r="BR34" s="13">
        <f t="shared" si="94"/>
        <v>188.54280949452448</v>
      </c>
      <c r="BS34" s="13">
        <f t="shared" si="94"/>
        <v>197</v>
      </c>
      <c r="BT34" s="13">
        <f t="shared" si="94"/>
        <v>193</v>
      </c>
      <c r="BU34" s="13">
        <f t="shared" si="94"/>
        <v>153</v>
      </c>
      <c r="BV34" s="13">
        <f>BV55+BV56</f>
        <v>146.99616877</v>
      </c>
      <c r="BW34" s="13">
        <f t="shared" ref="BW34:CB34" si="95">BW55+BW56</f>
        <v>137.76038955649599</v>
      </c>
      <c r="BX34" s="13">
        <f t="shared" ref="BX34" si="96">BX55+BX56</f>
        <v>206.935153318495</v>
      </c>
      <c r="BY34" s="13">
        <f t="shared" si="95"/>
        <v>177.18353522000001</v>
      </c>
      <c r="BZ34" s="13">
        <f t="shared" si="95"/>
        <v>169.78227893999997</v>
      </c>
      <c r="CA34" s="13">
        <f>CA55+CA56</f>
        <v>177.49882953584907</v>
      </c>
      <c r="CB34" s="13">
        <f t="shared" si="95"/>
        <v>174.91625307999999</v>
      </c>
      <c r="CC34" s="13">
        <f t="shared" ref="CC34:CD34" si="97">CC55+CC56</f>
        <v>176.29163503849381</v>
      </c>
      <c r="CD34" s="13">
        <f t="shared" si="97"/>
        <v>175.95099999999999</v>
      </c>
      <c r="CE34" s="13">
        <f t="shared" ref="CE34:CF34" si="98">CE55+CE56</f>
        <v>176.72</v>
      </c>
      <c r="CF34" s="13">
        <f t="shared" si="98"/>
        <v>178.73099999999999</v>
      </c>
      <c r="CG34" s="13">
        <f t="shared" ref="CG34:CH34" si="99">CG55+CG56</f>
        <v>181.53</v>
      </c>
      <c r="CH34" s="19">
        <f t="shared" si="99"/>
        <v>184.89699999999999</v>
      </c>
      <c r="CI34" s="32"/>
      <c r="CJ34" s="442"/>
      <c r="CK34" s="443"/>
      <c r="CL34" s="443"/>
      <c r="CM34" s="443"/>
      <c r="CN34" s="443"/>
      <c r="CO34" s="443"/>
      <c r="CP34" s="443"/>
      <c r="CQ34" s="443"/>
      <c r="CR34" s="443"/>
      <c r="CS34" s="443"/>
      <c r="CT34" s="443"/>
      <c r="CU34" s="443"/>
      <c r="CV34" s="443"/>
      <c r="CW34" s="443"/>
      <c r="CX34" s="443"/>
      <c r="CY34" s="443"/>
      <c r="CZ34" s="443"/>
      <c r="DA34" s="444"/>
    </row>
    <row r="35" spans="1:105">
      <c r="A35" s="33" t="s">
        <v>301</v>
      </c>
      <c r="B35" s="34"/>
      <c r="C35" s="34">
        <f>SUM(C32:C34)+C28</f>
        <v>2463.9376402759449</v>
      </c>
      <c r="D35" s="34">
        <f t="shared" ref="D35:Y35" si="100">SUM(D32:D34)+D28</f>
        <v>2530.4639565633952</v>
      </c>
      <c r="E35" s="34">
        <f t="shared" si="100"/>
        <v>2823.7864833906065</v>
      </c>
      <c r="F35" s="34">
        <f t="shared" si="100"/>
        <v>3739.5555555555557</v>
      </c>
      <c r="G35" s="34">
        <f t="shared" si="100"/>
        <v>4579.5555555555557</v>
      </c>
      <c r="H35" s="34">
        <f t="shared" si="100"/>
        <v>9060.2222222222226</v>
      </c>
      <c r="I35" s="34">
        <f t="shared" si="100"/>
        <v>16158.548888888889</v>
      </c>
      <c r="J35" s="34">
        <f t="shared" si="100"/>
        <v>20224.333333333332</v>
      </c>
      <c r="K35" s="34">
        <f t="shared" si="100"/>
        <v>23647</v>
      </c>
      <c r="L35" s="34">
        <f t="shared" si="100"/>
        <v>26596.399545529988</v>
      </c>
      <c r="M35" s="34">
        <f t="shared" si="100"/>
        <v>31666.53826292753</v>
      </c>
      <c r="N35" s="34">
        <f t="shared" si="100"/>
        <v>39393.502742667595</v>
      </c>
      <c r="O35" s="34">
        <f t="shared" si="100"/>
        <v>57683.313856718014</v>
      </c>
      <c r="P35" s="34">
        <f t="shared" si="100"/>
        <v>67863.081476049818</v>
      </c>
      <c r="Q35" s="34">
        <f t="shared" si="100"/>
        <v>64645.148537928915</v>
      </c>
      <c r="R35" s="34">
        <f t="shared" si="100"/>
        <v>62901.751152953555</v>
      </c>
      <c r="S35" s="34">
        <f t="shared" si="100"/>
        <v>67571.414956049979</v>
      </c>
      <c r="T35" s="34">
        <f t="shared" si="100"/>
        <v>69342.234941000264</v>
      </c>
      <c r="U35" s="34">
        <f t="shared" si="100"/>
        <v>72330.367143794865</v>
      </c>
      <c r="V35" s="34">
        <f t="shared" si="100"/>
        <v>74951.94930339705</v>
      </c>
      <c r="W35" s="34">
        <f t="shared" si="100"/>
        <v>75873.046190778463</v>
      </c>
      <c r="X35" s="34">
        <f t="shared" ref="X35" si="101">SUM(X32:X34)+X28</f>
        <v>60560.856012050237</v>
      </c>
      <c r="Y35" s="34">
        <f t="shared" si="100"/>
        <v>74658.833127684687</v>
      </c>
      <c r="Z35" s="34">
        <f t="shared" ref="Z35:AA35" si="102">SUM(Z32:Z34)+Z28</f>
        <v>96169.310813334305</v>
      </c>
      <c r="AA35" s="34">
        <f t="shared" si="102"/>
        <v>106285.18836938031</v>
      </c>
      <c r="AB35" s="34">
        <f t="shared" ref="AB35:AC35" si="103">SUM(AB32:AB34)+AB28</f>
        <v>117002.1819562134</v>
      </c>
      <c r="AC35" s="34">
        <f t="shared" si="103"/>
        <v>125632.7329492515</v>
      </c>
      <c r="AD35" s="34">
        <f t="shared" ref="AD35:AE35" si="104">SUM(AD32:AD34)+AD28</f>
        <v>134529.08189010798</v>
      </c>
      <c r="AE35" s="34">
        <f t="shared" si="104"/>
        <v>143699.14309886738</v>
      </c>
      <c r="AF35" s="34">
        <f t="shared" ref="AF35:AG35" si="105">SUM(AF32:AF34)+AF28</f>
        <v>153443.94677826771</v>
      </c>
      <c r="AG35" s="34">
        <f t="shared" si="105"/>
        <v>163552.78521871153</v>
      </c>
      <c r="AH35" s="35">
        <f t="shared" ref="AH35" si="106">SUM(AH32:AH34)+AH28</f>
        <v>173920.81347341137</v>
      </c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33" t="s">
        <v>301</v>
      </c>
      <c r="BB35" s="34"/>
      <c r="BC35" s="34">
        <f>SUM(BC32:BC34)+BC28</f>
        <v>443.50877524967007</v>
      </c>
      <c r="BD35" s="34">
        <f t="shared" ref="BD35:BY35" si="107">SUM(BD32:BD34)+BD28</f>
        <v>455.48351218141113</v>
      </c>
      <c r="BE35" s="34">
        <f t="shared" si="107"/>
        <v>563.7259470798341</v>
      </c>
      <c r="BF35" s="34">
        <f t="shared" si="107"/>
        <v>866.31286210892233</v>
      </c>
      <c r="BG35" s="34">
        <f t="shared" si="107"/>
        <v>1159.7592699884126</v>
      </c>
      <c r="BH35" s="34">
        <f t="shared" si="107"/>
        <v>2340.8988180764777</v>
      </c>
      <c r="BI35" s="34">
        <f t="shared" si="107"/>
        <v>4017.2604322132097</v>
      </c>
      <c r="BJ35" s="34">
        <f t="shared" si="107"/>
        <v>5155.6101645422941</v>
      </c>
      <c r="BK35" s="34">
        <f t="shared" si="107"/>
        <v>5994.4049999999997</v>
      </c>
      <c r="BL35" s="34">
        <f t="shared" si="107"/>
        <v>6667.485246485483</v>
      </c>
      <c r="BM35" s="34">
        <f t="shared" si="107"/>
        <v>7464.8180177604199</v>
      </c>
      <c r="BN35" s="34">
        <f t="shared" si="107"/>
        <v>9180.9067962608678</v>
      </c>
      <c r="BO35" s="34">
        <f t="shared" si="107"/>
        <v>10579.727742000001</v>
      </c>
      <c r="BP35" s="34">
        <f t="shared" si="107"/>
        <v>11711.980000000001</v>
      </c>
      <c r="BQ35" s="34">
        <f t="shared" si="107"/>
        <v>10813</v>
      </c>
      <c r="BR35" s="34">
        <f t="shared" si="107"/>
        <v>10558.628063246008</v>
      </c>
      <c r="BS35" s="34">
        <f t="shared" si="107"/>
        <v>10834</v>
      </c>
      <c r="BT35" s="34">
        <f t="shared" si="107"/>
        <v>11859.303750636036</v>
      </c>
      <c r="BU35" s="34">
        <f t="shared" si="107"/>
        <v>12060.168274863636</v>
      </c>
      <c r="BV35" s="34">
        <f t="shared" si="107"/>
        <v>11932.78939068</v>
      </c>
      <c r="BW35" s="34">
        <f>SUM(BW32:BW34)+BW28</f>
        <v>12081.891998719728</v>
      </c>
      <c r="BX35" s="34">
        <f t="shared" ref="BX35" si="108">SUM(BX32:BX34)+BX28</f>
        <v>6651.6192888784954</v>
      </c>
      <c r="BY35" s="34">
        <f t="shared" si="107"/>
        <v>7044.6186825799996</v>
      </c>
      <c r="BZ35" s="34">
        <f t="shared" ref="BZ35:CA35" si="109">SUM(BZ32:BZ34)+BZ28</f>
        <v>11450.53177933</v>
      </c>
      <c r="CA35" s="34">
        <f t="shared" si="109"/>
        <v>11770.8103823167</v>
      </c>
      <c r="CB35" s="34">
        <f t="shared" ref="CB35:CC35" si="110">SUM(CB32:CB34)+CB28</f>
        <v>11809.403982495673</v>
      </c>
      <c r="CC35" s="34">
        <f t="shared" si="110"/>
        <v>11722.630480384547</v>
      </c>
      <c r="CD35" s="34">
        <f t="shared" ref="CD35:CE35" si="111">SUM(CD32:CD34)+CD28</f>
        <v>11771.5234418336</v>
      </c>
      <c r="CE35" s="34">
        <f t="shared" si="111"/>
        <v>11897.516314530079</v>
      </c>
      <c r="CF35" s="34">
        <f t="shared" ref="CF35:CG35" si="112">SUM(CF32:CF34)+CF28</f>
        <v>12115.927955328876</v>
      </c>
      <c r="CG35" s="34">
        <f t="shared" si="112"/>
        <v>12398.429031840817</v>
      </c>
      <c r="CH35" s="35">
        <f t="shared" ref="CH35" si="113">SUM(CH32:CH34)+CH28</f>
        <v>12729.875744615483</v>
      </c>
      <c r="CI35" s="32"/>
      <c r="CJ35" s="442"/>
      <c r="CK35" s="443"/>
      <c r="CL35" s="443"/>
      <c r="CM35" s="443"/>
      <c r="CN35" s="443"/>
      <c r="CO35" s="443"/>
      <c r="CP35" s="443"/>
      <c r="CQ35" s="443"/>
      <c r="CR35" s="443"/>
      <c r="CS35" s="443"/>
      <c r="CT35" s="443"/>
      <c r="CU35" s="443"/>
      <c r="CV35" s="443"/>
      <c r="CW35" s="443"/>
      <c r="CX35" s="443"/>
      <c r="CY35" s="443"/>
      <c r="CZ35" s="443"/>
      <c r="DA35" s="444"/>
    </row>
    <row r="36" spans="1:105">
      <c r="A36" s="20"/>
      <c r="B36" s="13"/>
      <c r="C36" s="13"/>
      <c r="D36" s="13"/>
      <c r="E36" s="13"/>
      <c r="F36" s="13"/>
      <c r="G36" s="13"/>
      <c r="H36" s="13"/>
      <c r="I36" s="13"/>
      <c r="J36" s="91"/>
      <c r="K36" s="91"/>
      <c r="L36" s="91"/>
      <c r="M36" s="91"/>
      <c r="N36" s="91"/>
      <c r="O36" s="13"/>
      <c r="P36" s="91"/>
      <c r="Q36" s="13"/>
      <c r="R36" s="13"/>
      <c r="S36" s="91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9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20"/>
      <c r="BB36" s="13"/>
      <c r="BC36" s="13"/>
      <c r="BD36" s="13"/>
      <c r="BE36" s="13"/>
      <c r="BF36" s="13"/>
      <c r="BG36" s="13"/>
      <c r="BH36" s="13"/>
      <c r="BI36" s="13"/>
      <c r="BJ36" s="91"/>
      <c r="BK36" s="91"/>
      <c r="BL36" s="91"/>
      <c r="BM36" s="91"/>
      <c r="BN36" s="91"/>
      <c r="BO36" s="13"/>
      <c r="BP36" s="91"/>
      <c r="BQ36" s="13"/>
      <c r="BR36" s="13"/>
      <c r="BS36" s="91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9"/>
      <c r="CI36" s="32"/>
      <c r="CJ36" s="442"/>
      <c r="CK36" s="443"/>
      <c r="CL36" s="443"/>
      <c r="CM36" s="443"/>
      <c r="CN36" s="443"/>
      <c r="CO36" s="443"/>
      <c r="CP36" s="443"/>
      <c r="CQ36" s="443"/>
      <c r="CR36" s="443"/>
      <c r="CS36" s="443"/>
      <c r="CT36" s="443"/>
      <c r="CU36" s="443"/>
      <c r="CV36" s="443"/>
      <c r="CW36" s="443"/>
      <c r="CX36" s="443"/>
      <c r="CY36" s="443"/>
      <c r="CZ36" s="443"/>
      <c r="DA36" s="444"/>
    </row>
    <row r="37" spans="1:105">
      <c r="A37" s="17" t="s">
        <v>284</v>
      </c>
      <c r="B37" s="13"/>
      <c r="C37" s="13">
        <v>10090</v>
      </c>
      <c r="D37" s="13">
        <v>7349</v>
      </c>
      <c r="E37" s="13">
        <v>7339</v>
      </c>
      <c r="F37" s="13">
        <v>7863</v>
      </c>
      <c r="G37" s="13">
        <v>7037</v>
      </c>
      <c r="H37" s="13">
        <v>11687</v>
      </c>
      <c r="I37" s="13">
        <v>7315</v>
      </c>
      <c r="J37" s="13">
        <v>6588</v>
      </c>
      <c r="K37" s="13">
        <v>6177</v>
      </c>
      <c r="L37" s="13">
        <v>5668</v>
      </c>
      <c r="M37" s="13">
        <v>5663.46</v>
      </c>
      <c r="N37" s="13">
        <v>5231</v>
      </c>
      <c r="O37" s="13">
        <v>6810</v>
      </c>
      <c r="P37" s="13">
        <v>6221</v>
      </c>
      <c r="Q37" s="13">
        <v>6332.7</v>
      </c>
      <c r="R37" s="13">
        <v>6629</v>
      </c>
      <c r="S37" s="13">
        <v>7077</v>
      </c>
      <c r="T37" s="13">
        <v>8093</v>
      </c>
      <c r="U37" s="13">
        <v>7481</v>
      </c>
      <c r="V37" s="13">
        <v>8016.8200000000006</v>
      </c>
      <c r="W37" s="13">
        <v>8149.45</v>
      </c>
      <c r="X37" s="13">
        <v>6406.68</v>
      </c>
      <c r="Y37" s="13">
        <v>8333.9499999999989</v>
      </c>
      <c r="Z37" s="13">
        <v>7638.57</v>
      </c>
      <c r="AA37" s="13">
        <v>8185.3224907179683</v>
      </c>
      <c r="AB37" s="13">
        <v>8200.3143501604736</v>
      </c>
      <c r="AC37" s="13">
        <v>8210.9699999999993</v>
      </c>
      <c r="AD37" s="13">
        <v>8254.68</v>
      </c>
      <c r="AE37" s="13">
        <v>8296.2099999999991</v>
      </c>
      <c r="AF37" s="13">
        <v>8362.61</v>
      </c>
      <c r="AG37" s="13">
        <v>8445.25</v>
      </c>
      <c r="AH37" s="19">
        <v>8541.61</v>
      </c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7" t="s">
        <v>284</v>
      </c>
      <c r="BB37" s="13"/>
      <c r="BC37" s="13">
        <v>4796.91813347881</v>
      </c>
      <c r="BD37" s="13">
        <v>3493.8108387448738</v>
      </c>
      <c r="BE37" s="13">
        <v>3489.0567077899891</v>
      </c>
      <c r="BF37" s="13">
        <v>3738.173169825955</v>
      </c>
      <c r="BG37" s="13">
        <v>3345.4819529524666</v>
      </c>
      <c r="BH37" s="13">
        <v>5556.1528469739205</v>
      </c>
      <c r="BI37" s="13">
        <v>3477.6467934982657</v>
      </c>
      <c r="BJ37" s="13">
        <v>3132.0214730781372</v>
      </c>
      <c r="BK37" s="13">
        <v>2936.6266908323696</v>
      </c>
      <c r="BL37" s="13">
        <v>2658.2872986042657</v>
      </c>
      <c r="BM37" s="13">
        <v>2617.2482060639527</v>
      </c>
      <c r="BN37" s="13">
        <v>2327.9596733730168</v>
      </c>
      <c r="BO37" s="13">
        <v>2785.8221016561965</v>
      </c>
      <c r="BP37" s="13">
        <v>2111</v>
      </c>
      <c r="BQ37" s="13">
        <v>2205</v>
      </c>
      <c r="BR37" s="13">
        <v>2156</v>
      </c>
      <c r="BS37" s="13">
        <v>2283</v>
      </c>
      <c r="BT37" s="13">
        <v>3068</v>
      </c>
      <c r="BU37" s="13">
        <v>2423</v>
      </c>
      <c r="BV37" s="13">
        <v>2362.88</v>
      </c>
      <c r="BW37" s="13">
        <v>2368.54</v>
      </c>
      <c r="BX37" s="13">
        <v>1904.4499999999998</v>
      </c>
      <c r="BY37" s="13">
        <v>2403.87</v>
      </c>
      <c r="BZ37" s="13">
        <v>2245.42</v>
      </c>
      <c r="CA37" s="13">
        <v>2298</v>
      </c>
      <c r="CB37" s="13">
        <v>2363.9338674825799</v>
      </c>
      <c r="CC37" s="13">
        <v>2362.4264572142006</v>
      </c>
      <c r="CD37" s="13">
        <v>2357.2046936346678</v>
      </c>
      <c r="CE37" s="13">
        <v>2382.3748985115949</v>
      </c>
      <c r="CF37" s="13">
        <v>2398.3503349077569</v>
      </c>
      <c r="CG37" s="13">
        <v>2419.6162370292582</v>
      </c>
      <c r="CH37" s="19">
        <v>2449.9185073678741</v>
      </c>
      <c r="CI37" s="32"/>
      <c r="CJ37" s="442"/>
      <c r="CK37" s="443"/>
      <c r="CL37" s="443"/>
      <c r="CM37" s="443"/>
      <c r="CN37" s="443"/>
      <c r="CO37" s="443"/>
      <c r="CP37" s="443"/>
      <c r="CQ37" s="443"/>
      <c r="CR37" s="443"/>
      <c r="CS37" s="443"/>
      <c r="CT37" s="443"/>
      <c r="CU37" s="443"/>
      <c r="CV37" s="443"/>
      <c r="CW37" s="443"/>
      <c r="CX37" s="443"/>
      <c r="CY37" s="443"/>
      <c r="CZ37" s="443"/>
      <c r="DA37" s="444"/>
    </row>
    <row r="38" spans="1:105">
      <c r="A38" s="17" t="s">
        <v>440</v>
      </c>
      <c r="B38" s="13"/>
      <c r="C38" s="13">
        <v>2558.8777390948185</v>
      </c>
      <c r="D38" s="13">
        <v>2499</v>
      </c>
      <c r="E38" s="13">
        <v>2440</v>
      </c>
      <c r="F38" s="13">
        <v>2222</v>
      </c>
      <c r="G38" s="13">
        <v>2066</v>
      </c>
      <c r="H38" s="13">
        <v>1836</v>
      </c>
      <c r="I38" s="13">
        <v>1981</v>
      </c>
      <c r="J38" s="13">
        <v>2000</v>
      </c>
      <c r="K38" s="13">
        <v>1940</v>
      </c>
      <c r="L38" s="13">
        <v>2473</v>
      </c>
      <c r="M38" s="13">
        <v>3776.21</v>
      </c>
      <c r="N38" s="13">
        <v>3523</v>
      </c>
      <c r="O38" s="13">
        <v>2396</v>
      </c>
      <c r="P38" s="13">
        <v>1779</v>
      </c>
      <c r="Q38" s="13">
        <v>1376.2</v>
      </c>
      <c r="R38" s="13">
        <v>1188</v>
      </c>
      <c r="S38" s="13">
        <v>1055</v>
      </c>
      <c r="T38" s="13">
        <v>1579</v>
      </c>
      <c r="U38" s="13">
        <v>1526</v>
      </c>
      <c r="V38" s="13">
        <v>1544.11</v>
      </c>
      <c r="W38" s="13">
        <v>1807.46</v>
      </c>
      <c r="X38" s="13">
        <v>1259.3899999999999</v>
      </c>
      <c r="Y38" s="13">
        <v>1644.53</v>
      </c>
      <c r="Z38" s="13">
        <v>2106.1999999999998</v>
      </c>
      <c r="AA38" s="13">
        <v>1633.318581594237</v>
      </c>
      <c r="AB38" s="13">
        <v>1646.767893643656</v>
      </c>
      <c r="AC38" s="13">
        <v>1648.91</v>
      </c>
      <c r="AD38" s="13">
        <v>1658.5</v>
      </c>
      <c r="AE38" s="13">
        <v>1668.32</v>
      </c>
      <c r="AF38" s="13">
        <v>1683.68</v>
      </c>
      <c r="AG38" s="13">
        <v>1702.75</v>
      </c>
      <c r="AH38" s="19">
        <v>1724.95</v>
      </c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7" t="s">
        <v>440</v>
      </c>
      <c r="BB38" s="13"/>
      <c r="BC38" s="13">
        <v>1756.3546703144482</v>
      </c>
      <c r="BD38" s="13">
        <v>1715.2559710290902</v>
      </c>
      <c r="BE38" s="13">
        <v>1674.7597316170391</v>
      </c>
      <c r="BF38" s="13">
        <v>1525.1295588742053</v>
      </c>
      <c r="BG38" s="13">
        <v>1418.0547563609848</v>
      </c>
      <c r="BH38" s="13">
        <v>1260.1880603479033</v>
      </c>
      <c r="BI38" s="13">
        <v>1359.7127165300635</v>
      </c>
      <c r="BJ38" s="13">
        <v>1372.7538783746224</v>
      </c>
      <c r="BK38" s="13">
        <v>1331.5712620233837</v>
      </c>
      <c r="BL38" s="13">
        <v>1674.5099569868883</v>
      </c>
      <c r="BM38" s="13">
        <v>2519.4790680456863</v>
      </c>
      <c r="BN38" s="13">
        <v>2263.5751594448311</v>
      </c>
      <c r="BO38" s="13">
        <v>1451.2607081667618</v>
      </c>
      <c r="BP38" s="13">
        <v>1039</v>
      </c>
      <c r="BQ38" s="13">
        <v>796</v>
      </c>
      <c r="BR38" s="13">
        <v>671</v>
      </c>
      <c r="BS38" s="13">
        <v>676</v>
      </c>
      <c r="BT38" s="13">
        <v>730</v>
      </c>
      <c r="BU38" s="13">
        <v>619</v>
      </c>
      <c r="BV38" s="13">
        <v>603.96</v>
      </c>
      <c r="BW38" s="13">
        <v>702.74</v>
      </c>
      <c r="BX38" s="13">
        <v>527.67999999999995</v>
      </c>
      <c r="BY38" s="13">
        <v>713.94</v>
      </c>
      <c r="BZ38" s="13">
        <v>1088.9699999999998</v>
      </c>
      <c r="CA38" s="13">
        <v>500</v>
      </c>
      <c r="CB38" s="13">
        <v>784.68856305041811</v>
      </c>
      <c r="CC38" s="13">
        <v>784.18926710337928</v>
      </c>
      <c r="CD38" s="13">
        <v>788.75008307970393</v>
      </c>
      <c r="CE38" s="13">
        <v>793.42028254659738</v>
      </c>
      <c r="CF38" s="13">
        <v>800.72519739501718</v>
      </c>
      <c r="CG38" s="13">
        <v>809.7945155043509</v>
      </c>
      <c r="CH38" s="19">
        <v>820.35240024620771</v>
      </c>
      <c r="CI38" s="32"/>
      <c r="CJ38" s="442"/>
      <c r="CK38" s="443"/>
      <c r="CL38" s="443"/>
      <c r="CM38" s="443"/>
      <c r="CN38" s="443"/>
      <c r="CO38" s="443"/>
      <c r="CP38" s="443"/>
      <c r="CQ38" s="443"/>
      <c r="CR38" s="443"/>
      <c r="CS38" s="443"/>
      <c r="CT38" s="443"/>
      <c r="CU38" s="443"/>
      <c r="CV38" s="443"/>
      <c r="CW38" s="443"/>
      <c r="CX38" s="443"/>
      <c r="CY38" s="443"/>
      <c r="CZ38" s="443"/>
      <c r="DA38" s="444"/>
    </row>
    <row r="39" spans="1:105">
      <c r="A39" s="17" t="s">
        <v>130</v>
      </c>
      <c r="B39" s="13"/>
      <c r="C39" s="13">
        <v>389.63226090518174</v>
      </c>
      <c r="D39" s="13">
        <v>374</v>
      </c>
      <c r="E39" s="13">
        <v>230</v>
      </c>
      <c r="F39" s="13">
        <v>301</v>
      </c>
      <c r="G39" s="13">
        <v>282</v>
      </c>
      <c r="H39" s="13">
        <v>594</v>
      </c>
      <c r="I39" s="13">
        <v>1220</v>
      </c>
      <c r="J39" s="13">
        <v>3970</v>
      </c>
      <c r="K39" s="13">
        <v>7955</v>
      </c>
      <c r="L39" s="13">
        <v>10150</v>
      </c>
      <c r="M39" s="13">
        <v>9435.32</v>
      </c>
      <c r="N39" s="13">
        <v>9347</v>
      </c>
      <c r="O39" s="13">
        <v>10151</v>
      </c>
      <c r="P39" s="13">
        <v>9764</v>
      </c>
      <c r="Q39" s="13">
        <v>9612.2000000000007</v>
      </c>
      <c r="R39" s="13">
        <v>9442</v>
      </c>
      <c r="S39" s="13">
        <v>9063</v>
      </c>
      <c r="T39" s="13">
        <v>8981</v>
      </c>
      <c r="U39" s="13">
        <v>9110</v>
      </c>
      <c r="V39" s="13">
        <v>9241.7899999999991</v>
      </c>
      <c r="W39" s="13">
        <v>9228.0299999999988</v>
      </c>
      <c r="X39" s="13">
        <v>8169.11</v>
      </c>
      <c r="Y39" s="13">
        <v>12120.4</v>
      </c>
      <c r="Z39" s="13">
        <v>11120.9</v>
      </c>
      <c r="AA39" s="13">
        <v>12198.188927687794</v>
      </c>
      <c r="AB39" s="13">
        <v>12832.307756195871</v>
      </c>
      <c r="AC39" s="13">
        <v>13524.21</v>
      </c>
      <c r="AD39" s="13">
        <v>14267.29</v>
      </c>
      <c r="AE39" s="13">
        <v>15007.37</v>
      </c>
      <c r="AF39" s="13">
        <v>15791.75</v>
      </c>
      <c r="AG39" s="13">
        <v>16608.97</v>
      </c>
      <c r="AH39" s="19">
        <v>17456.86</v>
      </c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7" t="s">
        <v>130</v>
      </c>
      <c r="BB39" s="13"/>
      <c r="BC39" s="13">
        <v>102.30856872560463</v>
      </c>
      <c r="BD39" s="13">
        <v>98.203892599867785</v>
      </c>
      <c r="BE39" s="13">
        <v>60.392768176389275</v>
      </c>
      <c r="BF39" s="13">
        <v>79.035753135187704</v>
      </c>
      <c r="BG39" s="13">
        <v>74.046785329312073</v>
      </c>
      <c r="BH39" s="13">
        <v>155.97088824684886</v>
      </c>
      <c r="BI39" s="13">
        <v>320.34424858780403</v>
      </c>
      <c r="BJ39" s="13">
        <v>1042.4316941750674</v>
      </c>
      <c r="BK39" s="13">
        <v>2088.8020471442469</v>
      </c>
      <c r="BL39" s="13">
        <v>2629.2027444088458</v>
      </c>
      <c r="BM39" s="13">
        <v>2408.2727258903606</v>
      </c>
      <c r="BN39" s="13">
        <v>2297.4651671821516</v>
      </c>
      <c r="BO39" s="13">
        <v>2748.9171901770419</v>
      </c>
      <c r="BP39" s="13">
        <v>2786</v>
      </c>
      <c r="BQ39" s="13">
        <v>2656</v>
      </c>
      <c r="BR39" s="13">
        <v>2609</v>
      </c>
      <c r="BS39" s="13">
        <v>2460</v>
      </c>
      <c r="BT39" s="13">
        <v>2431</v>
      </c>
      <c r="BU39" s="13">
        <v>2438</v>
      </c>
      <c r="BV39" s="13">
        <v>2426.42</v>
      </c>
      <c r="BW39" s="13">
        <v>2482.98</v>
      </c>
      <c r="BX39" s="13">
        <v>2114.36</v>
      </c>
      <c r="BY39" s="13">
        <v>3198.2599999999998</v>
      </c>
      <c r="BZ39" s="13">
        <v>2863.25</v>
      </c>
      <c r="CA39" s="13">
        <v>3137</v>
      </c>
      <c r="CB39" s="13">
        <v>3336.4775694670016</v>
      </c>
      <c r="CC39" s="13">
        <v>3509.5736368336616</v>
      </c>
      <c r="CD39" s="13">
        <v>3702.4051573482325</v>
      </c>
      <c r="CE39" s="13">
        <v>3894.4581687365394</v>
      </c>
      <c r="CF39" s="13">
        <v>4098.0071648893336</v>
      </c>
      <c r="CG39" s="13">
        <v>4310.0782409442909</v>
      </c>
      <c r="CH39" s="19">
        <v>4530.1082753000792</v>
      </c>
      <c r="CI39" s="13"/>
      <c r="CJ39" s="442"/>
      <c r="CK39" s="443"/>
      <c r="CL39" s="443"/>
      <c r="CM39" s="443"/>
      <c r="CN39" s="443"/>
      <c r="CO39" s="443"/>
      <c r="CP39" s="443"/>
      <c r="CQ39" s="443"/>
      <c r="CR39" s="443"/>
      <c r="CS39" s="443"/>
      <c r="CT39" s="443"/>
      <c r="CU39" s="443"/>
      <c r="CV39" s="443"/>
      <c r="CW39" s="443"/>
      <c r="CX39" s="443"/>
      <c r="CY39" s="443"/>
      <c r="CZ39" s="443"/>
      <c r="DA39" s="444"/>
    </row>
    <row r="40" spans="1:105">
      <c r="A40" s="33" t="s">
        <v>308</v>
      </c>
      <c r="B40" s="34"/>
      <c r="C40" s="34">
        <f>SUM(C37:C39)</f>
        <v>13038.51</v>
      </c>
      <c r="D40" s="34">
        <f t="shared" ref="D40:S40" si="114">SUM(D37:D39)</f>
        <v>10222</v>
      </c>
      <c r="E40" s="34">
        <f t="shared" si="114"/>
        <v>10009</v>
      </c>
      <c r="F40" s="34">
        <f t="shared" si="114"/>
        <v>10386</v>
      </c>
      <c r="G40" s="34">
        <f t="shared" si="114"/>
        <v>9385</v>
      </c>
      <c r="H40" s="34">
        <f t="shared" si="114"/>
        <v>14117</v>
      </c>
      <c r="I40" s="34">
        <f t="shared" si="114"/>
        <v>10516</v>
      </c>
      <c r="J40" s="34">
        <f t="shared" si="114"/>
        <v>12558</v>
      </c>
      <c r="K40" s="34">
        <f t="shared" si="114"/>
        <v>16072</v>
      </c>
      <c r="L40" s="34">
        <f t="shared" si="114"/>
        <v>18291</v>
      </c>
      <c r="M40" s="34">
        <f t="shared" si="114"/>
        <v>18874.989999999998</v>
      </c>
      <c r="N40" s="34">
        <f t="shared" si="114"/>
        <v>18101</v>
      </c>
      <c r="O40" s="34">
        <f t="shared" si="114"/>
        <v>19357</v>
      </c>
      <c r="P40" s="34">
        <f t="shared" si="114"/>
        <v>17764</v>
      </c>
      <c r="Q40" s="34">
        <f t="shared" si="114"/>
        <v>17321.099999999999</v>
      </c>
      <c r="R40" s="34">
        <f t="shared" si="114"/>
        <v>17259</v>
      </c>
      <c r="S40" s="34">
        <f t="shared" si="114"/>
        <v>17195</v>
      </c>
      <c r="T40" s="34">
        <f t="shared" ref="T40:V40" si="115">SUM(T37:T39)</f>
        <v>18653</v>
      </c>
      <c r="U40" s="34">
        <f t="shared" si="115"/>
        <v>18117</v>
      </c>
      <c r="V40" s="34">
        <f t="shared" si="115"/>
        <v>18802.72</v>
      </c>
      <c r="W40" s="34">
        <f t="shared" ref="W40:X40" si="116">SUM(W37:W39)</f>
        <v>19184.939999999999</v>
      </c>
      <c r="X40" s="34">
        <f t="shared" si="116"/>
        <v>15835.18</v>
      </c>
      <c r="Y40" s="34">
        <f t="shared" ref="Y40:Z40" si="117">SUM(Y37:Y39)</f>
        <v>22098.879999999997</v>
      </c>
      <c r="Z40" s="34">
        <f t="shared" si="117"/>
        <v>20865.669999999998</v>
      </c>
      <c r="AA40" s="34">
        <f t="shared" ref="AA40:AB40" si="118">SUM(AA37:AA39)</f>
        <v>22016.83</v>
      </c>
      <c r="AB40" s="34">
        <f t="shared" si="118"/>
        <v>22679.39</v>
      </c>
      <c r="AC40" s="34">
        <f t="shared" ref="AC40:AD40" si="119">SUM(AC37:AC39)</f>
        <v>23384.089999999997</v>
      </c>
      <c r="AD40" s="34">
        <f t="shared" si="119"/>
        <v>24180.47</v>
      </c>
      <c r="AE40" s="34">
        <f t="shared" ref="AE40:AF40" si="120">SUM(AE37:AE39)</f>
        <v>24971.9</v>
      </c>
      <c r="AF40" s="34">
        <f t="shared" si="120"/>
        <v>25838.04</v>
      </c>
      <c r="AG40" s="34">
        <f t="shared" ref="AG40:AH40" si="121">SUM(AG37:AG39)</f>
        <v>26756.97</v>
      </c>
      <c r="AH40" s="35">
        <f t="shared" si="121"/>
        <v>27723.420000000002</v>
      </c>
      <c r="BA40" s="33" t="s">
        <v>308</v>
      </c>
      <c r="BB40" s="34"/>
      <c r="BC40" s="34">
        <f>SUM(BC37:BC39)</f>
        <v>6655.5813725188627</v>
      </c>
      <c r="BD40" s="34">
        <f t="shared" ref="BD40:BS40" si="122">SUM(BD37:BD39)</f>
        <v>5307.2707023738312</v>
      </c>
      <c r="BE40" s="34">
        <f t="shared" si="122"/>
        <v>5224.2092075834171</v>
      </c>
      <c r="BF40" s="34">
        <f t="shared" si="122"/>
        <v>5342.3384818353479</v>
      </c>
      <c r="BG40" s="34">
        <f t="shared" si="122"/>
        <v>4837.583494642764</v>
      </c>
      <c r="BH40" s="34">
        <f t="shared" si="122"/>
        <v>6972.3117955686721</v>
      </c>
      <c r="BI40" s="34">
        <f t="shared" si="122"/>
        <v>5157.7037586161332</v>
      </c>
      <c r="BJ40" s="34">
        <f t="shared" si="122"/>
        <v>5547.207045627827</v>
      </c>
      <c r="BK40" s="34">
        <f t="shared" si="122"/>
        <v>6357</v>
      </c>
      <c r="BL40" s="34">
        <f t="shared" si="122"/>
        <v>6962</v>
      </c>
      <c r="BM40" s="34">
        <f t="shared" si="122"/>
        <v>7544.9999999999991</v>
      </c>
      <c r="BN40" s="34">
        <f t="shared" si="122"/>
        <v>6889</v>
      </c>
      <c r="BO40" s="34">
        <f t="shared" si="122"/>
        <v>6986</v>
      </c>
      <c r="BP40" s="34">
        <f t="shared" si="122"/>
        <v>5936</v>
      </c>
      <c r="BQ40" s="34">
        <f t="shared" si="122"/>
        <v>5657</v>
      </c>
      <c r="BR40" s="34">
        <f t="shared" si="122"/>
        <v>5436</v>
      </c>
      <c r="BS40" s="34">
        <f t="shared" si="122"/>
        <v>5419</v>
      </c>
      <c r="BT40" s="34">
        <f t="shared" ref="BT40:BV40" si="123">SUM(BT37:BT39)</f>
        <v>6229</v>
      </c>
      <c r="BU40" s="34">
        <f t="shared" si="123"/>
        <v>5480</v>
      </c>
      <c r="BV40" s="34">
        <f t="shared" si="123"/>
        <v>5393.26</v>
      </c>
      <c r="BW40" s="34">
        <f t="shared" ref="BW40:BX40" si="124">SUM(BW37:BW39)</f>
        <v>5554.26</v>
      </c>
      <c r="BX40" s="34">
        <f t="shared" si="124"/>
        <v>4546.49</v>
      </c>
      <c r="BY40" s="34">
        <f t="shared" ref="BY40:BZ40" si="125">SUM(BY37:BY39)</f>
        <v>6316.07</v>
      </c>
      <c r="BZ40" s="34">
        <f t="shared" si="125"/>
        <v>6197.6399999999994</v>
      </c>
      <c r="CA40" s="34">
        <f t="shared" ref="CA40:CB40" si="126">SUM(CA37:CA39)</f>
        <v>5935</v>
      </c>
      <c r="CB40" s="34">
        <f t="shared" si="126"/>
        <v>6485.0999999999995</v>
      </c>
      <c r="CC40" s="34">
        <f t="shared" ref="CC40:CD40" si="127">SUM(CC37:CC39)</f>
        <v>6656.1893611512414</v>
      </c>
      <c r="CD40" s="34">
        <f t="shared" si="127"/>
        <v>6848.3599340626042</v>
      </c>
      <c r="CE40" s="34">
        <f t="shared" ref="CE40:CF40" si="128">SUM(CE37:CE39)</f>
        <v>7070.2533497947315</v>
      </c>
      <c r="CF40" s="34">
        <f t="shared" si="128"/>
        <v>7297.0826971921078</v>
      </c>
      <c r="CG40" s="34">
        <f t="shared" ref="CG40:CH40" si="129">SUM(CG37:CG39)</f>
        <v>7539.4889934779003</v>
      </c>
      <c r="CH40" s="35">
        <f t="shared" si="129"/>
        <v>7800.379182914161</v>
      </c>
      <c r="CJ40" s="442"/>
      <c r="CK40" s="443"/>
      <c r="CL40" s="443"/>
      <c r="CM40" s="443"/>
      <c r="CN40" s="443"/>
      <c r="CO40" s="443"/>
      <c r="CP40" s="443"/>
      <c r="CQ40" s="443"/>
      <c r="CR40" s="443"/>
      <c r="CS40" s="443"/>
      <c r="CT40" s="443"/>
      <c r="CU40" s="443"/>
      <c r="CV40" s="443"/>
      <c r="CW40" s="443"/>
      <c r="CX40" s="443"/>
      <c r="CY40" s="443"/>
      <c r="CZ40" s="443"/>
      <c r="DA40" s="444"/>
    </row>
    <row r="41" spans="1:105" ht="16" thickBot="1">
      <c r="A41" s="17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9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20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9"/>
      <c r="CI41" s="32"/>
      <c r="CJ41" s="446"/>
      <c r="CK41" s="447"/>
      <c r="CL41" s="447"/>
      <c r="CM41" s="447"/>
      <c r="CN41" s="447"/>
      <c r="CO41" s="447"/>
      <c r="CP41" s="447"/>
      <c r="CQ41" s="447"/>
      <c r="CR41" s="447"/>
      <c r="CS41" s="447"/>
      <c r="CT41" s="447"/>
      <c r="CU41" s="447"/>
      <c r="CV41" s="447"/>
      <c r="CW41" s="447"/>
      <c r="CX41" s="447"/>
      <c r="CY41" s="447"/>
      <c r="CZ41" s="447"/>
      <c r="DA41" s="448"/>
    </row>
    <row r="42" spans="1:105">
      <c r="A42" s="33" t="s">
        <v>274</v>
      </c>
      <c r="B42" s="34"/>
      <c r="C42" s="34">
        <f t="shared" ref="C42:S42" si="130">C24+C35+C40</f>
        <v>19330.305706773906</v>
      </c>
      <c r="D42" s="34">
        <f t="shared" si="130"/>
        <v>16766.463956563395</v>
      </c>
      <c r="E42" s="34">
        <f t="shared" si="130"/>
        <v>17341.786483390606</v>
      </c>
      <c r="F42" s="34">
        <f t="shared" si="130"/>
        <v>18574.555555555555</v>
      </c>
      <c r="G42" s="34">
        <f t="shared" si="130"/>
        <v>18547.555555555555</v>
      </c>
      <c r="H42" s="34">
        <f t="shared" si="130"/>
        <v>27828.222222222223</v>
      </c>
      <c r="I42" s="34">
        <f t="shared" si="130"/>
        <v>31296.548888888887</v>
      </c>
      <c r="J42" s="34">
        <f t="shared" si="130"/>
        <v>38277.333333333328</v>
      </c>
      <c r="K42" s="34">
        <f t="shared" si="130"/>
        <v>45287</v>
      </c>
      <c r="L42" s="34">
        <f t="shared" si="130"/>
        <v>51169.258840022907</v>
      </c>
      <c r="M42" s="34">
        <f t="shared" si="130"/>
        <v>56687.12826292753</v>
      </c>
      <c r="N42" s="34">
        <f t="shared" si="130"/>
        <v>63711.531626667595</v>
      </c>
      <c r="O42" s="34">
        <f t="shared" si="130"/>
        <v>82336.752002718014</v>
      </c>
      <c r="P42" s="34">
        <f t="shared" si="130"/>
        <v>90633.081476049818</v>
      </c>
      <c r="Q42" s="34">
        <f t="shared" si="130"/>
        <v>86617.748537928914</v>
      </c>
      <c r="R42" s="34">
        <f t="shared" si="130"/>
        <v>86445.751152953555</v>
      </c>
      <c r="S42" s="34">
        <f t="shared" si="130"/>
        <v>92602.414956049979</v>
      </c>
      <c r="T42" s="34">
        <f t="shared" ref="T42:V42" si="131">T24+T35+T40</f>
        <v>98058.234941000264</v>
      </c>
      <c r="U42" s="34">
        <f t="shared" si="131"/>
        <v>103623.36714379487</v>
      </c>
      <c r="V42" s="34">
        <f t="shared" si="131"/>
        <v>108444.67930339705</v>
      </c>
      <c r="W42" s="34">
        <f t="shared" ref="W42:X42" si="132">W24+W35+W40</f>
        <v>111754.98619077847</v>
      </c>
      <c r="X42" s="34">
        <f t="shared" si="132"/>
        <v>92751.836012050248</v>
      </c>
      <c r="Y42" s="34">
        <f t="shared" ref="Y42:Z42" si="133">Y24+Y35+Y40</f>
        <v>115625.51312768468</v>
      </c>
      <c r="Z42" s="34">
        <f t="shared" si="133"/>
        <v>139616.28081333428</v>
      </c>
      <c r="AA42" s="34">
        <f t="shared" ref="AA42:AB42" si="134">AA24+AA35+AA40</f>
        <v>153314.76836938033</v>
      </c>
      <c r="AB42" s="34">
        <f t="shared" si="134"/>
        <v>166929.64562374697</v>
      </c>
      <c r="AC42" s="34">
        <f t="shared" ref="AC42:AD42" si="135">AC24+AC35+AC40</f>
        <v>179395.73147404307</v>
      </c>
      <c r="AD42" s="34">
        <f t="shared" si="135"/>
        <v>191473.67374987676</v>
      </c>
      <c r="AE42" s="34">
        <f t="shared" ref="AE42:AF42" si="136">AE24+AE35+AE40</f>
        <v>203798.87586939055</v>
      </c>
      <c r="AF42" s="34">
        <f t="shared" si="136"/>
        <v>216860.07930010089</v>
      </c>
      <c r="AG42" s="34">
        <f t="shared" ref="AG42:AH42" si="137">AG24+AG35+AG40</f>
        <v>230401.10201901096</v>
      </c>
      <c r="AH42" s="35">
        <f t="shared" si="137"/>
        <v>244308.58044588083</v>
      </c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33" t="s">
        <v>274</v>
      </c>
      <c r="BB42" s="34"/>
      <c r="BC42" s="34">
        <f>BC24+BC35+BC40</f>
        <v>8191.2249226806234</v>
      </c>
      <c r="BD42" s="34">
        <f t="shared" ref="BD42:BS42" si="138">BD24+BD35+BD40</f>
        <v>6909.8457354603534</v>
      </c>
      <c r="BE42" s="34">
        <f t="shared" si="138"/>
        <v>7077.1233096086562</v>
      </c>
      <c r="BF42" s="34">
        <f t="shared" si="138"/>
        <v>7483.7594760184866</v>
      </c>
      <c r="BG42" s="34">
        <f t="shared" si="138"/>
        <v>7314.9512329164136</v>
      </c>
      <c r="BH42" s="34">
        <f t="shared" si="138"/>
        <v>10648.600430789702</v>
      </c>
      <c r="BI42" s="34">
        <f t="shared" si="138"/>
        <v>10503.366207503768</v>
      </c>
      <c r="BJ42" s="34">
        <f t="shared" si="138"/>
        <v>12267.027103977547</v>
      </c>
      <c r="BK42" s="34">
        <f t="shared" si="138"/>
        <v>13930.404999999999</v>
      </c>
      <c r="BL42" s="34">
        <f t="shared" si="138"/>
        <v>15365.485246485483</v>
      </c>
      <c r="BM42" s="34">
        <f t="shared" si="138"/>
        <v>16543.818017760419</v>
      </c>
      <c r="BN42" s="34">
        <f t="shared" si="138"/>
        <v>17577.906796260868</v>
      </c>
      <c r="BO42" s="34">
        <f t="shared" si="138"/>
        <v>18887.151017700002</v>
      </c>
      <c r="BP42" s="34">
        <f t="shared" si="138"/>
        <v>18646.980000000003</v>
      </c>
      <c r="BQ42" s="34">
        <f t="shared" si="138"/>
        <v>17496</v>
      </c>
      <c r="BR42" s="34">
        <f t="shared" si="138"/>
        <v>17193.628063246008</v>
      </c>
      <c r="BS42" s="34">
        <f t="shared" si="138"/>
        <v>17402</v>
      </c>
      <c r="BT42" s="34">
        <f t="shared" ref="BT42:BV42" si="139">BT24+BT35+BT40</f>
        <v>19394.303750636034</v>
      </c>
      <c r="BU42" s="34">
        <f t="shared" si="139"/>
        <v>19277.168274863638</v>
      </c>
      <c r="BV42" s="34">
        <f t="shared" si="139"/>
        <v>19228.04939068</v>
      </c>
      <c r="BW42" s="34">
        <f>BW24+BW35+BW40</f>
        <v>19675.151998719728</v>
      </c>
      <c r="BX42" s="34">
        <f t="shared" ref="BX42" si="140">BX24+BX35+BX40</f>
        <v>13115.109288878495</v>
      </c>
      <c r="BY42" s="34">
        <f t="shared" ref="BY42:BZ42" si="141">BY24+BY35+BY40</f>
        <v>15558.39100621</v>
      </c>
      <c r="BZ42" s="34">
        <f t="shared" si="141"/>
        <v>20461.94681026</v>
      </c>
      <c r="CA42" s="34">
        <f t="shared" ref="CA42:CB42" si="142">CA24+CA35+CA40</f>
        <v>20796.200428178268</v>
      </c>
      <c r="CB42" s="34">
        <f t="shared" si="142"/>
        <v>21643.374154565048</v>
      </c>
      <c r="CC42" s="34">
        <f t="shared" ref="CC42:CD42" si="143">CC24+CC35+CC40</f>
        <v>22116.270537007375</v>
      </c>
      <c r="CD42" s="34">
        <f t="shared" si="143"/>
        <v>22653.275201393139</v>
      </c>
      <c r="CE42" s="34">
        <f t="shared" ref="CE42:CF42" si="144">CE24+CE35+CE40</f>
        <v>23301.818156690853</v>
      </c>
      <c r="CF42" s="34">
        <f t="shared" si="144"/>
        <v>24065.04646704259</v>
      </c>
      <c r="CG42" s="34">
        <f t="shared" ref="CG42:CH42" si="145">CG24+CG35+CG40</f>
        <v>24921.636399223047</v>
      </c>
      <c r="CH42" s="35">
        <f t="shared" si="145"/>
        <v>25858.220203740799</v>
      </c>
      <c r="CI42" s="32"/>
    </row>
    <row r="43" spans="1:105" ht="16" thickBot="1">
      <c r="A43" s="17"/>
      <c r="B43" s="8"/>
      <c r="C43" s="8"/>
      <c r="D43" s="8"/>
      <c r="E43" s="8"/>
      <c r="F43" s="8"/>
      <c r="G43" s="604"/>
      <c r="H43" s="604"/>
      <c r="I43" s="604"/>
      <c r="J43" s="604"/>
      <c r="K43" s="604"/>
      <c r="L43" s="604"/>
      <c r="M43" s="604"/>
      <c r="N43" s="604"/>
      <c r="O43" s="604"/>
      <c r="P43" s="13"/>
      <c r="Q43" s="13"/>
      <c r="R43" s="13"/>
      <c r="S43" s="13"/>
      <c r="T43" s="13"/>
      <c r="U43" s="13"/>
      <c r="V43" s="13"/>
      <c r="W43" s="13"/>
      <c r="X43" s="604"/>
      <c r="Y43" s="604"/>
      <c r="Z43" s="604"/>
      <c r="AA43" s="604"/>
      <c r="AB43" s="604"/>
      <c r="AC43" s="604"/>
      <c r="AD43" s="604"/>
      <c r="AE43" s="604"/>
      <c r="AF43" s="604"/>
      <c r="AG43" s="604"/>
      <c r="AH43" s="605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17"/>
      <c r="BB43" s="8"/>
      <c r="BC43" s="8"/>
      <c r="BD43" s="8"/>
      <c r="BE43" s="8"/>
      <c r="BF43" s="8"/>
      <c r="BG43" s="604"/>
      <c r="BH43" s="604"/>
      <c r="BI43" s="604"/>
      <c r="BJ43" s="604"/>
      <c r="BK43" s="604"/>
      <c r="BL43" s="604"/>
      <c r="BM43" s="604"/>
      <c r="BN43" s="604"/>
      <c r="BO43" s="604"/>
      <c r="BP43" s="13"/>
      <c r="BQ43" s="13"/>
      <c r="BR43" s="13"/>
      <c r="BS43" s="13"/>
      <c r="BT43" s="13"/>
      <c r="BU43" s="13"/>
      <c r="BV43" s="13"/>
      <c r="BW43" s="13"/>
      <c r="BX43" s="604"/>
      <c r="BY43" s="604"/>
      <c r="BZ43" s="604"/>
      <c r="CA43" s="604"/>
      <c r="CB43" s="604"/>
      <c r="CC43" s="604"/>
      <c r="CD43" s="604"/>
      <c r="CE43" s="604"/>
      <c r="CF43" s="604"/>
      <c r="CG43" s="604"/>
      <c r="CH43" s="605"/>
      <c r="CI43" s="32"/>
    </row>
    <row r="44" spans="1:105">
      <c r="A44" s="37" t="s">
        <v>221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9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37" t="s">
        <v>221</v>
      </c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9"/>
      <c r="CI44" s="32"/>
      <c r="CJ44" s="439" t="s">
        <v>138</v>
      </c>
      <c r="CK44" s="440"/>
      <c r="CL44" s="440"/>
      <c r="CM44" s="440"/>
      <c r="CN44" s="440"/>
      <c r="CO44" s="440"/>
      <c r="CP44" s="440"/>
      <c r="CQ44" s="440"/>
      <c r="CR44" s="440"/>
      <c r="CS44" s="440"/>
      <c r="CT44" s="440"/>
      <c r="CU44" s="440"/>
      <c r="CV44" s="440"/>
      <c r="CW44" s="440"/>
      <c r="CX44" s="440"/>
      <c r="CY44" s="440"/>
      <c r="CZ44" s="440"/>
      <c r="DA44" s="441"/>
    </row>
    <row r="45" spans="1:105">
      <c r="A45" s="54" t="s">
        <v>279</v>
      </c>
      <c r="B45" s="41"/>
      <c r="C45" s="41"/>
      <c r="D45" s="41"/>
      <c r="E45" s="41"/>
      <c r="F45" s="41"/>
      <c r="G45" s="41"/>
      <c r="H45" s="41"/>
      <c r="I45" s="41"/>
      <c r="J45" s="4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2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54"/>
      <c r="BB45" s="41"/>
      <c r="BC45" s="41"/>
      <c r="BD45" s="41"/>
      <c r="BE45" s="41"/>
      <c r="BF45" s="41"/>
      <c r="BG45" s="41"/>
      <c r="BH45" s="41"/>
      <c r="BI45" s="41"/>
      <c r="BJ45" s="41"/>
      <c r="BK45" s="81"/>
      <c r="BL45" s="81"/>
      <c r="BM45" s="81"/>
      <c r="BN45" s="81"/>
      <c r="BO45" s="81"/>
      <c r="BP45" s="81"/>
      <c r="BQ45" s="691"/>
      <c r="BR45" s="691"/>
      <c r="BS45" s="691"/>
      <c r="BT45" s="691"/>
      <c r="BU45" s="81"/>
      <c r="BV45" s="81"/>
      <c r="BW45" s="81"/>
      <c r="BX45" s="81"/>
      <c r="BY45" s="81"/>
      <c r="BZ45" s="81"/>
      <c r="CA45" s="81"/>
      <c r="CB45" s="81"/>
      <c r="CC45" s="81"/>
      <c r="CD45" s="81"/>
      <c r="CE45" s="81"/>
      <c r="CF45" s="81"/>
      <c r="CG45" s="81"/>
      <c r="CH45" s="82"/>
      <c r="CI45" s="32"/>
      <c r="CJ45" s="442"/>
      <c r="CK45" s="443"/>
      <c r="CL45" s="443"/>
      <c r="CM45" s="443"/>
      <c r="CN45" s="443"/>
      <c r="CO45" s="443"/>
      <c r="CP45" s="443"/>
      <c r="CQ45" s="443"/>
      <c r="CR45" s="443"/>
      <c r="CS45" s="443"/>
      <c r="CT45" s="443"/>
      <c r="CU45" s="443"/>
      <c r="CV45" s="443"/>
      <c r="CW45" s="443"/>
      <c r="CX45" s="443"/>
      <c r="CY45" s="443"/>
      <c r="CZ45" s="443"/>
      <c r="DA45" s="444"/>
    </row>
    <row r="46" spans="1:105">
      <c r="A46" s="40" t="s">
        <v>434</v>
      </c>
      <c r="B46" s="41"/>
      <c r="C46" s="41"/>
      <c r="D46" s="41"/>
      <c r="E46" s="41"/>
      <c r="F46" s="41"/>
      <c r="G46" s="41"/>
      <c r="H46" s="41"/>
      <c r="I46" s="41"/>
      <c r="J46" s="41"/>
      <c r="K46" s="95"/>
      <c r="L46" s="81">
        <v>82.565903000000006</v>
      </c>
      <c r="M46" s="81">
        <v>82.977429999999998</v>
      </c>
      <c r="N46" s="81">
        <v>71.242498000000012</v>
      </c>
      <c r="O46" s="81">
        <v>49.754074000000003</v>
      </c>
      <c r="P46" s="81">
        <v>57.036778480353689</v>
      </c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2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40"/>
      <c r="BB46" s="41"/>
      <c r="BC46" s="41"/>
      <c r="BD46" s="41"/>
      <c r="BE46" s="41"/>
      <c r="BF46" s="41"/>
      <c r="BG46" s="41"/>
      <c r="BH46" s="41"/>
      <c r="BI46" s="41"/>
      <c r="BJ46" s="41"/>
      <c r="BK46" s="95"/>
      <c r="BL46" s="81"/>
      <c r="BM46" s="81"/>
      <c r="BN46" s="81"/>
      <c r="BO46" s="81"/>
      <c r="BP46" s="81"/>
      <c r="BQ46" s="81"/>
      <c r="BR46" s="81"/>
      <c r="BS46" s="81"/>
      <c r="BT46" s="81"/>
      <c r="BU46" s="81"/>
      <c r="BV46" s="81"/>
      <c r="BW46" s="81"/>
      <c r="BX46" s="81"/>
      <c r="BY46" s="81"/>
      <c r="BZ46" s="81"/>
      <c r="CA46" s="81"/>
      <c r="CB46" s="81"/>
      <c r="CC46" s="81"/>
      <c r="CD46" s="81"/>
      <c r="CE46" s="81"/>
      <c r="CF46" s="81"/>
      <c r="CG46" s="81"/>
      <c r="CH46" s="82"/>
      <c r="CJ46" s="442"/>
      <c r="CK46" s="443"/>
      <c r="CL46" s="443"/>
      <c r="CM46" s="443"/>
      <c r="CN46" s="443"/>
      <c r="CO46" s="443"/>
      <c r="CP46" s="443"/>
      <c r="CQ46" s="443"/>
      <c r="CR46" s="443"/>
      <c r="CS46" s="443"/>
      <c r="CT46" s="443"/>
      <c r="CU46" s="443"/>
      <c r="CV46" s="443"/>
      <c r="CW46" s="443"/>
      <c r="CX46" s="443"/>
      <c r="CY46" s="443"/>
      <c r="CZ46" s="443"/>
      <c r="DA46" s="444"/>
    </row>
    <row r="47" spans="1:105">
      <c r="A47" s="40" t="s">
        <v>435</v>
      </c>
      <c r="B47" s="41"/>
      <c r="C47" s="41"/>
      <c r="D47" s="41"/>
      <c r="E47" s="41"/>
      <c r="F47" s="41"/>
      <c r="G47" s="41"/>
      <c r="H47" s="41"/>
      <c r="I47" s="41"/>
      <c r="J47" s="41"/>
      <c r="K47" s="95"/>
      <c r="L47" s="81">
        <v>17.21425</v>
      </c>
      <c r="M47" s="81">
        <v>28.837949999999999</v>
      </c>
      <c r="N47" s="81">
        <v>27.624465999999995</v>
      </c>
      <c r="O47" s="81">
        <v>18.813696</v>
      </c>
      <c r="P47" s="81">
        <v>14.794968701706921</v>
      </c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2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40"/>
      <c r="BB47" s="41"/>
      <c r="BC47" s="41"/>
      <c r="BD47" s="41"/>
      <c r="BE47" s="41"/>
      <c r="BF47" s="41"/>
      <c r="BG47" s="41"/>
      <c r="BH47" s="41"/>
      <c r="BI47" s="41"/>
      <c r="BJ47" s="41"/>
      <c r="BK47" s="95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1"/>
      <c r="BY47" s="81"/>
      <c r="BZ47" s="81"/>
      <c r="CA47" s="81"/>
      <c r="CB47" s="799"/>
      <c r="CC47" s="81"/>
      <c r="CD47" s="81"/>
      <c r="CE47" s="81"/>
      <c r="CF47" s="81"/>
      <c r="CG47" s="81"/>
      <c r="CH47" s="82"/>
      <c r="CI47" s="126"/>
      <c r="CJ47" s="442"/>
      <c r="CK47" s="443"/>
      <c r="CL47" s="443"/>
      <c r="CM47" s="443"/>
      <c r="CN47" s="443"/>
      <c r="CO47" s="443"/>
      <c r="CP47" s="443"/>
      <c r="CQ47" s="443"/>
      <c r="CR47" s="443"/>
      <c r="CS47" s="443"/>
      <c r="CT47" s="443"/>
      <c r="CU47" s="443"/>
      <c r="CV47" s="443"/>
      <c r="CW47" s="443"/>
      <c r="CX47" s="443"/>
      <c r="CY47" s="443"/>
      <c r="CZ47" s="443"/>
      <c r="DA47" s="444"/>
    </row>
    <row r="48" spans="1:105">
      <c r="A48" s="40" t="s">
        <v>436</v>
      </c>
      <c r="B48" s="41"/>
      <c r="C48" s="41"/>
      <c r="D48" s="41"/>
      <c r="E48" s="41"/>
      <c r="F48" s="41"/>
      <c r="G48" s="41"/>
      <c r="H48" s="41"/>
      <c r="I48" s="41"/>
      <c r="J48" s="41"/>
      <c r="K48" s="95"/>
      <c r="L48" s="81">
        <v>3.3143359999999999</v>
      </c>
      <c r="M48" s="81">
        <v>3.8267999999999995</v>
      </c>
      <c r="N48" s="81">
        <v>2.7998780000000005</v>
      </c>
      <c r="O48" s="81">
        <v>2.084994</v>
      </c>
      <c r="P48" s="81">
        <v>1.4980020821809426</v>
      </c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2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40"/>
      <c r="BB48" s="41"/>
      <c r="BC48" s="41"/>
      <c r="BD48" s="41"/>
      <c r="BE48" s="41"/>
      <c r="BF48" s="41"/>
      <c r="BG48" s="41"/>
      <c r="BH48" s="41"/>
      <c r="BI48" s="41"/>
      <c r="BJ48" s="41"/>
      <c r="BK48" s="95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1"/>
      <c r="BY48" s="81"/>
      <c r="BZ48" s="81"/>
      <c r="CA48" s="81"/>
      <c r="CB48" s="81"/>
      <c r="CC48" s="81"/>
      <c r="CD48" s="81"/>
      <c r="CE48" s="81"/>
      <c r="CF48" s="81"/>
      <c r="CG48" s="81"/>
      <c r="CH48" s="82"/>
      <c r="CJ48" s="442"/>
      <c r="CK48" s="443"/>
      <c r="CL48" s="443"/>
      <c r="CM48" s="443"/>
      <c r="CN48" s="443"/>
      <c r="CO48" s="443"/>
      <c r="CP48" s="443"/>
      <c r="CQ48" s="443"/>
      <c r="CR48" s="443"/>
      <c r="CS48" s="443"/>
      <c r="CT48" s="443"/>
      <c r="CU48" s="443"/>
      <c r="CV48" s="443"/>
      <c r="CW48" s="443"/>
      <c r="CX48" s="443"/>
      <c r="CY48" s="443"/>
      <c r="CZ48" s="443"/>
      <c r="DA48" s="444"/>
    </row>
    <row r="49" spans="1:105">
      <c r="A49" s="55" t="s">
        <v>433</v>
      </c>
      <c r="B49" s="56"/>
      <c r="C49" s="56"/>
      <c r="D49" s="56"/>
      <c r="E49" s="56"/>
      <c r="F49" s="56"/>
      <c r="G49" s="56"/>
      <c r="H49" s="56"/>
      <c r="I49" s="56"/>
      <c r="J49" s="56"/>
      <c r="K49" s="615"/>
      <c r="L49" s="57">
        <f t="shared" ref="L49:P49" si="146">SUM(L46:L48)</f>
        <v>103.09448900000001</v>
      </c>
      <c r="M49" s="57">
        <f t="shared" si="146"/>
        <v>115.64218000000001</v>
      </c>
      <c r="N49" s="57">
        <f t="shared" si="146"/>
        <v>101.66684200000002</v>
      </c>
      <c r="O49" s="57">
        <f t="shared" si="146"/>
        <v>70.652763999999991</v>
      </c>
      <c r="P49" s="57">
        <f t="shared" si="146"/>
        <v>73.329749264241556</v>
      </c>
      <c r="Q49" s="84">
        <v>60.799999999999955</v>
      </c>
      <c r="R49" s="84">
        <v>57</v>
      </c>
      <c r="S49" s="84">
        <v>64</v>
      </c>
      <c r="T49" s="84">
        <v>70</v>
      </c>
      <c r="U49" s="84">
        <v>74</v>
      </c>
      <c r="V49" s="84">
        <v>80</v>
      </c>
      <c r="W49" s="84">
        <v>90</v>
      </c>
      <c r="X49" s="84">
        <v>141.98718439999999</v>
      </c>
      <c r="Y49" s="84">
        <v>214.65873625</v>
      </c>
      <c r="Z49" s="84">
        <v>186.87964204999997</v>
      </c>
      <c r="AA49" s="84">
        <v>199.80212709559729</v>
      </c>
      <c r="AB49" s="84">
        <v>208.13172051368949</v>
      </c>
      <c r="AC49" s="84">
        <v>225.46052297698145</v>
      </c>
      <c r="AD49" s="84">
        <v>244.14648797439932</v>
      </c>
      <c r="AE49" s="84">
        <v>263.26619396920609</v>
      </c>
      <c r="AF49" s="84">
        <v>283.70358805922808</v>
      </c>
      <c r="AG49" s="84">
        <v>305.27861185884291</v>
      </c>
      <c r="AH49" s="434">
        <v>310.83890306721872</v>
      </c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55" t="s">
        <v>433</v>
      </c>
      <c r="BB49" s="56"/>
      <c r="BC49" s="56"/>
      <c r="BD49" s="56"/>
      <c r="BE49" s="56"/>
      <c r="BF49" s="56"/>
      <c r="BG49" s="56"/>
      <c r="BH49" s="56"/>
      <c r="BI49" s="56"/>
      <c r="BJ49" s="56"/>
      <c r="BK49" s="615"/>
      <c r="BL49" s="84">
        <v>28.640897772834748</v>
      </c>
      <c r="BM49" s="84">
        <v>33.317070368815934</v>
      </c>
      <c r="BN49" s="84">
        <v>28.830280999999996</v>
      </c>
      <c r="BO49" s="84">
        <v>20.582395999999999</v>
      </c>
      <c r="BP49" s="84">
        <v>17</v>
      </c>
      <c r="BQ49" s="84">
        <v>15</v>
      </c>
      <c r="BR49" s="84">
        <v>14</v>
      </c>
      <c r="BS49" s="84">
        <v>15</v>
      </c>
      <c r="BT49" s="84">
        <v>16</v>
      </c>
      <c r="BU49" s="84">
        <v>17</v>
      </c>
      <c r="BV49" s="84">
        <v>16</v>
      </c>
      <c r="BW49" s="84">
        <v>18</v>
      </c>
      <c r="BX49" s="84">
        <v>28.397436879999997</v>
      </c>
      <c r="BY49" s="84">
        <v>42.931747250000001</v>
      </c>
      <c r="BZ49" s="84">
        <v>37.375928409999993</v>
      </c>
      <c r="CA49" s="84">
        <v>39.96042541911946</v>
      </c>
      <c r="CB49" s="84">
        <v>41.626344102737903</v>
      </c>
      <c r="CC49" s="84">
        <v>45.0921045953963</v>
      </c>
      <c r="CD49" s="84">
        <v>48.829297594879876</v>
      </c>
      <c r="CE49" s="84">
        <v>52.653238793841226</v>
      </c>
      <c r="CF49" s="84">
        <v>56.740717611845625</v>
      </c>
      <c r="CG49" s="84">
        <v>61.055722371768596</v>
      </c>
      <c r="CH49" s="434">
        <v>62.167780613443767</v>
      </c>
      <c r="CJ49" s="442"/>
      <c r="CK49" s="443"/>
      <c r="CL49" s="443"/>
      <c r="CM49" s="443"/>
      <c r="CN49" s="443"/>
      <c r="CO49" s="443"/>
      <c r="CP49" s="443"/>
      <c r="CQ49" s="443"/>
      <c r="CR49" s="443"/>
      <c r="CS49" s="443"/>
      <c r="CT49" s="443"/>
      <c r="CU49" s="443"/>
      <c r="CV49" s="443"/>
      <c r="CW49" s="443"/>
      <c r="CX49" s="443"/>
      <c r="CY49" s="443"/>
      <c r="CZ49" s="443"/>
      <c r="DA49" s="444"/>
    </row>
    <row r="50" spans="1:105">
      <c r="A50" s="40" t="s">
        <v>396</v>
      </c>
      <c r="B50" s="41"/>
      <c r="C50" s="41"/>
      <c r="D50" s="41"/>
      <c r="E50" s="41"/>
      <c r="F50" s="41"/>
      <c r="G50" s="41"/>
      <c r="H50" s="41"/>
      <c r="I50" s="41"/>
      <c r="J50" s="41"/>
      <c r="K50" s="81">
        <v>333.87955882127227</v>
      </c>
      <c r="L50" s="81">
        <v>1069.713158</v>
      </c>
      <c r="M50" s="81">
        <v>1221.750098</v>
      </c>
      <c r="N50" s="81">
        <v>1353.1783940000003</v>
      </c>
      <c r="O50" s="81">
        <v>1125.1930980000002</v>
      </c>
      <c r="P50" s="81">
        <v>1241.1219932382935</v>
      </c>
      <c r="Q50" s="81">
        <v>1274.1999999999998</v>
      </c>
      <c r="R50" s="81">
        <v>1593</v>
      </c>
      <c r="S50" s="81">
        <v>2869</v>
      </c>
      <c r="T50" s="81">
        <v>4054</v>
      </c>
      <c r="U50" s="81">
        <v>5649</v>
      </c>
      <c r="V50" s="81">
        <v>6441</v>
      </c>
      <c r="W50" s="81">
        <v>6849</v>
      </c>
      <c r="X50" s="81">
        <v>9413</v>
      </c>
      <c r="Y50" s="81">
        <v>13607</v>
      </c>
      <c r="Z50" s="81">
        <v>11673</v>
      </c>
      <c r="AA50" s="81">
        <v>12672.187720090295</v>
      </c>
      <c r="AB50" s="81">
        <v>13581.577842318731</v>
      </c>
      <c r="AC50" s="81">
        <v>15119.194200909764</v>
      </c>
      <c r="AD50" s="81">
        <v>16122.705440180585</v>
      </c>
      <c r="AE50" s="81">
        <v>17124.73894808126</v>
      </c>
      <c r="AF50" s="81">
        <v>18177.364239277649</v>
      </c>
      <c r="AG50" s="81">
        <v>19266.984772009026</v>
      </c>
      <c r="AH50" s="82">
        <v>20390.333160270879</v>
      </c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40" t="s">
        <v>396</v>
      </c>
      <c r="BB50" s="41"/>
      <c r="BC50" s="41"/>
      <c r="BD50" s="41"/>
      <c r="BE50" s="41"/>
      <c r="BF50" s="41"/>
      <c r="BG50" s="41"/>
      <c r="BH50" s="41"/>
      <c r="BI50" s="41"/>
      <c r="BJ50" s="41"/>
      <c r="BK50" s="81">
        <v>72.78574382303735</v>
      </c>
      <c r="BL50" s="81">
        <v>149.49049243070934</v>
      </c>
      <c r="BM50" s="81">
        <v>170.73738170965581</v>
      </c>
      <c r="BN50" s="81">
        <v>212.839</v>
      </c>
      <c r="BO50" s="81">
        <v>208.83470799999998</v>
      </c>
      <c r="BP50" s="81">
        <v>168</v>
      </c>
      <c r="BQ50" s="81">
        <v>192</v>
      </c>
      <c r="BR50" s="81">
        <v>214</v>
      </c>
      <c r="BS50" s="81">
        <v>267</v>
      </c>
      <c r="BT50" s="81">
        <v>351</v>
      </c>
      <c r="BU50" s="81">
        <v>555</v>
      </c>
      <c r="BV50" s="81">
        <v>640.82071189999999</v>
      </c>
      <c r="BW50" s="81">
        <v>726</v>
      </c>
      <c r="BX50" s="81">
        <v>997.73967964000008</v>
      </c>
      <c r="BY50" s="81">
        <v>1442.3473267900004</v>
      </c>
      <c r="BZ50" s="81">
        <v>1351.4821701999999</v>
      </c>
      <c r="CA50" s="81">
        <v>1475.3</v>
      </c>
      <c r="CB50" s="81">
        <v>1622.8385920299997</v>
      </c>
      <c r="CC50" s="81">
        <v>1808.9886573853764</v>
      </c>
      <c r="CD50" s="81">
        <v>2043.0955467591848</v>
      </c>
      <c r="CE50" s="81">
        <v>2232.0099955126097</v>
      </c>
      <c r="CF50" s="81">
        <v>2434.9495877090649</v>
      </c>
      <c r="CG50" s="81">
        <v>2650.5927499999998</v>
      </c>
      <c r="CH50" s="82">
        <v>2805.13375</v>
      </c>
      <c r="CJ50" s="442"/>
      <c r="CK50" s="443"/>
      <c r="CL50" s="443"/>
      <c r="CM50" s="443"/>
      <c r="CN50" s="443"/>
      <c r="CO50" s="443"/>
      <c r="CP50" s="443"/>
      <c r="CQ50" s="443"/>
      <c r="CR50" s="443"/>
      <c r="CS50" s="443"/>
      <c r="CT50" s="443"/>
      <c r="CU50" s="443"/>
      <c r="CV50" s="443"/>
      <c r="CW50" s="443"/>
      <c r="CX50" s="443"/>
      <c r="CY50" s="443"/>
      <c r="CZ50" s="443"/>
      <c r="DA50" s="444"/>
    </row>
    <row r="51" spans="1:105">
      <c r="A51" s="40" t="s">
        <v>431</v>
      </c>
      <c r="B51" s="41"/>
      <c r="C51" s="41"/>
      <c r="D51" s="41"/>
      <c r="E51" s="41"/>
      <c r="F51" s="41"/>
      <c r="G51" s="41"/>
      <c r="H51" s="41"/>
      <c r="I51" s="41"/>
      <c r="J51" s="41"/>
      <c r="K51" s="95"/>
      <c r="L51" s="95"/>
      <c r="M51" s="95"/>
      <c r="N51" s="95"/>
      <c r="O51" s="95"/>
      <c r="P51" s="95"/>
      <c r="Q51" s="95"/>
      <c r="R51" s="81">
        <v>205</v>
      </c>
      <c r="S51" s="81">
        <v>541</v>
      </c>
      <c r="T51" s="81">
        <v>784</v>
      </c>
      <c r="U51" s="81">
        <v>1130</v>
      </c>
      <c r="V51" s="81">
        <v>1507</v>
      </c>
      <c r="W51" s="81">
        <v>1695.375</v>
      </c>
      <c r="X51" s="81">
        <v>1742.8394794270789</v>
      </c>
      <c r="Y51" s="81">
        <v>2372.4197179052671</v>
      </c>
      <c r="Z51" s="81">
        <v>3202.375</v>
      </c>
      <c r="AA51" s="81">
        <v>3816.6510246637645</v>
      </c>
      <c r="AB51" s="81">
        <v>4058.2937327136578</v>
      </c>
      <c r="AC51" s="81">
        <v>4489.9205316710722</v>
      </c>
      <c r="AD51" s="81">
        <v>4889.2707914165512</v>
      </c>
      <c r="AE51" s="81">
        <v>5241.4362026582858</v>
      </c>
      <c r="AF51" s="81">
        <v>5566.7309486495178</v>
      </c>
      <c r="AG51" s="81">
        <v>5866.3949087391984</v>
      </c>
      <c r="AH51" s="82">
        <v>6144.5940775398094</v>
      </c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40" t="s">
        <v>431</v>
      </c>
      <c r="BB51" s="41"/>
      <c r="BC51" s="41"/>
      <c r="BD51" s="41"/>
      <c r="BE51" s="41"/>
      <c r="BF51" s="41"/>
      <c r="BG51" s="41"/>
      <c r="BH51" s="41"/>
      <c r="BI51" s="41"/>
      <c r="BJ51" s="41"/>
      <c r="BK51" s="95"/>
      <c r="BL51" s="95"/>
      <c r="BM51" s="95"/>
      <c r="BN51" s="95"/>
      <c r="BO51" s="95"/>
      <c r="BP51" s="95"/>
      <c r="BQ51" s="95"/>
      <c r="BR51" s="81">
        <v>1</v>
      </c>
      <c r="BS51" s="81">
        <v>3</v>
      </c>
      <c r="BT51" s="81">
        <v>4</v>
      </c>
      <c r="BU51" s="81">
        <v>6</v>
      </c>
      <c r="BV51" s="81">
        <v>8</v>
      </c>
      <c r="BW51" s="81">
        <v>9</v>
      </c>
      <c r="BX51" s="81">
        <v>9.2519680394270942</v>
      </c>
      <c r="BY51" s="81">
        <v>12.594132543624509</v>
      </c>
      <c r="BZ51" s="81">
        <v>17</v>
      </c>
      <c r="CA51" s="81">
        <v>20.260921166098285</v>
      </c>
      <c r="CB51" s="81">
        <v>21.543695993171376</v>
      </c>
      <c r="CC51" s="81">
        <v>23.835012775957917</v>
      </c>
      <c r="CD51" s="81">
        <v>25.954987612032127</v>
      </c>
      <c r="CE51" s="81">
        <v>27.824478846228459</v>
      </c>
      <c r="CF51" s="81">
        <v>29.551325540276139</v>
      </c>
      <c r="CG51" s="81">
        <v>31.142109668157655</v>
      </c>
      <c r="CH51" s="82">
        <v>32.618946662454199</v>
      </c>
      <c r="CJ51" s="442"/>
      <c r="CK51" s="443"/>
      <c r="CL51" s="443"/>
      <c r="CM51" s="443"/>
      <c r="CN51" s="443"/>
      <c r="CO51" s="443"/>
      <c r="CP51" s="443"/>
      <c r="CQ51" s="443"/>
      <c r="CR51" s="443"/>
      <c r="CS51" s="443"/>
      <c r="CT51" s="443"/>
      <c r="CU51" s="443"/>
      <c r="CV51" s="443"/>
      <c r="CW51" s="443"/>
      <c r="CX51" s="443"/>
      <c r="CY51" s="443"/>
      <c r="CZ51" s="443"/>
      <c r="DA51" s="444"/>
    </row>
    <row r="52" spans="1:105">
      <c r="A52" s="40" t="s">
        <v>400</v>
      </c>
      <c r="B52" s="41"/>
      <c r="C52" s="41"/>
      <c r="D52" s="41"/>
      <c r="E52" s="41"/>
      <c r="F52" s="41"/>
      <c r="G52" s="41"/>
      <c r="H52" s="41"/>
      <c r="I52" s="41"/>
      <c r="J52" s="41"/>
      <c r="K52" s="95"/>
      <c r="L52" s="95"/>
      <c r="M52" s="95"/>
      <c r="N52" s="95"/>
      <c r="O52" s="95"/>
      <c r="P52" s="95"/>
      <c r="Q52" s="81">
        <v>1.4000000000000004</v>
      </c>
      <c r="R52" s="81">
        <v>64</v>
      </c>
      <c r="S52" s="81">
        <v>57</v>
      </c>
      <c r="T52" s="81">
        <v>69</v>
      </c>
      <c r="U52" s="81">
        <v>73</v>
      </c>
      <c r="V52" s="81">
        <v>148</v>
      </c>
      <c r="W52" s="81">
        <v>220.14990971999995</v>
      </c>
      <c r="X52" s="81">
        <v>562.0324468099999</v>
      </c>
      <c r="Y52" s="81">
        <v>782.20724406199997</v>
      </c>
      <c r="Z52" s="81">
        <v>810.17595713000003</v>
      </c>
      <c r="AA52" s="81">
        <v>1019.167266694</v>
      </c>
      <c r="AB52" s="81">
        <v>1276.3009041566875</v>
      </c>
      <c r="AC52" s="81">
        <v>1572.7308684305699</v>
      </c>
      <c r="AD52" s="81">
        <v>1916.2850852139304</v>
      </c>
      <c r="AE52" s="81">
        <v>2303.0396478762127</v>
      </c>
      <c r="AF52" s="81">
        <v>2741.2204270199718</v>
      </c>
      <c r="AG52" s="81">
        <v>3231.6330622331143</v>
      </c>
      <c r="AH52" s="82">
        <v>3580.7057725527056</v>
      </c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40" t="s">
        <v>400</v>
      </c>
      <c r="BB52" s="41"/>
      <c r="BC52" s="41"/>
      <c r="BD52" s="41"/>
      <c r="BE52" s="41"/>
      <c r="BF52" s="41"/>
      <c r="BG52" s="41"/>
      <c r="BH52" s="41"/>
      <c r="BI52" s="41"/>
      <c r="BJ52" s="41"/>
      <c r="BK52" s="95"/>
      <c r="BL52" s="95"/>
      <c r="BM52" s="95"/>
      <c r="BN52" s="95"/>
      <c r="BO52" s="95"/>
      <c r="BP52" s="95"/>
      <c r="BQ52" s="81">
        <v>0.20000000000000018</v>
      </c>
      <c r="BR52" s="81">
        <v>11</v>
      </c>
      <c r="BS52" s="81">
        <v>9</v>
      </c>
      <c r="BT52" s="81">
        <v>11</v>
      </c>
      <c r="BU52" s="81">
        <v>11</v>
      </c>
      <c r="BV52" s="81">
        <v>20</v>
      </c>
      <c r="BW52" s="81">
        <v>29.749987799999996</v>
      </c>
      <c r="BX52" s="81">
        <v>75.950330649999998</v>
      </c>
      <c r="BY52" s="81">
        <v>105.70368163000001</v>
      </c>
      <c r="BZ52" s="81">
        <v>109.48323745000002</v>
      </c>
      <c r="CA52" s="81">
        <v>137.72530631000001</v>
      </c>
      <c r="CB52" s="81">
        <v>172.47309515630911</v>
      </c>
      <c r="CC52" s="81">
        <v>212.5311984365635</v>
      </c>
      <c r="CD52" s="81">
        <v>258.95744394782844</v>
      </c>
      <c r="CE52" s="81">
        <v>311.22157403732604</v>
      </c>
      <c r="CF52" s="81">
        <v>370.43519284053673</v>
      </c>
      <c r="CG52" s="81">
        <v>436.70717057204246</v>
      </c>
      <c r="CH52" s="82">
        <v>483.87915845306833</v>
      </c>
      <c r="CJ52" s="442"/>
      <c r="CK52" s="443"/>
      <c r="CL52" s="443"/>
      <c r="CM52" s="443"/>
      <c r="CN52" s="443"/>
      <c r="CO52" s="443"/>
      <c r="CP52" s="443"/>
      <c r="CQ52" s="443"/>
      <c r="CR52" s="443"/>
      <c r="CS52" s="443"/>
      <c r="CT52" s="443"/>
      <c r="CU52" s="443"/>
      <c r="CV52" s="443"/>
      <c r="CW52" s="443"/>
      <c r="CX52" s="443"/>
      <c r="CY52" s="443"/>
      <c r="CZ52" s="443"/>
      <c r="DA52" s="444"/>
    </row>
    <row r="53" spans="1:105">
      <c r="A53" s="83" t="s">
        <v>262</v>
      </c>
      <c r="B53" s="84"/>
      <c r="C53" s="85"/>
      <c r="D53" s="86"/>
      <c r="E53" s="86"/>
      <c r="F53" s="86"/>
      <c r="G53" s="86"/>
      <c r="H53" s="86"/>
      <c r="I53" s="86"/>
      <c r="J53" s="86"/>
      <c r="K53" s="84">
        <f>SUM(K49:K52)</f>
        <v>333.87955882127227</v>
      </c>
      <c r="L53" s="84">
        <f t="shared" ref="L53:W53" si="147">SUM(L49:L52)</f>
        <v>1172.8076470000001</v>
      </c>
      <c r="M53" s="84">
        <f t="shared" si="147"/>
        <v>1337.392278</v>
      </c>
      <c r="N53" s="84">
        <f t="shared" si="147"/>
        <v>1454.8452360000003</v>
      </c>
      <c r="O53" s="84">
        <f t="shared" si="147"/>
        <v>1195.8458620000001</v>
      </c>
      <c r="P53" s="84">
        <f t="shared" si="147"/>
        <v>1314.4517425025351</v>
      </c>
      <c r="Q53" s="84">
        <f t="shared" si="147"/>
        <v>1336.3999999999999</v>
      </c>
      <c r="R53" s="84">
        <f t="shared" si="147"/>
        <v>1919</v>
      </c>
      <c r="S53" s="84">
        <f t="shared" si="147"/>
        <v>3531</v>
      </c>
      <c r="T53" s="84">
        <f t="shared" si="147"/>
        <v>4977</v>
      </c>
      <c r="U53" s="84">
        <f t="shared" si="147"/>
        <v>6926</v>
      </c>
      <c r="V53" s="84">
        <f t="shared" si="147"/>
        <v>8176</v>
      </c>
      <c r="W53" s="84">
        <f t="shared" si="147"/>
        <v>8854.5249097199994</v>
      </c>
      <c r="X53" s="84">
        <f t="shared" ref="X53:Z53" si="148">SUM(X49:X52)</f>
        <v>11859.85911063708</v>
      </c>
      <c r="Y53" s="84">
        <f t="shared" si="148"/>
        <v>16976.285698217267</v>
      </c>
      <c r="Z53" s="84">
        <f t="shared" si="148"/>
        <v>15872.430599180001</v>
      </c>
      <c r="AA53" s="84">
        <f t="shared" ref="AA53" si="149">SUM(AA49:AA52)</f>
        <v>17707.808138543656</v>
      </c>
      <c r="AB53" s="84">
        <f t="shared" ref="AB53:AC53" si="150">SUM(AB49:AB52)</f>
        <v>19124.304199702765</v>
      </c>
      <c r="AC53" s="84">
        <f t="shared" si="150"/>
        <v>21407.30612398839</v>
      </c>
      <c r="AD53" s="84">
        <f t="shared" ref="AD53:AE53" si="151">SUM(AD49:AD52)</f>
        <v>23172.407804785467</v>
      </c>
      <c r="AE53" s="84">
        <f t="shared" si="151"/>
        <v>24932.480992584962</v>
      </c>
      <c r="AF53" s="84">
        <f t="shared" ref="AF53:AG53" si="152">SUM(AF49:AF52)</f>
        <v>26769.019203006366</v>
      </c>
      <c r="AG53" s="84">
        <f t="shared" si="152"/>
        <v>28670.291354840185</v>
      </c>
      <c r="AH53" s="434">
        <f t="shared" ref="AH53" si="153">SUM(AH49:AH52)</f>
        <v>30426.471913430611</v>
      </c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3" t="s">
        <v>262</v>
      </c>
      <c r="BB53" s="84"/>
      <c r="BC53" s="85"/>
      <c r="BD53" s="86"/>
      <c r="BE53" s="86"/>
      <c r="BF53" s="86"/>
      <c r="BG53" s="86"/>
      <c r="BH53" s="86"/>
      <c r="BI53" s="86"/>
      <c r="BJ53" s="86"/>
      <c r="BK53" s="84">
        <f t="shared" ref="BK53:BR53" si="154">SUM(BK49:BK52)</f>
        <v>72.78574382303735</v>
      </c>
      <c r="BL53" s="84">
        <f t="shared" si="154"/>
        <v>178.13139020354407</v>
      </c>
      <c r="BM53" s="84">
        <f t="shared" si="154"/>
        <v>204.05445207847174</v>
      </c>
      <c r="BN53" s="84">
        <f t="shared" si="154"/>
        <v>241.66928099999998</v>
      </c>
      <c r="BO53" s="84">
        <f t="shared" si="154"/>
        <v>229.41710399999997</v>
      </c>
      <c r="BP53" s="84">
        <f t="shared" si="154"/>
        <v>185</v>
      </c>
      <c r="BQ53" s="84">
        <f t="shared" si="154"/>
        <v>207.2</v>
      </c>
      <c r="BR53" s="84">
        <f t="shared" si="154"/>
        <v>240</v>
      </c>
      <c r="BS53" s="84">
        <f>SUM(BS49:BS52)</f>
        <v>294</v>
      </c>
      <c r="BT53" s="84">
        <f t="shared" ref="BT53:BW53" si="155">SUM(BT49:BT52)</f>
        <v>382</v>
      </c>
      <c r="BU53" s="84">
        <f t="shared" si="155"/>
        <v>589</v>
      </c>
      <c r="BV53" s="84">
        <f t="shared" si="155"/>
        <v>684.82071189999999</v>
      </c>
      <c r="BW53" s="84">
        <f t="shared" si="155"/>
        <v>782.74998779999999</v>
      </c>
      <c r="BX53" s="84">
        <f t="shared" ref="BX53:CA53" si="156">SUM(BX49:BX52)</f>
        <v>1111.3394152094272</v>
      </c>
      <c r="BY53" s="84">
        <f t="shared" si="156"/>
        <v>1603.5768882136249</v>
      </c>
      <c r="BZ53" s="84">
        <f t="shared" si="156"/>
        <v>1515.3413360599998</v>
      </c>
      <c r="CA53" s="84">
        <f t="shared" si="156"/>
        <v>1673.2466528952177</v>
      </c>
      <c r="CB53" s="84">
        <f t="shared" ref="CB53" si="157">SUM(CB49:CB52)</f>
        <v>1858.4817272822183</v>
      </c>
      <c r="CC53" s="84">
        <f t="shared" ref="CC53:CD53" si="158">SUM(CC49:CC52)</f>
        <v>2090.4469731932941</v>
      </c>
      <c r="CD53" s="84">
        <f t="shared" si="158"/>
        <v>2376.8372759139252</v>
      </c>
      <c r="CE53" s="84">
        <f t="shared" ref="CE53:CF53" si="159">SUM(CE49:CE52)</f>
        <v>2623.7092871900059</v>
      </c>
      <c r="CF53" s="84">
        <f t="shared" si="159"/>
        <v>2891.6768237017232</v>
      </c>
      <c r="CG53" s="84">
        <f t="shared" ref="CG53:CH53" si="160">SUM(CG49:CG52)</f>
        <v>3179.4977526119683</v>
      </c>
      <c r="CH53" s="434">
        <f t="shared" si="160"/>
        <v>3383.7996357289662</v>
      </c>
      <c r="CJ53" s="442"/>
      <c r="CK53" s="443"/>
      <c r="CL53" s="443"/>
      <c r="CM53" s="443"/>
      <c r="CN53" s="443"/>
      <c r="CO53" s="443"/>
      <c r="CP53" s="443"/>
      <c r="CQ53" s="443"/>
      <c r="CR53" s="443"/>
      <c r="CS53" s="443"/>
      <c r="CT53" s="443"/>
      <c r="CU53" s="443"/>
      <c r="CV53" s="443"/>
      <c r="CW53" s="443"/>
      <c r="CX53" s="443"/>
      <c r="CY53" s="443"/>
      <c r="CZ53" s="443"/>
      <c r="DA53" s="444"/>
    </row>
    <row r="54" spans="1:105">
      <c r="A54" s="40" t="s">
        <v>106</v>
      </c>
      <c r="B54" s="81"/>
      <c r="C54" s="43"/>
      <c r="D54" s="44"/>
      <c r="E54" s="44"/>
      <c r="F54" s="44"/>
      <c r="G54" s="44"/>
      <c r="H54" s="44"/>
      <c r="I54" s="44"/>
      <c r="J54" s="44"/>
      <c r="K54" s="95"/>
      <c r="L54" s="95"/>
      <c r="M54" s="95"/>
      <c r="N54" s="95"/>
      <c r="O54" s="81">
        <v>1557.378747</v>
      </c>
      <c r="P54" s="81">
        <v>5530.3592014474834</v>
      </c>
      <c r="Q54" s="81">
        <v>8070.9175654591927</v>
      </c>
      <c r="R54" s="81">
        <v>8133.507629770771</v>
      </c>
      <c r="S54" s="81">
        <v>10275.200508468046</v>
      </c>
      <c r="T54" s="81">
        <v>10378</v>
      </c>
      <c r="U54" s="81">
        <v>16310</v>
      </c>
      <c r="V54" s="81">
        <v>19759</v>
      </c>
      <c r="W54" s="81">
        <v>23315</v>
      </c>
      <c r="X54" s="81">
        <v>34151.153815068639</v>
      </c>
      <c r="Y54" s="81">
        <v>49919.762666457093</v>
      </c>
      <c r="Z54" s="81">
        <v>56274.002763198565</v>
      </c>
      <c r="AA54" s="81">
        <v>66201.140999359835</v>
      </c>
      <c r="AB54" s="81">
        <v>78201.571795715485</v>
      </c>
      <c r="AC54" s="81">
        <v>88239.276482041038</v>
      </c>
      <c r="AD54" s="81">
        <v>98110.409625497225</v>
      </c>
      <c r="AE54" s="81">
        <v>108001.11110893534</v>
      </c>
      <c r="AF54" s="81">
        <v>118165.47267360627</v>
      </c>
      <c r="AG54" s="81">
        <v>128481.53528637228</v>
      </c>
      <c r="AH54" s="82">
        <v>138891.01689724659</v>
      </c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40" t="s">
        <v>106</v>
      </c>
      <c r="BB54" s="81"/>
      <c r="BC54" s="43"/>
      <c r="BD54" s="44"/>
      <c r="BE54" s="44"/>
      <c r="BF54" s="44"/>
      <c r="BG54" s="44"/>
      <c r="BH54" s="44"/>
      <c r="BI54" s="44"/>
      <c r="BJ54" s="44"/>
      <c r="BK54" s="95"/>
      <c r="BL54" s="95"/>
      <c r="BM54" s="95"/>
      <c r="BN54" s="95"/>
      <c r="BO54" s="81">
        <v>49.159015000000004</v>
      </c>
      <c r="BP54" s="81">
        <v>146.77506804005574</v>
      </c>
      <c r="BQ54" s="81">
        <v>244.25165270423457</v>
      </c>
      <c r="BR54" s="81">
        <v>255.45719050547552</v>
      </c>
      <c r="BS54" s="81">
        <v>288</v>
      </c>
      <c r="BT54" s="81">
        <v>388</v>
      </c>
      <c r="BU54" s="81">
        <v>569</v>
      </c>
      <c r="BV54" s="81">
        <v>710.03786290999994</v>
      </c>
      <c r="BW54" s="81">
        <v>831.16971128123259</v>
      </c>
      <c r="BX54" s="81">
        <v>1217.8720565599997</v>
      </c>
      <c r="BY54" s="81">
        <v>1773.6061473599998</v>
      </c>
      <c r="BZ54" s="81">
        <v>2013.1635003899999</v>
      </c>
      <c r="CA54" s="81">
        <v>2368.3000000000002</v>
      </c>
      <c r="CB54" s="81">
        <v>2797.6071059800001</v>
      </c>
      <c r="CC54" s="81">
        <v>3156.6990438191788</v>
      </c>
      <c r="CD54" s="81">
        <v>3509.8319999999999</v>
      </c>
      <c r="CE54" s="81">
        <v>3863.665</v>
      </c>
      <c r="CF54" s="81">
        <v>4227.2879999999996</v>
      </c>
      <c r="CG54" s="81">
        <v>4596.3379999999997</v>
      </c>
      <c r="CH54" s="82">
        <v>4968.7299999999996</v>
      </c>
      <c r="CJ54" s="442"/>
      <c r="CK54" s="443"/>
      <c r="CL54" s="443"/>
      <c r="CM54" s="443"/>
      <c r="CN54" s="443"/>
      <c r="CO54" s="443"/>
      <c r="CP54" s="443"/>
      <c r="CQ54" s="443"/>
      <c r="CR54" s="443"/>
      <c r="CS54" s="443"/>
      <c r="CT54" s="443"/>
      <c r="CU54" s="443"/>
      <c r="CV54" s="443"/>
      <c r="CW54" s="443"/>
      <c r="CX54" s="443"/>
      <c r="CY54" s="443"/>
      <c r="CZ54" s="443"/>
      <c r="DA54" s="444"/>
    </row>
    <row r="55" spans="1:105">
      <c r="A55" s="40" t="s">
        <v>102</v>
      </c>
      <c r="B55" s="81"/>
      <c r="C55" s="43"/>
      <c r="D55" s="44"/>
      <c r="E55" s="44"/>
      <c r="F55" s="44"/>
      <c r="G55" s="44"/>
      <c r="H55" s="44"/>
      <c r="I55" s="44"/>
      <c r="J55" s="44"/>
      <c r="K55" s="95"/>
      <c r="L55" s="81">
        <v>242.422236</v>
      </c>
      <c r="M55" s="81">
        <v>2347.5192439999996</v>
      </c>
      <c r="N55" s="81">
        <v>3145.8448280000007</v>
      </c>
      <c r="O55" s="81">
        <v>2250.3179490000002</v>
      </c>
      <c r="P55" s="81">
        <v>1256</v>
      </c>
      <c r="Q55" s="81">
        <v>852</v>
      </c>
      <c r="R55" s="81">
        <v>734</v>
      </c>
      <c r="S55" s="81">
        <v>727</v>
      </c>
      <c r="T55" s="81">
        <v>794</v>
      </c>
      <c r="U55" s="81">
        <v>924</v>
      </c>
      <c r="V55" s="81">
        <v>933</v>
      </c>
      <c r="W55" s="81">
        <v>886</v>
      </c>
      <c r="X55" s="799">
        <v>1417.4812635905305</v>
      </c>
      <c r="Y55" s="81">
        <v>793.10173893069077</v>
      </c>
      <c r="Z55" s="81">
        <v>1262.5122229997769</v>
      </c>
      <c r="AA55" s="81">
        <v>1376.7386552933672</v>
      </c>
      <c r="AB55" s="81">
        <v>1405.9673560573406</v>
      </c>
      <c r="AC55" s="81">
        <v>1329.5586550897124</v>
      </c>
      <c r="AD55" s="81">
        <v>1276.4555941009041</v>
      </c>
      <c r="AE55" s="81">
        <v>1240.6491004161344</v>
      </c>
      <c r="AF55" s="81">
        <v>1221.2080105757498</v>
      </c>
      <c r="AG55" s="81">
        <v>1213.1745023772437</v>
      </c>
      <c r="AH55" s="82">
        <v>1213.7253715108557</v>
      </c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40" t="s">
        <v>102</v>
      </c>
      <c r="BB55" s="81"/>
      <c r="BC55" s="43"/>
      <c r="BD55" s="44"/>
      <c r="BE55" s="44"/>
      <c r="BF55" s="44"/>
      <c r="BG55" s="44"/>
      <c r="BH55" s="44"/>
      <c r="BI55" s="44"/>
      <c r="BJ55" s="44"/>
      <c r="BK55" s="95"/>
      <c r="BL55" s="81">
        <v>29.639246485482197</v>
      </c>
      <c r="BM55" s="81">
        <v>287.01451917277438</v>
      </c>
      <c r="BN55" s="81">
        <v>376.48407700000001</v>
      </c>
      <c r="BO55" s="81">
        <v>256.382203</v>
      </c>
      <c r="BP55" s="81">
        <v>147</v>
      </c>
      <c r="BQ55" s="81">
        <v>97</v>
      </c>
      <c r="BR55" s="81">
        <v>79</v>
      </c>
      <c r="BS55" s="81">
        <v>71</v>
      </c>
      <c r="BT55" s="81">
        <v>64</v>
      </c>
      <c r="BU55" s="81">
        <v>83</v>
      </c>
      <c r="BV55" s="81">
        <v>81.890562869999997</v>
      </c>
      <c r="BW55" s="81">
        <v>77.659544118159985</v>
      </c>
      <c r="BX55" s="81">
        <v>124.28804491621898</v>
      </c>
      <c r="BY55" s="81">
        <v>105.95519713000002</v>
      </c>
      <c r="BZ55" s="81">
        <v>102.06449288999998</v>
      </c>
      <c r="CA55" s="81">
        <v>111.29882953584905</v>
      </c>
      <c r="CB55" s="81">
        <v>113.66174726999999</v>
      </c>
      <c r="CC55" s="81">
        <v>118.36606655921605</v>
      </c>
      <c r="CD55" s="81">
        <v>120.339</v>
      </c>
      <c r="CE55" s="81">
        <v>122.66800000000001</v>
      </c>
      <c r="CF55" s="81">
        <v>125.526</v>
      </c>
      <c r="CG55" s="81">
        <v>128.67500000000001</v>
      </c>
      <c r="CH55" s="82">
        <v>132.018</v>
      </c>
      <c r="CJ55" s="442"/>
      <c r="CK55" s="443"/>
      <c r="CL55" s="443"/>
      <c r="CM55" s="443"/>
      <c r="CN55" s="443"/>
      <c r="CO55" s="443"/>
      <c r="CP55" s="443"/>
      <c r="CQ55" s="443"/>
      <c r="CR55" s="443"/>
      <c r="CS55" s="443"/>
      <c r="CT55" s="443"/>
      <c r="CU55" s="443"/>
      <c r="CV55" s="443"/>
      <c r="CW55" s="443"/>
      <c r="CX55" s="443"/>
      <c r="CY55" s="443"/>
      <c r="CZ55" s="443"/>
      <c r="DA55" s="444"/>
    </row>
    <row r="56" spans="1:105">
      <c r="A56" s="40" t="s">
        <v>103</v>
      </c>
      <c r="B56" s="81"/>
      <c r="C56" s="43"/>
      <c r="D56" s="44"/>
      <c r="E56" s="44"/>
      <c r="F56" s="44"/>
      <c r="G56" s="44"/>
      <c r="H56" s="44"/>
      <c r="I56" s="44"/>
      <c r="J56" s="44"/>
      <c r="K56" s="95"/>
      <c r="L56" s="95"/>
      <c r="M56" s="95"/>
      <c r="N56" s="95"/>
      <c r="O56" s="81">
        <v>4610.2305410000008</v>
      </c>
      <c r="P56" s="81">
        <v>7185.6407985525166</v>
      </c>
      <c r="Q56" s="81">
        <v>4357.6824345408077</v>
      </c>
      <c r="R56" s="81">
        <v>3450.492370229229</v>
      </c>
      <c r="S56" s="81">
        <v>4757</v>
      </c>
      <c r="T56" s="81">
        <v>4990</v>
      </c>
      <c r="U56" s="81">
        <v>2520</v>
      </c>
      <c r="V56" s="81">
        <v>2274</v>
      </c>
      <c r="W56" s="81">
        <v>2128</v>
      </c>
      <c r="X56" s="81">
        <v>2928.0151720741974</v>
      </c>
      <c r="Y56" s="81">
        <v>1837.1148087708077</v>
      </c>
      <c r="Z56" s="81">
        <v>2603.9521443381423</v>
      </c>
      <c r="AA56" s="81">
        <v>2545.5887147271119</v>
      </c>
      <c r="AB56" s="81">
        <v>2355.419618068312</v>
      </c>
      <c r="AC56" s="81">
        <v>2452.9075259143438</v>
      </c>
      <c r="AD56" s="81">
        <v>2493.7927510950417</v>
      </c>
      <c r="AE56" s="81">
        <v>2542.056766229789</v>
      </c>
      <c r="AF56" s="81">
        <v>2601.2832820112867</v>
      </c>
      <c r="AG56" s="81">
        <v>2666.5402093016778</v>
      </c>
      <c r="AH56" s="82">
        <v>2735.8174109313295</v>
      </c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40" t="s">
        <v>103</v>
      </c>
      <c r="BB56" s="81"/>
      <c r="BC56" s="43"/>
      <c r="BD56" s="44"/>
      <c r="BE56" s="44"/>
      <c r="BF56" s="44"/>
      <c r="BG56" s="44"/>
      <c r="BH56" s="44"/>
      <c r="BI56" s="44"/>
      <c r="BJ56" s="44"/>
      <c r="BK56" s="95"/>
      <c r="BL56" s="95"/>
      <c r="BM56" s="95"/>
      <c r="BN56" s="95"/>
      <c r="BO56" s="81">
        <v>127.98809800000001</v>
      </c>
      <c r="BP56" s="81">
        <v>209.22493195994426</v>
      </c>
      <c r="BQ56" s="81">
        <v>132.74834729576543</v>
      </c>
      <c r="BR56" s="81">
        <v>109.54280949452448</v>
      </c>
      <c r="BS56" s="81">
        <v>126</v>
      </c>
      <c r="BT56" s="81">
        <v>129</v>
      </c>
      <c r="BU56" s="81">
        <v>70</v>
      </c>
      <c r="BV56" s="81">
        <v>65.1056059</v>
      </c>
      <c r="BW56" s="81">
        <v>60.100845438336002</v>
      </c>
      <c r="BX56" s="81">
        <v>82.647108402276004</v>
      </c>
      <c r="BY56" s="81">
        <v>71.22833808999998</v>
      </c>
      <c r="BZ56" s="81">
        <v>67.717786050000001</v>
      </c>
      <c r="CA56" s="81">
        <v>66.200000000000017</v>
      </c>
      <c r="CB56" s="81">
        <v>61.254505809999991</v>
      </c>
      <c r="CC56" s="81">
        <v>57.92556847927775</v>
      </c>
      <c r="CD56" s="81">
        <v>55.612000000000002</v>
      </c>
      <c r="CE56" s="81">
        <v>54.052</v>
      </c>
      <c r="CF56" s="81">
        <v>53.204999999999998</v>
      </c>
      <c r="CG56" s="81">
        <v>52.854999999999997</v>
      </c>
      <c r="CH56" s="82">
        <v>52.878999999999998</v>
      </c>
      <c r="CJ56" s="442"/>
      <c r="CK56" s="443"/>
      <c r="CL56" s="443"/>
      <c r="CM56" s="443"/>
      <c r="CN56" s="443"/>
      <c r="CO56" s="443"/>
      <c r="CP56" s="443"/>
      <c r="CQ56" s="443"/>
      <c r="CR56" s="443"/>
      <c r="CS56" s="443"/>
      <c r="CT56" s="443"/>
      <c r="CU56" s="443"/>
      <c r="CV56" s="443"/>
      <c r="CW56" s="443"/>
      <c r="CX56" s="443"/>
      <c r="CY56" s="443"/>
      <c r="CZ56" s="443"/>
      <c r="DA56" s="444"/>
    </row>
    <row r="57" spans="1:105">
      <c r="A57" s="83" t="s">
        <v>104</v>
      </c>
      <c r="B57" s="84"/>
      <c r="C57" s="85"/>
      <c r="D57" s="86"/>
      <c r="E57" s="86"/>
      <c r="F57" s="86"/>
      <c r="G57" s="86"/>
      <c r="H57" s="86"/>
      <c r="I57" s="86"/>
      <c r="J57" s="86"/>
      <c r="K57" s="616"/>
      <c r="L57" s="84">
        <f>SUM(L54:L56)</f>
        <v>242.422236</v>
      </c>
      <c r="M57" s="84">
        <f t="shared" ref="M57:W57" si="161">SUM(M54:M56)</f>
        <v>2347.5192439999996</v>
      </c>
      <c r="N57" s="84">
        <f t="shared" si="161"/>
        <v>3145.8448280000007</v>
      </c>
      <c r="O57" s="84">
        <f t="shared" si="161"/>
        <v>8417.9272369999999</v>
      </c>
      <c r="P57" s="84">
        <f t="shared" si="161"/>
        <v>13972</v>
      </c>
      <c r="Q57" s="84">
        <f t="shared" si="161"/>
        <v>13280.6</v>
      </c>
      <c r="R57" s="84">
        <f t="shared" si="161"/>
        <v>12318</v>
      </c>
      <c r="S57" s="84">
        <f t="shared" si="161"/>
        <v>15759.200508468046</v>
      </c>
      <c r="T57" s="84">
        <f t="shared" si="161"/>
        <v>16162</v>
      </c>
      <c r="U57" s="84">
        <f t="shared" si="161"/>
        <v>19754</v>
      </c>
      <c r="V57" s="84">
        <f t="shared" si="161"/>
        <v>22966</v>
      </c>
      <c r="W57" s="84">
        <f t="shared" si="161"/>
        <v>26329</v>
      </c>
      <c r="X57" s="84">
        <f t="shared" ref="X57:Z57" si="162">SUM(X54:X56)</f>
        <v>38496.650250733372</v>
      </c>
      <c r="Y57" s="84">
        <f t="shared" si="162"/>
        <v>52549.979214158586</v>
      </c>
      <c r="Z57" s="84">
        <f t="shared" si="162"/>
        <v>60140.46713053649</v>
      </c>
      <c r="AA57" s="84">
        <f t="shared" ref="AA57:AB57" si="163">SUM(AA54:AA56)</f>
        <v>70123.468369380309</v>
      </c>
      <c r="AB57" s="84">
        <f t="shared" si="163"/>
        <v>81962.958769841134</v>
      </c>
      <c r="AC57" s="84">
        <f t="shared" ref="AC57" si="164">SUM(AC54:AC56)</f>
        <v>92021.742663045094</v>
      </c>
      <c r="AD57" s="84">
        <f t="shared" ref="AD57:AE57" si="165">SUM(AD54:AD56)</f>
        <v>101880.65797069317</v>
      </c>
      <c r="AE57" s="84">
        <f t="shared" si="165"/>
        <v>111783.81697558126</v>
      </c>
      <c r="AF57" s="84">
        <f t="shared" ref="AF57:AG57" si="166">SUM(AF54:AF56)</f>
        <v>121987.9639661933</v>
      </c>
      <c r="AG57" s="84">
        <f t="shared" si="166"/>
        <v>132361.24999805121</v>
      </c>
      <c r="AH57" s="434">
        <f t="shared" ref="AH57" si="167">SUM(AH54:AH56)</f>
        <v>142840.5596796888</v>
      </c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3" t="s">
        <v>104</v>
      </c>
      <c r="BB57" s="84"/>
      <c r="BC57" s="85"/>
      <c r="BD57" s="86"/>
      <c r="BE57" s="86"/>
      <c r="BF57" s="86"/>
      <c r="BG57" s="86"/>
      <c r="BH57" s="86"/>
      <c r="BI57" s="86"/>
      <c r="BJ57" s="86"/>
      <c r="BK57" s="616"/>
      <c r="BL57" s="84">
        <f t="shared" ref="BL57" si="168">SUM(BL54:BL56)</f>
        <v>29.639246485482197</v>
      </c>
      <c r="BM57" s="84">
        <f t="shared" ref="BM57" si="169">SUM(BM54:BM56)</f>
        <v>287.01451917277438</v>
      </c>
      <c r="BN57" s="84">
        <f t="shared" ref="BN57" si="170">SUM(BN54:BN56)</f>
        <v>376.48407700000001</v>
      </c>
      <c r="BO57" s="84">
        <f t="shared" ref="BO57" si="171">SUM(BO54:BO56)</f>
        <v>433.52931599999999</v>
      </c>
      <c r="BP57" s="84">
        <f t="shared" ref="BP57" si="172">SUM(BP54:BP56)</f>
        <v>503</v>
      </c>
      <c r="BQ57" s="84">
        <f t="shared" ref="BQ57" si="173">SUM(BQ54:BQ56)</f>
        <v>474</v>
      </c>
      <c r="BR57" s="84">
        <f t="shared" ref="BR57" si="174">SUM(BR54:BR56)</f>
        <v>444</v>
      </c>
      <c r="BS57" s="84">
        <f t="shared" ref="BS57" si="175">SUM(BS54:BS56)</f>
        <v>485</v>
      </c>
      <c r="BT57" s="84">
        <f t="shared" ref="BT57" si="176">SUM(BT54:BT56)</f>
        <v>581</v>
      </c>
      <c r="BU57" s="84">
        <f t="shared" ref="BU57" si="177">SUM(BU54:BU56)</f>
        <v>722</v>
      </c>
      <c r="BV57" s="84">
        <f t="shared" ref="BV57" si="178">SUM(BV54:BV56)</f>
        <v>857.03403168</v>
      </c>
      <c r="BW57" s="84">
        <f t="shared" ref="BW57" si="179">SUM(BW54:BW56)</f>
        <v>968.93010083772856</v>
      </c>
      <c r="BX57" s="84">
        <f t="shared" ref="BX57:CA57" si="180">SUM(BX54:BX56)</f>
        <v>1424.8072098784946</v>
      </c>
      <c r="BY57" s="84">
        <f t="shared" si="180"/>
        <v>1950.7896825799999</v>
      </c>
      <c r="BZ57" s="84">
        <f t="shared" si="180"/>
        <v>2182.9457793299998</v>
      </c>
      <c r="CA57" s="84">
        <f t="shared" si="180"/>
        <v>2545.7988295358491</v>
      </c>
      <c r="CB57" s="84">
        <f t="shared" ref="CB57" si="181">SUM(CB54:CB56)</f>
        <v>2972.5233590600001</v>
      </c>
      <c r="CC57" s="84">
        <f t="shared" ref="CC57:CD57" si="182">SUM(CC54:CC56)</f>
        <v>3332.9906788576727</v>
      </c>
      <c r="CD57" s="84">
        <f t="shared" si="182"/>
        <v>3685.7829999999999</v>
      </c>
      <c r="CE57" s="84">
        <f t="shared" ref="CE57:CF57" si="183">SUM(CE54:CE56)</f>
        <v>4040.3850000000002</v>
      </c>
      <c r="CF57" s="84">
        <f t="shared" si="183"/>
        <v>4406.0189999999993</v>
      </c>
      <c r="CG57" s="84">
        <f t="shared" ref="CG57:CH57" si="184">SUM(CG54:CG56)</f>
        <v>4777.8679999999995</v>
      </c>
      <c r="CH57" s="434">
        <f t="shared" si="184"/>
        <v>5153.6269999999995</v>
      </c>
      <c r="CJ57" s="442"/>
      <c r="CK57" s="443"/>
      <c r="CL57" s="443"/>
      <c r="CM57" s="443"/>
      <c r="CN57" s="443"/>
      <c r="CO57" s="443"/>
      <c r="CP57" s="443"/>
      <c r="CQ57" s="443"/>
      <c r="CR57" s="443"/>
      <c r="CS57" s="443"/>
      <c r="CT57" s="443"/>
      <c r="CU57" s="443"/>
      <c r="CV57" s="443"/>
      <c r="CW57" s="443"/>
      <c r="CX57" s="443"/>
      <c r="CY57" s="443"/>
      <c r="CZ57" s="443"/>
      <c r="DA57" s="444"/>
    </row>
    <row r="58" spans="1:105">
      <c r="A58" s="40" t="s">
        <v>318</v>
      </c>
      <c r="B58" s="81"/>
      <c r="C58" s="43"/>
      <c r="D58" s="44"/>
      <c r="E58" s="44"/>
      <c r="F58" s="44"/>
      <c r="G58" s="44"/>
      <c r="H58" s="44"/>
      <c r="I58" s="44"/>
      <c r="J58" s="44"/>
      <c r="K58" s="95"/>
      <c r="L58" s="95"/>
      <c r="M58" s="81">
        <v>7.6193999999999998E-2</v>
      </c>
      <c r="N58" s="81">
        <v>146.14103299999999</v>
      </c>
      <c r="O58" s="81">
        <v>183.50724500000001</v>
      </c>
      <c r="P58" s="81">
        <v>146</v>
      </c>
      <c r="Q58" s="81">
        <v>109.90000000000009</v>
      </c>
      <c r="R58" s="81">
        <v>97</v>
      </c>
      <c r="S58" s="81">
        <v>91</v>
      </c>
      <c r="T58" s="81">
        <v>100</v>
      </c>
      <c r="U58" s="81">
        <v>116</v>
      </c>
      <c r="V58" s="81">
        <v>128</v>
      </c>
      <c r="W58" s="81">
        <v>173.25694806312771</v>
      </c>
      <c r="X58" s="81">
        <v>172.93146818224963</v>
      </c>
      <c r="Y58" s="81">
        <v>305.65228242639876</v>
      </c>
      <c r="Z58" s="81">
        <v>280.51862576757532</v>
      </c>
      <c r="AA58" s="81">
        <v>292.89442387374453</v>
      </c>
      <c r="AB58" s="81">
        <v>308.58637511621237</v>
      </c>
      <c r="AC58" s="81">
        <v>303.81520619273653</v>
      </c>
      <c r="AD58" s="81">
        <v>335.21951219512192</v>
      </c>
      <c r="AE58" s="81">
        <v>366.7971305595409</v>
      </c>
      <c r="AF58" s="81">
        <v>399.48120516499284</v>
      </c>
      <c r="AG58" s="81">
        <v>432.89526542324251</v>
      </c>
      <c r="AH58" s="82">
        <v>466.87403156384505</v>
      </c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40" t="s">
        <v>318</v>
      </c>
      <c r="BB58" s="81"/>
      <c r="BC58" s="43"/>
      <c r="BD58" s="44"/>
      <c r="BE58" s="44"/>
      <c r="BF58" s="44"/>
      <c r="BG58" s="44"/>
      <c r="BH58" s="44"/>
      <c r="BI58" s="44"/>
      <c r="BJ58" s="44"/>
      <c r="BK58" s="95"/>
      <c r="BL58" s="95"/>
      <c r="BM58" s="81">
        <v>2.3498587646205524E-2</v>
      </c>
      <c r="BN58" s="81">
        <v>44.206241000000006</v>
      </c>
      <c r="BO58" s="81">
        <v>54.934426000000002</v>
      </c>
      <c r="BP58" s="81">
        <v>42.754148657204496</v>
      </c>
      <c r="BQ58" s="81">
        <v>32</v>
      </c>
      <c r="BR58" s="81">
        <v>27</v>
      </c>
      <c r="BS58" s="81">
        <v>25</v>
      </c>
      <c r="BT58" s="81">
        <v>27</v>
      </c>
      <c r="BU58" s="81">
        <v>27.88</v>
      </c>
      <c r="BV58" s="81">
        <v>31.075223130000001</v>
      </c>
      <c r="BW58" s="81">
        <v>37.422039323032401</v>
      </c>
      <c r="BX58" s="81">
        <v>58.173371130786002</v>
      </c>
      <c r="BY58" s="81">
        <v>66.574887765999989</v>
      </c>
      <c r="BZ58" s="81">
        <v>61.100463175000009</v>
      </c>
      <c r="CA58" s="81">
        <v>63.79606669999999</v>
      </c>
      <c r="CB58" s="81">
        <v>67.213969830000011</v>
      </c>
      <c r="CC58" s="81">
        <v>66.174749598855428</v>
      </c>
      <c r="CD58" s="81">
        <v>73.015000000000001</v>
      </c>
      <c r="CE58" s="81">
        <v>79.893000000000001</v>
      </c>
      <c r="CF58" s="81">
        <v>87.012</v>
      </c>
      <c r="CG58" s="81">
        <v>94.29</v>
      </c>
      <c r="CH58" s="82">
        <v>101.691</v>
      </c>
      <c r="CJ58" s="442"/>
      <c r="CK58" s="443"/>
      <c r="CL58" s="443"/>
      <c r="CM58" s="443"/>
      <c r="CN58" s="443"/>
      <c r="CO58" s="443"/>
      <c r="CP58" s="443"/>
      <c r="CQ58" s="443"/>
      <c r="CR58" s="443"/>
      <c r="CS58" s="443"/>
      <c r="CT58" s="443"/>
      <c r="CU58" s="443"/>
      <c r="CV58" s="443"/>
      <c r="CW58" s="443"/>
      <c r="CX58" s="443"/>
      <c r="CY58" s="443"/>
      <c r="CZ58" s="443"/>
      <c r="DA58" s="444"/>
    </row>
    <row r="59" spans="1:105">
      <c r="A59" s="83" t="s">
        <v>301</v>
      </c>
      <c r="B59" s="84"/>
      <c r="C59" s="85"/>
      <c r="D59" s="86"/>
      <c r="E59" s="86"/>
      <c r="F59" s="86"/>
      <c r="G59" s="86"/>
      <c r="H59" s="86"/>
      <c r="I59" s="86"/>
      <c r="J59" s="86"/>
      <c r="K59" s="616"/>
      <c r="L59" s="84">
        <f>L57+L58</f>
        <v>242.422236</v>
      </c>
      <c r="M59" s="84">
        <f t="shared" ref="M59:R59" si="185">M57+M58</f>
        <v>2347.5954379999998</v>
      </c>
      <c r="N59" s="84">
        <f t="shared" si="185"/>
        <v>3291.9858610000006</v>
      </c>
      <c r="O59" s="84">
        <f t="shared" si="185"/>
        <v>8601.4344820000006</v>
      </c>
      <c r="P59" s="84">
        <f t="shared" si="185"/>
        <v>14118</v>
      </c>
      <c r="Q59" s="84">
        <f t="shared" si="185"/>
        <v>13390.5</v>
      </c>
      <c r="R59" s="84">
        <f t="shared" si="185"/>
        <v>12415</v>
      </c>
      <c r="S59" s="84">
        <f t="shared" ref="S59" si="186">S57+S58</f>
        <v>15850.200508468046</v>
      </c>
      <c r="T59" s="84">
        <f t="shared" ref="T59:V59" si="187">T57+T58</f>
        <v>16262</v>
      </c>
      <c r="U59" s="84">
        <f t="shared" si="187"/>
        <v>19870</v>
      </c>
      <c r="V59" s="84">
        <f t="shared" si="187"/>
        <v>23094</v>
      </c>
      <c r="W59" s="84">
        <f t="shared" ref="W59:Z59" si="188">W57+W58</f>
        <v>26502.256948063128</v>
      </c>
      <c r="X59" s="84">
        <f t="shared" si="188"/>
        <v>38669.581718915622</v>
      </c>
      <c r="Y59" s="84">
        <f t="shared" si="188"/>
        <v>52855.631496584982</v>
      </c>
      <c r="Z59" s="84">
        <f t="shared" si="188"/>
        <v>60420.985756304064</v>
      </c>
      <c r="AA59" s="84">
        <f t="shared" ref="AA59:AB59" si="189">AA57+AA58</f>
        <v>70416.362793254055</v>
      </c>
      <c r="AB59" s="84">
        <f t="shared" si="189"/>
        <v>82271.545144957345</v>
      </c>
      <c r="AC59" s="84">
        <f t="shared" ref="AC59" si="190">AC57+AC58</f>
        <v>92325.557869237833</v>
      </c>
      <c r="AD59" s="84">
        <f t="shared" ref="AD59:AE59" si="191">AD57+AD58</f>
        <v>102215.87748288829</v>
      </c>
      <c r="AE59" s="84">
        <f t="shared" si="191"/>
        <v>112150.6141061408</v>
      </c>
      <c r="AF59" s="84">
        <f t="shared" ref="AF59:AG59" si="192">AF57+AF58</f>
        <v>122387.4451713583</v>
      </c>
      <c r="AG59" s="84">
        <f t="shared" si="192"/>
        <v>132794.14526347446</v>
      </c>
      <c r="AH59" s="434">
        <f t="shared" ref="AH59" si="193">AH57+AH58</f>
        <v>143307.43371125264</v>
      </c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3" t="s">
        <v>301</v>
      </c>
      <c r="BB59" s="84"/>
      <c r="BC59" s="85"/>
      <c r="BD59" s="86"/>
      <c r="BE59" s="86"/>
      <c r="BF59" s="86"/>
      <c r="BG59" s="86"/>
      <c r="BH59" s="86"/>
      <c r="BI59" s="86"/>
      <c r="BJ59" s="86"/>
      <c r="BK59" s="616"/>
      <c r="BL59" s="84">
        <f>SUM(BL57:BL58)</f>
        <v>29.639246485482197</v>
      </c>
      <c r="BM59" s="84">
        <f t="shared" ref="BM59:BV59" si="194">SUM(BM57:BM58)</f>
        <v>287.03801776042059</v>
      </c>
      <c r="BN59" s="84">
        <f t="shared" si="194"/>
        <v>420.69031800000005</v>
      </c>
      <c r="BO59" s="84">
        <f t="shared" si="194"/>
        <v>488.46374200000002</v>
      </c>
      <c r="BP59" s="84">
        <f t="shared" si="194"/>
        <v>545.7541486572045</v>
      </c>
      <c r="BQ59" s="84">
        <f t="shared" si="194"/>
        <v>506</v>
      </c>
      <c r="BR59" s="84">
        <f t="shared" si="194"/>
        <v>471</v>
      </c>
      <c r="BS59" s="84">
        <f t="shared" si="194"/>
        <v>510</v>
      </c>
      <c r="BT59" s="84">
        <f t="shared" si="194"/>
        <v>608</v>
      </c>
      <c r="BU59" s="84">
        <f t="shared" si="194"/>
        <v>749.88</v>
      </c>
      <c r="BV59" s="84">
        <f t="shared" si="194"/>
        <v>888.10925481000004</v>
      </c>
      <c r="BW59" s="84">
        <f t="shared" ref="BW59:CA59" si="195">SUM(BW57:BW58)</f>
        <v>1006.352140160761</v>
      </c>
      <c r="BX59" s="84">
        <f t="shared" si="195"/>
        <v>1482.9805810092807</v>
      </c>
      <c r="BY59" s="84">
        <f t="shared" si="195"/>
        <v>2017.3645703459999</v>
      </c>
      <c r="BZ59" s="84">
        <f t="shared" si="195"/>
        <v>2244.046242505</v>
      </c>
      <c r="CA59" s="84">
        <f t="shared" si="195"/>
        <v>2609.5948962358493</v>
      </c>
      <c r="CB59" s="84">
        <f t="shared" ref="CB59" si="196">SUM(CB57:CB58)</f>
        <v>3039.7373288900003</v>
      </c>
      <c r="CC59" s="84">
        <f t="shared" ref="CC59:CD59" si="197">SUM(CC57:CC58)</f>
        <v>3399.1654284565279</v>
      </c>
      <c r="CD59" s="84">
        <f t="shared" si="197"/>
        <v>3758.7979999999998</v>
      </c>
      <c r="CE59" s="84">
        <f t="shared" ref="CE59:CF59" si="198">SUM(CE57:CE58)</f>
        <v>4120.2780000000002</v>
      </c>
      <c r="CF59" s="84">
        <f t="shared" si="198"/>
        <v>4493.030999999999</v>
      </c>
      <c r="CG59" s="84">
        <f t="shared" ref="CG59:CH59" si="199">SUM(CG57:CG58)</f>
        <v>4872.1579999999994</v>
      </c>
      <c r="CH59" s="434">
        <f t="shared" si="199"/>
        <v>5255.3179999999993</v>
      </c>
      <c r="CJ59" s="442"/>
      <c r="CK59" s="443"/>
      <c r="CL59" s="443"/>
      <c r="CM59" s="443"/>
      <c r="CN59" s="443"/>
      <c r="CO59" s="443"/>
      <c r="CP59" s="443"/>
      <c r="CQ59" s="443"/>
      <c r="CR59" s="443"/>
      <c r="CS59" s="443"/>
      <c r="CT59" s="443"/>
      <c r="CU59" s="443"/>
      <c r="CV59" s="443"/>
      <c r="CW59" s="443"/>
      <c r="CX59" s="443"/>
      <c r="CY59" s="443"/>
      <c r="CZ59" s="443"/>
      <c r="DA59" s="444"/>
    </row>
    <row r="60" spans="1:105">
      <c r="A60" s="40" t="s">
        <v>284</v>
      </c>
      <c r="B60" s="81"/>
      <c r="C60" s="43"/>
      <c r="D60" s="44"/>
      <c r="E60" s="44"/>
      <c r="F60" s="44"/>
      <c r="G60" s="44"/>
      <c r="H60" s="44"/>
      <c r="I60" s="44"/>
      <c r="J60" s="44"/>
      <c r="K60" s="95"/>
      <c r="L60" s="95"/>
      <c r="M60" s="95"/>
      <c r="N60" s="95"/>
      <c r="O60" s="95"/>
      <c r="P60" s="95"/>
      <c r="Q60" s="81">
        <v>16.699999999999818</v>
      </c>
      <c r="R60" s="81">
        <v>28</v>
      </c>
      <c r="S60" s="81">
        <v>41</v>
      </c>
      <c r="T60" s="81">
        <v>57</v>
      </c>
      <c r="U60" s="81">
        <v>88</v>
      </c>
      <c r="V60" s="81">
        <v>104.14</v>
      </c>
      <c r="W60" s="81">
        <v>119.67</v>
      </c>
      <c r="X60" s="81">
        <v>162.81</v>
      </c>
      <c r="Y60" s="81">
        <v>204.42</v>
      </c>
      <c r="Z60" s="81">
        <v>205.95</v>
      </c>
      <c r="AA60" s="81">
        <v>210.45420894187347</v>
      </c>
      <c r="AB60" s="81">
        <v>223.08055387244499</v>
      </c>
      <c r="AC60" s="81">
        <v>246.46787416606895</v>
      </c>
      <c r="AD60" s="81">
        <v>254.89261209692967</v>
      </c>
      <c r="AE60" s="81">
        <v>272.2838034862371</v>
      </c>
      <c r="AF60" s="81">
        <v>292.21404126114606</v>
      </c>
      <c r="AG60" s="81">
        <v>310.46757171884377</v>
      </c>
      <c r="AH60" s="82">
        <v>332.80637808876611</v>
      </c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40" t="s">
        <v>284</v>
      </c>
      <c r="BB60" s="81"/>
      <c r="BC60" s="43"/>
      <c r="BD60" s="44"/>
      <c r="BE60" s="44"/>
      <c r="BF60" s="44"/>
      <c r="BG60" s="44"/>
      <c r="BH60" s="44"/>
      <c r="BI60" s="44"/>
      <c r="BJ60" s="44"/>
      <c r="BK60" s="95"/>
      <c r="BL60" s="95"/>
      <c r="BM60" s="95"/>
      <c r="BN60" s="95"/>
      <c r="BO60" s="95"/>
      <c r="BP60" s="95"/>
      <c r="BQ60" s="81">
        <v>5</v>
      </c>
      <c r="BR60" s="81">
        <v>8</v>
      </c>
      <c r="BS60" s="81">
        <v>11</v>
      </c>
      <c r="BT60" s="81">
        <v>17</v>
      </c>
      <c r="BU60" s="81">
        <v>24</v>
      </c>
      <c r="BV60" s="81">
        <v>26.06</v>
      </c>
      <c r="BW60" s="81">
        <v>29.74</v>
      </c>
      <c r="BX60" s="81">
        <v>46.34</v>
      </c>
      <c r="BY60" s="81">
        <v>53.97</v>
      </c>
      <c r="BZ60" s="81">
        <v>53.27</v>
      </c>
      <c r="CA60" s="81">
        <v>59.084266099087394</v>
      </c>
      <c r="CB60" s="81">
        <v>64.308226972484917</v>
      </c>
      <c r="CC60" s="81">
        <v>67.998432747218303</v>
      </c>
      <c r="CD60" s="81">
        <v>71.787246327237554</v>
      </c>
      <c r="CE60" s="81">
        <v>76.766102957467979</v>
      </c>
      <c r="CF60" s="81">
        <v>81.767628839171167</v>
      </c>
      <c r="CG60" s="81">
        <v>87.281994942378461</v>
      </c>
      <c r="CH60" s="82">
        <v>93.505940859534235</v>
      </c>
      <c r="CJ60" s="442"/>
      <c r="CK60" s="443"/>
      <c r="CL60" s="443"/>
      <c r="CM60" s="443"/>
      <c r="CN60" s="443"/>
      <c r="CO60" s="443"/>
      <c r="CP60" s="443"/>
      <c r="CQ60" s="443"/>
      <c r="CR60" s="443"/>
      <c r="CS60" s="443"/>
      <c r="CT60" s="443"/>
      <c r="CU60" s="443"/>
      <c r="CV60" s="443"/>
      <c r="CW60" s="443"/>
      <c r="CX60" s="443"/>
      <c r="CY60" s="443"/>
      <c r="CZ60" s="443"/>
      <c r="DA60" s="444"/>
    </row>
    <row r="61" spans="1:105">
      <c r="A61" s="40" t="s">
        <v>250</v>
      </c>
      <c r="B61" s="81"/>
      <c r="C61" s="43"/>
      <c r="D61" s="44"/>
      <c r="E61" s="44"/>
      <c r="F61" s="44"/>
      <c r="G61" s="44"/>
      <c r="H61" s="44"/>
      <c r="I61" s="44"/>
      <c r="J61" s="44"/>
      <c r="K61" s="95"/>
      <c r="L61" s="95"/>
      <c r="M61" s="81">
        <v>5.7087712893541465</v>
      </c>
      <c r="N61" s="81">
        <v>16.449715901694365</v>
      </c>
      <c r="O61" s="81">
        <v>12.528500340209531</v>
      </c>
      <c r="P61" s="81">
        <v>11</v>
      </c>
      <c r="Q61" s="81">
        <v>9.2000000000000455</v>
      </c>
      <c r="R61" s="81">
        <v>8</v>
      </c>
      <c r="S61" s="81">
        <v>8</v>
      </c>
      <c r="T61" s="81">
        <v>16</v>
      </c>
      <c r="U61" s="81">
        <v>20.279999999999973</v>
      </c>
      <c r="V61" s="81">
        <v>31.25</v>
      </c>
      <c r="W61" s="81">
        <v>38.909999999999997</v>
      </c>
      <c r="X61" s="81">
        <v>36.86</v>
      </c>
      <c r="Y61" s="81">
        <v>54.62</v>
      </c>
      <c r="Z61" s="81">
        <v>106.24</v>
      </c>
      <c r="AA61" s="81">
        <v>79.365954488462378</v>
      </c>
      <c r="AB61" s="81">
        <v>86.975124600155212</v>
      </c>
      <c r="AC61" s="81">
        <v>94.475230138784497</v>
      </c>
      <c r="AD61" s="81">
        <v>103.28465667491116</v>
      </c>
      <c r="AE61" s="81">
        <v>112.92731914580236</v>
      </c>
      <c r="AF61" s="81">
        <v>123.87353828453529</v>
      </c>
      <c r="AG61" s="81">
        <v>136.16616509577096</v>
      </c>
      <c r="AH61" s="82">
        <v>149.93193851138679</v>
      </c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40" t="s">
        <v>250</v>
      </c>
      <c r="BB61" s="81"/>
      <c r="BC61" s="43"/>
      <c r="BD61" s="44"/>
      <c r="BE61" s="44"/>
      <c r="BF61" s="44"/>
      <c r="BG61" s="44"/>
      <c r="BH61" s="44"/>
      <c r="BI61" s="44"/>
      <c r="BJ61" s="44"/>
      <c r="BK61" s="95"/>
      <c r="BL61" s="95"/>
      <c r="BM61" s="81">
        <v>3.8088797412717925</v>
      </c>
      <c r="BN61" s="81">
        <v>10.569165</v>
      </c>
      <c r="BO61" s="81">
        <v>7.5885309999999997</v>
      </c>
      <c r="BP61" s="81">
        <v>7</v>
      </c>
      <c r="BQ61" s="81">
        <v>4</v>
      </c>
      <c r="BR61" s="81">
        <v>5</v>
      </c>
      <c r="BS61" s="81">
        <v>5</v>
      </c>
      <c r="BT61" s="81">
        <v>9</v>
      </c>
      <c r="BU61" s="81">
        <v>8.8999999999999773</v>
      </c>
      <c r="BV61" s="81">
        <v>16.57</v>
      </c>
      <c r="BW61" s="81">
        <v>21.16</v>
      </c>
      <c r="BX61" s="81">
        <v>19.239999999999998</v>
      </c>
      <c r="BY61" s="81">
        <v>25.74</v>
      </c>
      <c r="BZ61" s="81">
        <v>46.6</v>
      </c>
      <c r="CA61" s="81">
        <v>24.295919786510808</v>
      </c>
      <c r="CB61" s="81">
        <v>41.443840268600191</v>
      </c>
      <c r="CC61" s="81">
        <v>45.017657234882996</v>
      </c>
      <c r="CD61" s="81">
        <v>49.215368567860494</v>
      </c>
      <c r="CE61" s="81">
        <v>53.810118676524638</v>
      </c>
      <c r="CF61" s="81">
        <v>59.026016435985071</v>
      </c>
      <c r="CG61" s="81">
        <v>64.883480445245652</v>
      </c>
      <c r="CH61" s="82">
        <v>71.442902087160803</v>
      </c>
      <c r="CJ61" s="442"/>
      <c r="CK61" s="443"/>
      <c r="CL61" s="443"/>
      <c r="CM61" s="443"/>
      <c r="CN61" s="443"/>
      <c r="CO61" s="443"/>
      <c r="CP61" s="443"/>
      <c r="CQ61" s="443"/>
      <c r="CR61" s="443"/>
      <c r="CS61" s="443"/>
      <c r="CT61" s="443"/>
      <c r="CU61" s="443"/>
      <c r="CV61" s="443"/>
      <c r="CW61" s="443"/>
      <c r="CX61" s="443"/>
      <c r="CY61" s="443"/>
      <c r="CZ61" s="443"/>
      <c r="DA61" s="444"/>
    </row>
    <row r="62" spans="1:105">
      <c r="A62" s="40" t="s">
        <v>130</v>
      </c>
      <c r="B62" s="81"/>
      <c r="C62" s="43"/>
      <c r="D62" s="44"/>
      <c r="E62" s="44"/>
      <c r="F62" s="44"/>
      <c r="G62" s="44"/>
      <c r="H62" s="44"/>
      <c r="I62" s="44"/>
      <c r="J62" s="44"/>
      <c r="K62" s="95"/>
      <c r="L62" s="81">
        <v>0</v>
      </c>
      <c r="M62" s="81">
        <v>0</v>
      </c>
      <c r="N62" s="81">
        <v>0</v>
      </c>
      <c r="O62" s="81">
        <v>0</v>
      </c>
      <c r="P62" s="81">
        <v>23</v>
      </c>
      <c r="Q62" s="81">
        <v>14.200000000000728</v>
      </c>
      <c r="R62" s="81">
        <v>15</v>
      </c>
      <c r="S62" s="81">
        <v>14</v>
      </c>
      <c r="T62" s="81">
        <v>19</v>
      </c>
      <c r="U62" s="81">
        <v>28</v>
      </c>
      <c r="V62" s="81">
        <v>33.630000000000003</v>
      </c>
      <c r="W62" s="81">
        <v>40.47</v>
      </c>
      <c r="X62" s="81">
        <v>63.44</v>
      </c>
      <c r="Y62" s="81">
        <v>94.73</v>
      </c>
      <c r="Z62" s="81">
        <v>114.52</v>
      </c>
      <c r="AA62" s="81">
        <v>104.72318328218778</v>
      </c>
      <c r="AB62" s="81">
        <v>128.56469381775423</v>
      </c>
      <c r="AC62" s="81">
        <v>175.91817726631544</v>
      </c>
      <c r="AD62" s="81">
        <v>201.95330950812732</v>
      </c>
      <c r="AE62" s="81">
        <v>250.24698871279398</v>
      </c>
      <c r="AF62" s="81">
        <v>312.43031419858676</v>
      </c>
      <c r="AG62" s="81">
        <v>378.05549697746676</v>
      </c>
      <c r="AH62" s="82">
        <v>465.54336938383693</v>
      </c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40" t="s">
        <v>130</v>
      </c>
      <c r="BB62" s="81"/>
      <c r="BC62" s="43"/>
      <c r="BD62" s="44"/>
      <c r="BE62" s="44"/>
      <c r="BF62" s="44"/>
      <c r="BG62" s="44"/>
      <c r="BH62" s="44"/>
      <c r="BI62" s="44"/>
      <c r="BJ62" s="44"/>
      <c r="BK62" s="95"/>
      <c r="BL62" s="95"/>
      <c r="BM62" s="95"/>
      <c r="BN62" s="95"/>
      <c r="BO62" s="95"/>
      <c r="BP62" s="81">
        <v>6</v>
      </c>
      <c r="BQ62" s="81">
        <v>3</v>
      </c>
      <c r="BR62" s="81">
        <v>4</v>
      </c>
      <c r="BS62" s="81">
        <v>2</v>
      </c>
      <c r="BT62" s="81">
        <v>4</v>
      </c>
      <c r="BU62" s="81">
        <v>5</v>
      </c>
      <c r="BV62" s="81">
        <v>6.16</v>
      </c>
      <c r="BW62" s="81">
        <v>7.21</v>
      </c>
      <c r="BX62" s="81">
        <v>11.36</v>
      </c>
      <c r="BY62" s="81">
        <v>16.77</v>
      </c>
      <c r="BZ62" s="81">
        <v>20.91</v>
      </c>
      <c r="CA62" s="81">
        <v>26.931590247019926</v>
      </c>
      <c r="CB62" s="81">
        <v>33.427597381399835</v>
      </c>
      <c r="CC62" s="81">
        <v>41.033710098320341</v>
      </c>
      <c r="CD62" s="81">
        <v>50.517266484521919</v>
      </c>
      <c r="CE62" s="81">
        <v>62.011525801300301</v>
      </c>
      <c r="CF62" s="81">
        <v>76.149588531159964</v>
      </c>
      <c r="CG62" s="81">
        <v>93.465100055038704</v>
      </c>
      <c r="CH62" s="82">
        <v>114.64163655905257</v>
      </c>
      <c r="CJ62" s="442"/>
      <c r="CK62" s="443"/>
      <c r="CL62" s="443"/>
      <c r="CM62" s="443"/>
      <c r="CN62" s="443"/>
      <c r="CO62" s="443"/>
      <c r="CP62" s="443"/>
      <c r="CQ62" s="443"/>
      <c r="CR62" s="443"/>
      <c r="CS62" s="443"/>
      <c r="CT62" s="443"/>
      <c r="CU62" s="443"/>
      <c r="CV62" s="443"/>
      <c r="CW62" s="443"/>
      <c r="CX62" s="443"/>
      <c r="CY62" s="443"/>
      <c r="CZ62" s="443"/>
      <c r="DA62" s="444"/>
    </row>
    <row r="63" spans="1:105">
      <c r="A63" s="83" t="s">
        <v>432</v>
      </c>
      <c r="B63" s="84"/>
      <c r="C63" s="85"/>
      <c r="D63" s="86"/>
      <c r="E63" s="86"/>
      <c r="F63" s="86"/>
      <c r="G63" s="86"/>
      <c r="H63" s="86"/>
      <c r="I63" s="86"/>
      <c r="J63" s="86"/>
      <c r="K63" s="616"/>
      <c r="L63" s="84">
        <f>SUM(L60:L62)</f>
        <v>0</v>
      </c>
      <c r="M63" s="84">
        <f t="shared" ref="M63:W63" si="200">SUM(M60:M62)</f>
        <v>5.7087712893541465</v>
      </c>
      <c r="N63" s="84">
        <f t="shared" si="200"/>
        <v>16.449715901694365</v>
      </c>
      <c r="O63" s="84">
        <f t="shared" si="200"/>
        <v>12.528500340209531</v>
      </c>
      <c r="P63" s="84">
        <f t="shared" si="200"/>
        <v>34</v>
      </c>
      <c r="Q63" s="84">
        <f t="shared" si="200"/>
        <v>40.100000000000591</v>
      </c>
      <c r="R63" s="84">
        <f t="shared" si="200"/>
        <v>51</v>
      </c>
      <c r="S63" s="84">
        <f t="shared" si="200"/>
        <v>63</v>
      </c>
      <c r="T63" s="84">
        <f t="shared" si="200"/>
        <v>92</v>
      </c>
      <c r="U63" s="84">
        <f t="shared" si="200"/>
        <v>136.27999999999997</v>
      </c>
      <c r="V63" s="84">
        <f t="shared" si="200"/>
        <v>169.01999999999998</v>
      </c>
      <c r="W63" s="84">
        <f t="shared" si="200"/>
        <v>199.04999999999998</v>
      </c>
      <c r="X63" s="84">
        <f t="shared" ref="X63:Z63" si="201">SUM(X60:X62)</f>
        <v>263.11</v>
      </c>
      <c r="Y63" s="84">
        <f t="shared" si="201"/>
        <v>353.77</v>
      </c>
      <c r="Z63" s="84">
        <f t="shared" si="201"/>
        <v>426.71</v>
      </c>
      <c r="AA63" s="84">
        <f t="shared" ref="AA63" si="202">SUM(AA60:AA62)</f>
        <v>394.54334671252366</v>
      </c>
      <c r="AB63" s="84">
        <f t="shared" ref="AB63:AC63" si="203">SUM(AB60:AB62)</f>
        <v>438.62037229035445</v>
      </c>
      <c r="AC63" s="84">
        <f t="shared" si="203"/>
        <v>516.86128157116889</v>
      </c>
      <c r="AD63" s="84">
        <f t="shared" ref="AD63:AE63" si="204">SUM(AD60:AD62)</f>
        <v>560.13057827996818</v>
      </c>
      <c r="AE63" s="84">
        <f t="shared" si="204"/>
        <v>635.45811134483347</v>
      </c>
      <c r="AF63" s="84">
        <f t="shared" ref="AF63:AG63" si="205">SUM(AF60:AF62)</f>
        <v>728.51789374426812</v>
      </c>
      <c r="AG63" s="84">
        <f t="shared" si="205"/>
        <v>824.6892337920815</v>
      </c>
      <c r="AH63" s="434">
        <f t="shared" ref="AH63" si="206">SUM(AH60:AH62)</f>
        <v>948.28168598398975</v>
      </c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3" t="s">
        <v>432</v>
      </c>
      <c r="BB63" s="84"/>
      <c r="BC63" s="85"/>
      <c r="BD63" s="86"/>
      <c r="BE63" s="86"/>
      <c r="BF63" s="86"/>
      <c r="BG63" s="86"/>
      <c r="BH63" s="86"/>
      <c r="BI63" s="86"/>
      <c r="BJ63" s="86"/>
      <c r="BK63" s="616"/>
      <c r="BL63" s="84">
        <f>SUM(BL60:BL62)</f>
        <v>0</v>
      </c>
      <c r="BM63" s="84">
        <f t="shared" ref="BM63" si="207">SUM(BM60:BM62)</f>
        <v>3.8088797412717925</v>
      </c>
      <c r="BN63" s="84">
        <f t="shared" ref="BN63" si="208">SUM(BN60:BN62)</f>
        <v>10.569165</v>
      </c>
      <c r="BO63" s="84">
        <f t="shared" ref="BO63" si="209">SUM(BO60:BO62)</f>
        <v>7.5885309999999997</v>
      </c>
      <c r="BP63" s="84">
        <f t="shared" ref="BP63" si="210">SUM(BP60:BP62)</f>
        <v>13</v>
      </c>
      <c r="BQ63" s="84">
        <f t="shared" ref="BQ63" si="211">SUM(BQ60:BQ62)</f>
        <v>12</v>
      </c>
      <c r="BR63" s="84">
        <f t="shared" ref="BR63" si="212">SUM(BR60:BR62)</f>
        <v>17</v>
      </c>
      <c r="BS63" s="84">
        <f t="shared" ref="BS63" si="213">SUM(BS60:BS62)</f>
        <v>18</v>
      </c>
      <c r="BT63" s="84">
        <f t="shared" ref="BT63" si="214">SUM(BT60:BT62)</f>
        <v>30</v>
      </c>
      <c r="BU63" s="84">
        <f t="shared" ref="BU63" si="215">SUM(BU60:BU62)</f>
        <v>37.899999999999977</v>
      </c>
      <c r="BV63" s="84">
        <f t="shared" ref="BV63" si="216">SUM(BV60:BV62)</f>
        <v>48.789999999999992</v>
      </c>
      <c r="BW63" s="84">
        <f t="shared" ref="BW63:CA63" si="217">SUM(BW60:BW62)</f>
        <v>58.11</v>
      </c>
      <c r="BX63" s="84">
        <f t="shared" si="217"/>
        <v>76.94</v>
      </c>
      <c r="BY63" s="84">
        <f t="shared" si="217"/>
        <v>96.47999999999999</v>
      </c>
      <c r="BZ63" s="84">
        <f t="shared" si="217"/>
        <v>120.78</v>
      </c>
      <c r="CA63" s="84">
        <f t="shared" si="217"/>
        <v>110.31177613261812</v>
      </c>
      <c r="CB63" s="84">
        <f t="shared" ref="CB63" si="218">SUM(CB60:CB62)</f>
        <v>139.17966462248495</v>
      </c>
      <c r="CC63" s="84">
        <f t="shared" ref="CC63:CD63" si="219">SUM(CC60:CC62)</f>
        <v>154.04980008042165</v>
      </c>
      <c r="CD63" s="84">
        <f t="shared" si="219"/>
        <v>171.51988137961996</v>
      </c>
      <c r="CE63" s="84">
        <f t="shared" ref="CE63:CF63" si="220">SUM(CE60:CE62)</f>
        <v>192.58774743529293</v>
      </c>
      <c r="CF63" s="84">
        <f t="shared" si="220"/>
        <v>216.94323380631619</v>
      </c>
      <c r="CG63" s="84">
        <f t="shared" ref="CG63:CH63" si="221">SUM(CG60:CG62)</f>
        <v>245.6305754426628</v>
      </c>
      <c r="CH63" s="434">
        <f t="shared" si="221"/>
        <v>279.59047950574762</v>
      </c>
      <c r="CJ63" s="442"/>
      <c r="CK63" s="443"/>
      <c r="CL63" s="443"/>
      <c r="CM63" s="443"/>
      <c r="CN63" s="443"/>
      <c r="CO63" s="443"/>
      <c r="CP63" s="443"/>
      <c r="CQ63" s="443"/>
      <c r="CR63" s="443"/>
      <c r="CS63" s="443"/>
      <c r="CT63" s="443"/>
      <c r="CU63" s="443"/>
      <c r="CV63" s="443"/>
      <c r="CW63" s="443"/>
      <c r="CX63" s="443"/>
      <c r="CY63" s="443"/>
      <c r="CZ63" s="443"/>
      <c r="DA63" s="444"/>
    </row>
    <row r="64" spans="1:105">
      <c r="A64" s="58" t="s">
        <v>389</v>
      </c>
      <c r="B64" s="87"/>
      <c r="C64" s="88"/>
      <c r="D64" s="89"/>
      <c r="E64" s="89"/>
      <c r="F64" s="89"/>
      <c r="G64" s="89"/>
      <c r="H64" s="89"/>
      <c r="I64" s="89"/>
      <c r="J64" s="89"/>
      <c r="K64" s="59">
        <f>K53+K59+K62+K61</f>
        <v>333.87955882127227</v>
      </c>
      <c r="L64" s="59">
        <f t="shared" ref="L64:V64" si="222">L53+L59+L63</f>
        <v>1415.229883</v>
      </c>
      <c r="M64" s="59">
        <f t="shared" si="222"/>
        <v>3690.6964872893536</v>
      </c>
      <c r="N64" s="59">
        <f t="shared" si="222"/>
        <v>4763.2808129016958</v>
      </c>
      <c r="O64" s="59">
        <f t="shared" si="222"/>
        <v>9809.8088443402103</v>
      </c>
      <c r="P64" s="59">
        <f t="shared" si="222"/>
        <v>15466.451742502535</v>
      </c>
      <c r="Q64" s="59">
        <f t="shared" si="222"/>
        <v>14767</v>
      </c>
      <c r="R64" s="59">
        <f t="shared" si="222"/>
        <v>14385</v>
      </c>
      <c r="S64" s="59">
        <f t="shared" si="222"/>
        <v>19444.200508468046</v>
      </c>
      <c r="T64" s="59">
        <f t="shared" si="222"/>
        <v>21331</v>
      </c>
      <c r="U64" s="59">
        <f t="shared" si="222"/>
        <v>26932.28</v>
      </c>
      <c r="V64" s="59">
        <f t="shared" si="222"/>
        <v>31439.02</v>
      </c>
      <c r="W64" s="59">
        <f>W53+W59+W63</f>
        <v>35555.831857783131</v>
      </c>
      <c r="X64" s="59">
        <f t="shared" ref="X64:Z64" si="223">X53+X59+X63</f>
        <v>50792.550829552703</v>
      </c>
      <c r="Y64" s="59">
        <f t="shared" si="223"/>
        <v>70185.68719480226</v>
      </c>
      <c r="Z64" s="59">
        <f t="shared" si="223"/>
        <v>76720.12635548407</v>
      </c>
      <c r="AA64" s="59">
        <f t="shared" ref="AA64:AF64" si="224">AA53+AA59+AA63</f>
        <v>88518.714278510233</v>
      </c>
      <c r="AB64" s="59">
        <f t="shared" si="224"/>
        <v>101834.46971695047</v>
      </c>
      <c r="AC64" s="59">
        <f t="shared" si="224"/>
        <v>114249.7252747974</v>
      </c>
      <c r="AD64" s="59">
        <f t="shared" si="224"/>
        <v>125948.41586595372</v>
      </c>
      <c r="AE64" s="59">
        <f t="shared" si="224"/>
        <v>137718.55321007059</v>
      </c>
      <c r="AF64" s="59">
        <f t="shared" si="224"/>
        <v>149884.98226810893</v>
      </c>
      <c r="AG64" s="59">
        <f t="shared" ref="AG64:AH64" si="225">AG53+AG59+AG63</f>
        <v>162289.12585210672</v>
      </c>
      <c r="AH64" s="60">
        <f t="shared" si="225"/>
        <v>174682.18731066724</v>
      </c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58" t="s">
        <v>388</v>
      </c>
      <c r="BB64" s="87"/>
      <c r="BC64" s="88"/>
      <c r="BD64" s="89"/>
      <c r="BE64" s="89"/>
      <c r="BF64" s="89"/>
      <c r="BG64" s="89"/>
      <c r="BH64" s="89"/>
      <c r="BI64" s="89"/>
      <c r="BJ64" s="89"/>
      <c r="BK64" s="59">
        <f>BK53+BK59+BK62+BK61</f>
        <v>72.78574382303735</v>
      </c>
      <c r="BL64" s="59">
        <f t="shared" ref="BL64:BW64" si="226">BL53+BL59+BL63</f>
        <v>207.77063668902628</v>
      </c>
      <c r="BM64" s="59">
        <f t="shared" si="226"/>
        <v>494.90134958016409</v>
      </c>
      <c r="BN64" s="59">
        <f t="shared" si="226"/>
        <v>672.928764</v>
      </c>
      <c r="BO64" s="59">
        <f t="shared" si="226"/>
        <v>725.46937700000001</v>
      </c>
      <c r="BP64" s="59">
        <f t="shared" si="226"/>
        <v>743.7541486572045</v>
      </c>
      <c r="BQ64" s="59">
        <f t="shared" si="226"/>
        <v>725.2</v>
      </c>
      <c r="BR64" s="59">
        <f t="shared" si="226"/>
        <v>728</v>
      </c>
      <c r="BS64" s="59">
        <f t="shared" si="226"/>
        <v>822</v>
      </c>
      <c r="BT64" s="59">
        <f t="shared" si="226"/>
        <v>1020</v>
      </c>
      <c r="BU64" s="59">
        <f t="shared" si="226"/>
        <v>1376.7800000000002</v>
      </c>
      <c r="BV64" s="59">
        <f t="shared" si="226"/>
        <v>1621.7199667099999</v>
      </c>
      <c r="BW64" s="59">
        <f t="shared" si="226"/>
        <v>1847.2121279607609</v>
      </c>
      <c r="BX64" s="59">
        <f t="shared" ref="BX64:CA64" si="227">BX53+BX59+BX63</f>
        <v>2671.2599962187082</v>
      </c>
      <c r="BY64" s="59">
        <f t="shared" si="227"/>
        <v>3717.4214585596251</v>
      </c>
      <c r="BZ64" s="59">
        <f t="shared" si="227"/>
        <v>3880.167578565</v>
      </c>
      <c r="CA64" s="59">
        <f t="shared" si="227"/>
        <v>4393.1533252636855</v>
      </c>
      <c r="CB64" s="59">
        <f t="shared" ref="CB64" si="228">CB53+CB59+CB63</f>
        <v>5037.398720794703</v>
      </c>
      <c r="CC64" s="59">
        <f t="shared" ref="CC64:CD64" si="229">CC53+CC59+CC63</f>
        <v>5643.6622017302434</v>
      </c>
      <c r="CD64" s="59">
        <f t="shared" si="229"/>
        <v>6307.1551572935441</v>
      </c>
      <c r="CE64" s="59">
        <f t="shared" ref="CE64:CF64" si="230">CE53+CE59+CE63</f>
        <v>6936.5750346252989</v>
      </c>
      <c r="CF64" s="59">
        <f t="shared" si="230"/>
        <v>7601.6510575080383</v>
      </c>
      <c r="CG64" s="59">
        <f t="shared" ref="CG64:CH64" si="231">CG53+CG59+CG63</f>
        <v>8297.2863280546298</v>
      </c>
      <c r="CH64" s="60">
        <f t="shared" si="231"/>
        <v>8918.7081152347127</v>
      </c>
      <c r="CJ64" s="442"/>
      <c r="CK64" s="443"/>
      <c r="CL64" s="443"/>
      <c r="CM64" s="443"/>
      <c r="CN64" s="443"/>
      <c r="CO64" s="443"/>
      <c r="CP64" s="443"/>
      <c r="CQ64" s="443"/>
      <c r="CR64" s="443"/>
      <c r="CS64" s="443"/>
      <c r="CT64" s="443"/>
      <c r="CU64" s="443"/>
      <c r="CV64" s="443"/>
      <c r="CW64" s="443"/>
      <c r="CX64" s="443"/>
      <c r="CY64" s="443"/>
      <c r="CZ64" s="443"/>
      <c r="DA64" s="444"/>
    </row>
    <row r="65" spans="1:121">
      <c r="A65" s="575" t="s">
        <v>199</v>
      </c>
      <c r="B65" s="570"/>
      <c r="C65" s="571"/>
      <c r="D65" s="572"/>
      <c r="E65" s="572"/>
      <c r="F65" s="572"/>
      <c r="G65" s="572"/>
      <c r="H65" s="572"/>
      <c r="I65" s="572"/>
      <c r="J65" s="572"/>
      <c r="K65" s="573">
        <f t="shared" ref="K65:W65" si="232">K64/K42</f>
        <v>7.3725254227763439E-3</v>
      </c>
      <c r="L65" s="573">
        <f t="shared" si="232"/>
        <v>2.7657814771650628E-2</v>
      </c>
      <c r="M65" s="573">
        <f t="shared" si="232"/>
        <v>6.5106428926353099E-2</v>
      </c>
      <c r="N65" s="573">
        <f t="shared" si="232"/>
        <v>7.4763244443929511E-2</v>
      </c>
      <c r="O65" s="573">
        <f t="shared" si="232"/>
        <v>0.11914252877034036</v>
      </c>
      <c r="P65" s="573">
        <f t="shared" si="232"/>
        <v>0.17064907747387592</v>
      </c>
      <c r="Q65" s="573">
        <f t="shared" si="232"/>
        <v>0.17048468990779297</v>
      </c>
      <c r="R65" s="573">
        <f t="shared" si="232"/>
        <v>0.1664049396082842</v>
      </c>
      <c r="S65" s="573">
        <f t="shared" si="232"/>
        <v>0.20997509101351683</v>
      </c>
      <c r="T65" s="573">
        <f t="shared" si="232"/>
        <v>0.21753399918767097</v>
      </c>
      <c r="U65" s="573">
        <f t="shared" si="232"/>
        <v>0.25990547057428587</v>
      </c>
      <c r="V65" s="573">
        <f t="shared" si="232"/>
        <v>0.2899083680448965</v>
      </c>
      <c r="W65" s="573">
        <f t="shared" si="232"/>
        <v>0.31815879603873143</v>
      </c>
      <c r="X65" s="573">
        <f t="shared" ref="X65:Z65" si="233">X64/X42</f>
        <v>0.54761774012703934</v>
      </c>
      <c r="Y65" s="573">
        <f t="shared" si="233"/>
        <v>0.60700865489173272</v>
      </c>
      <c r="Z65" s="573">
        <f t="shared" si="233"/>
        <v>0.54950701958647785</v>
      </c>
      <c r="AA65" s="573">
        <f t="shared" ref="AA65:AB65" si="234">AA64/AA42</f>
        <v>0.57736586775021337</v>
      </c>
      <c r="AB65" s="573">
        <f t="shared" si="234"/>
        <v>0.61004424550496839</v>
      </c>
      <c r="AC65" s="573">
        <f t="shared" ref="AC65" si="235">AC64/AC42</f>
        <v>0.636858660660654</v>
      </c>
      <c r="AD65" s="573">
        <f t="shared" ref="AD65:AE65" si="236">AD64/AD42</f>
        <v>0.65778450582444514</v>
      </c>
      <c r="AE65" s="573">
        <f t="shared" si="236"/>
        <v>0.67575717786751122</v>
      </c>
      <c r="AF65" s="573">
        <f t="shared" ref="AF65:AG65" si="237">AF64/AF42</f>
        <v>0.69115986101199955</v>
      </c>
      <c r="AG65" s="573">
        <f t="shared" si="237"/>
        <v>0.7043765174296599</v>
      </c>
      <c r="AH65" s="574">
        <f t="shared" ref="AH65" si="238">AH64/AH42</f>
        <v>0.71500635381638922</v>
      </c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575" t="s">
        <v>199</v>
      </c>
      <c r="BB65" s="570"/>
      <c r="BC65" s="571"/>
      <c r="BD65" s="572"/>
      <c r="BE65" s="572"/>
      <c r="BF65" s="572"/>
      <c r="BG65" s="572"/>
      <c r="BH65" s="572"/>
      <c r="BI65" s="572"/>
      <c r="BJ65" s="572"/>
      <c r="BK65" s="573">
        <f t="shared" ref="BK65:BW65" si="239">BK64/BK42</f>
        <v>5.2249553277910693E-3</v>
      </c>
      <c r="BL65" s="573">
        <f t="shared" si="239"/>
        <v>1.3521905319361732E-2</v>
      </c>
      <c r="BM65" s="573">
        <f t="shared" si="239"/>
        <v>2.9914578910918182E-2</v>
      </c>
      <c r="BN65" s="573">
        <f t="shared" si="239"/>
        <v>3.8282644901902876E-2</v>
      </c>
      <c r="BO65" s="573">
        <f t="shared" si="239"/>
        <v>3.8410736289455724E-2</v>
      </c>
      <c r="BP65" s="573">
        <f t="shared" si="239"/>
        <v>3.9886037774331522E-2</v>
      </c>
      <c r="BQ65" s="573">
        <f t="shared" si="239"/>
        <v>4.1449474165523553E-2</v>
      </c>
      <c r="BR65" s="573">
        <f t="shared" si="239"/>
        <v>4.2341267202133485E-2</v>
      </c>
      <c r="BS65" s="573">
        <f t="shared" si="239"/>
        <v>4.7235949890817149E-2</v>
      </c>
      <c r="BT65" s="573">
        <f t="shared" si="239"/>
        <v>5.2592761932304437E-2</v>
      </c>
      <c r="BU65" s="573">
        <f t="shared" si="239"/>
        <v>7.1420240793106798E-2</v>
      </c>
      <c r="BV65" s="573">
        <f t="shared" si="239"/>
        <v>8.4341366810512838E-2</v>
      </c>
      <c r="BW65" s="573">
        <f t="shared" si="239"/>
        <v>9.3885532781701503E-2</v>
      </c>
      <c r="BX65" s="573">
        <f t="shared" ref="BX65:CA65" si="240">BX64/BX42</f>
        <v>0.20367805844240389</v>
      </c>
      <c r="BY65" s="573">
        <f t="shared" si="240"/>
        <v>0.2389335412046045</v>
      </c>
      <c r="BZ65" s="573">
        <f t="shared" si="240"/>
        <v>0.18962846568535754</v>
      </c>
      <c r="CA65" s="573">
        <f t="shared" si="240"/>
        <v>0.21124788349852053</v>
      </c>
      <c r="CB65" s="573">
        <f t="shared" ref="CB65" si="241">CB64/CB42</f>
        <v>0.23274553610820467</v>
      </c>
      <c r="CC65" s="573">
        <f t="shared" ref="CC65:CD65" si="242">CC64/CC42</f>
        <v>0.25518145983458862</v>
      </c>
      <c r="CD65" s="573">
        <f t="shared" si="242"/>
        <v>0.27842133648319711</v>
      </c>
      <c r="CE65" s="573">
        <f t="shared" ref="CE65:CF65" si="243">CE64/CE42</f>
        <v>0.2976838540229334</v>
      </c>
      <c r="CF65" s="573">
        <f t="shared" si="243"/>
        <v>0.31587934259418959</v>
      </c>
      <c r="CG65" s="573">
        <f t="shared" ref="CG65:CH65" si="244">CG64/CG42</f>
        <v>0.3329350527043764</v>
      </c>
      <c r="CH65" s="574">
        <f t="shared" si="244"/>
        <v>0.34490804258618235</v>
      </c>
      <c r="CJ65" s="442"/>
      <c r="CK65" s="443"/>
      <c r="CL65" s="443"/>
      <c r="CM65" s="443"/>
      <c r="CN65" s="443"/>
      <c r="CO65" s="443"/>
      <c r="CP65" s="443"/>
      <c r="CQ65" s="443"/>
      <c r="CR65" s="443"/>
      <c r="CS65" s="443"/>
      <c r="CT65" s="443"/>
      <c r="CU65" s="443"/>
      <c r="CV65" s="443"/>
      <c r="CW65" s="443"/>
      <c r="CX65" s="443"/>
      <c r="CY65" s="443"/>
      <c r="CZ65" s="443"/>
      <c r="DA65" s="444"/>
    </row>
    <row r="66" spans="1:121">
      <c r="A66" s="575"/>
      <c r="B66" s="570"/>
      <c r="C66" s="571"/>
      <c r="D66" s="572"/>
      <c r="E66" s="572"/>
      <c r="F66" s="572"/>
      <c r="G66" s="572"/>
      <c r="H66" s="572"/>
      <c r="I66" s="572"/>
      <c r="J66" s="572"/>
      <c r="K66" s="573"/>
      <c r="L66" s="573"/>
      <c r="M66" s="573"/>
      <c r="N66" s="573"/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73"/>
      <c r="AH66" s="574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575"/>
      <c r="BB66" s="570"/>
      <c r="BC66" s="571"/>
      <c r="BD66" s="572"/>
      <c r="BE66" s="572"/>
      <c r="BF66" s="572"/>
      <c r="BG66" s="572"/>
      <c r="BH66" s="572"/>
      <c r="BI66" s="572"/>
      <c r="BJ66" s="572"/>
      <c r="BK66" s="573"/>
      <c r="BL66" s="573"/>
      <c r="BM66" s="573"/>
      <c r="BN66" s="573"/>
      <c r="BO66" s="573"/>
      <c r="BP66" s="573"/>
      <c r="BQ66" s="573"/>
      <c r="BR66" s="573"/>
      <c r="BS66" s="573"/>
      <c r="BT66" s="81"/>
      <c r="BU66" s="573"/>
      <c r="BV66" s="573"/>
      <c r="BW66" s="573"/>
      <c r="BX66" s="573"/>
      <c r="BY66" s="573"/>
      <c r="BZ66" s="573"/>
      <c r="CA66" s="573"/>
      <c r="CB66" s="573"/>
      <c r="CC66" s="573"/>
      <c r="CD66" s="573"/>
      <c r="CE66" s="573"/>
      <c r="CF66" s="573"/>
      <c r="CG66" s="573"/>
      <c r="CH66" s="574"/>
      <c r="CJ66" s="442"/>
      <c r="CK66" s="443"/>
      <c r="CL66" s="443"/>
      <c r="CM66" s="443"/>
      <c r="CN66" s="443"/>
      <c r="CO66" s="443"/>
      <c r="CP66" s="443"/>
      <c r="CQ66" s="443"/>
      <c r="CR66" s="443"/>
      <c r="CS66" s="443"/>
      <c r="CT66" s="443"/>
      <c r="CU66" s="443"/>
      <c r="CV66" s="443"/>
      <c r="CW66" s="443"/>
      <c r="CX66" s="443"/>
      <c r="CY66" s="443"/>
      <c r="CZ66" s="443"/>
      <c r="DA66" s="444"/>
    </row>
    <row r="67" spans="1:121">
      <c r="A67" s="40" t="s">
        <v>877</v>
      </c>
      <c r="B67" s="44"/>
      <c r="C67" s="44"/>
      <c r="D67" s="44"/>
      <c r="E67" s="44"/>
      <c r="F67" s="44"/>
      <c r="G67" s="45"/>
      <c r="H67" s="45"/>
      <c r="I67" s="45"/>
      <c r="J67" s="45"/>
      <c r="K67" s="41"/>
      <c r="L67" s="41"/>
      <c r="M67" s="41"/>
      <c r="N67" s="41"/>
      <c r="O67" s="41"/>
      <c r="P67" s="41"/>
      <c r="Q67" s="41">
        <f>1504+3822+331</f>
        <v>5657</v>
      </c>
      <c r="R67" s="41">
        <f>2233+3584</f>
        <v>5817</v>
      </c>
      <c r="S67" s="41">
        <f>3461+226</f>
        <v>3687</v>
      </c>
      <c r="T67" s="41">
        <f>3160+237</f>
        <v>3397</v>
      </c>
      <c r="U67" s="41">
        <f>666+3213</f>
        <v>3879</v>
      </c>
      <c r="V67" s="41">
        <f>2959+609</f>
        <v>3568</v>
      </c>
      <c r="W67" s="41">
        <v>3634</v>
      </c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2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40" t="s">
        <v>421</v>
      </c>
      <c r="BB67" s="41"/>
      <c r="BC67" s="41">
        <v>4</v>
      </c>
      <c r="BD67" s="41">
        <v>4</v>
      </c>
      <c r="BE67" s="41">
        <v>4</v>
      </c>
      <c r="BF67" s="41">
        <v>4</v>
      </c>
      <c r="BG67" s="41">
        <v>4</v>
      </c>
      <c r="BH67" s="41">
        <v>4</v>
      </c>
      <c r="BI67" s="41">
        <v>4</v>
      </c>
      <c r="BJ67" s="41">
        <v>4</v>
      </c>
      <c r="BK67" s="41">
        <v>4</v>
      </c>
      <c r="BL67" s="41">
        <v>4</v>
      </c>
      <c r="BM67" s="41">
        <v>4</v>
      </c>
      <c r="BN67" s="41">
        <v>4</v>
      </c>
      <c r="BO67" s="41">
        <v>4</v>
      </c>
      <c r="BP67" s="41">
        <v>4</v>
      </c>
      <c r="BQ67" s="41">
        <v>4</v>
      </c>
      <c r="BR67" s="41">
        <v>4</v>
      </c>
      <c r="BS67" s="41">
        <v>4</v>
      </c>
      <c r="BT67" s="41">
        <v>4</v>
      </c>
      <c r="BU67" s="41">
        <v>4</v>
      </c>
      <c r="BV67" s="41">
        <v>4</v>
      </c>
      <c r="BW67" s="41">
        <v>3</v>
      </c>
      <c r="BX67" s="41">
        <f>BW67</f>
        <v>3</v>
      </c>
      <c r="BY67" s="41">
        <f t="shared" ref="BY67:CB67" si="245">BX67</f>
        <v>3</v>
      </c>
      <c r="BZ67" s="41">
        <f t="shared" si="245"/>
        <v>3</v>
      </c>
      <c r="CA67" s="41">
        <f t="shared" si="245"/>
        <v>3</v>
      </c>
      <c r="CB67" s="41">
        <f t="shared" si="245"/>
        <v>3</v>
      </c>
      <c r="CC67" s="41">
        <f t="shared" ref="CC67:CH67" si="246">CB67</f>
        <v>3</v>
      </c>
      <c r="CD67" s="41">
        <f t="shared" si="246"/>
        <v>3</v>
      </c>
      <c r="CE67" s="41">
        <f t="shared" si="246"/>
        <v>3</v>
      </c>
      <c r="CF67" s="41">
        <f t="shared" si="246"/>
        <v>3</v>
      </c>
      <c r="CG67" s="41">
        <f t="shared" si="246"/>
        <v>3</v>
      </c>
      <c r="CH67" s="42">
        <f t="shared" si="246"/>
        <v>3</v>
      </c>
      <c r="CJ67" s="442"/>
      <c r="CK67" s="443"/>
      <c r="CL67" s="443"/>
      <c r="CM67" s="443"/>
      <c r="CN67" s="443"/>
      <c r="CO67" s="443"/>
      <c r="CP67" s="443"/>
      <c r="CQ67" s="443"/>
      <c r="CR67" s="443"/>
      <c r="CS67" s="443"/>
      <c r="CT67" s="443"/>
      <c r="CU67" s="443"/>
      <c r="CV67" s="443"/>
      <c r="CW67" s="443"/>
      <c r="CX67" s="443"/>
      <c r="CY67" s="443"/>
      <c r="CZ67" s="443"/>
      <c r="DA67" s="444"/>
    </row>
    <row r="68" spans="1:121">
      <c r="A68" s="40" t="s">
        <v>406</v>
      </c>
      <c r="B68" s="44"/>
      <c r="C68" s="44"/>
      <c r="D68" s="44"/>
      <c r="E68" s="44"/>
      <c r="F68" s="44"/>
      <c r="G68" s="45"/>
      <c r="H68" s="45"/>
      <c r="I68" s="45"/>
      <c r="J68" s="45"/>
      <c r="K68" s="41"/>
      <c r="L68" s="41"/>
      <c r="M68" s="41"/>
      <c r="N68" s="41"/>
      <c r="O68" s="41"/>
      <c r="P68" s="41"/>
      <c r="Q68" s="41">
        <f>1468+4790+801</f>
        <v>7059</v>
      </c>
      <c r="R68" s="41">
        <f>1421+4572</f>
        <v>5993</v>
      </c>
      <c r="S68" s="41">
        <f>4609+1326</f>
        <v>5935</v>
      </c>
      <c r="T68" s="41">
        <f>4431+1333</f>
        <v>5764</v>
      </c>
      <c r="U68" s="41">
        <f>2482+3204</f>
        <v>5686</v>
      </c>
      <c r="V68" s="41">
        <f>3127+2453</f>
        <v>5580</v>
      </c>
      <c r="W68" s="41">
        <v>5412</v>
      </c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2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40" t="s">
        <v>437</v>
      </c>
      <c r="BB68" s="41"/>
      <c r="BC68" s="45">
        <f t="shared" ref="BC68:BZ68" si="247">BC26/BC67</f>
        <v>110.87719381241752</v>
      </c>
      <c r="BD68" s="45">
        <f t="shared" si="247"/>
        <v>113.87087804535278</v>
      </c>
      <c r="BE68" s="45">
        <f t="shared" si="247"/>
        <v>116.94539175257729</v>
      </c>
      <c r="BF68" s="45">
        <f t="shared" si="247"/>
        <v>133</v>
      </c>
      <c r="BG68" s="45">
        <f t="shared" si="247"/>
        <v>133</v>
      </c>
      <c r="BH68" s="45">
        <f t="shared" si="247"/>
        <v>141.215</v>
      </c>
      <c r="BI68" s="45">
        <f t="shared" si="247"/>
        <v>121.88274999999999</v>
      </c>
      <c r="BJ68" s="45">
        <f t="shared" si="247"/>
        <v>137.06099999999998</v>
      </c>
      <c r="BK68" s="45">
        <f t="shared" si="247"/>
        <v>137.91374999999999</v>
      </c>
      <c r="BL68" s="45">
        <f t="shared" si="247"/>
        <v>132.399</v>
      </c>
      <c r="BM68" s="45">
        <f t="shared" si="247"/>
        <v>121.49499999999999</v>
      </c>
      <c r="BN68" s="45">
        <f t="shared" si="247"/>
        <v>116.67075</v>
      </c>
      <c r="BO68" s="45">
        <f t="shared" si="247"/>
        <v>105.066</v>
      </c>
      <c r="BP68" s="45">
        <f t="shared" si="247"/>
        <v>85.99499999999999</v>
      </c>
      <c r="BQ68" s="45">
        <f t="shared" si="247"/>
        <v>77.25</v>
      </c>
      <c r="BR68" s="45">
        <f t="shared" si="247"/>
        <v>76.407015811502092</v>
      </c>
      <c r="BS68" s="45">
        <f t="shared" si="247"/>
        <v>74.5</v>
      </c>
      <c r="BT68" s="45">
        <f t="shared" si="247"/>
        <v>72.575937659008986</v>
      </c>
      <c r="BU68" s="45">
        <f t="shared" si="247"/>
        <v>72.042068715909011</v>
      </c>
      <c r="BV68" s="45">
        <f t="shared" si="247"/>
        <v>60.93883975</v>
      </c>
      <c r="BW68" s="45">
        <f t="shared" si="247"/>
        <v>65.987299293999996</v>
      </c>
      <c r="BX68" s="45">
        <f t="shared" si="247"/>
        <v>31.604026333333334</v>
      </c>
      <c r="BY68" s="45">
        <f t="shared" si="247"/>
        <v>19.943000000000001</v>
      </c>
      <c r="BZ68" s="45">
        <f t="shared" si="247"/>
        <v>43.862000000000002</v>
      </c>
      <c r="CA68" s="45">
        <f t="shared" ref="CA68:CB68" si="248">CA26/CA67</f>
        <v>43.337184260283976</v>
      </c>
      <c r="CB68" s="45">
        <f t="shared" si="248"/>
        <v>42.451407034262353</v>
      </c>
      <c r="CC68" s="45">
        <f t="shared" ref="CC68:CD68" si="249">CC26/CC67</f>
        <v>41.604526925422149</v>
      </c>
      <c r="CD68" s="45">
        <f t="shared" si="249"/>
        <v>40.905667884383355</v>
      </c>
      <c r="CE68" s="45">
        <f t="shared" ref="CE68:CF68" si="250">CE26/CE67</f>
        <v>40.231919032512394</v>
      </c>
      <c r="CF68" s="45">
        <f t="shared" si="250"/>
        <v>39.660653465578768</v>
      </c>
      <c r="CG68" s="45">
        <f t="shared" ref="CG68:CH68" si="251">CG26/CG67</f>
        <v>39.157619591876077</v>
      </c>
      <c r="CH68" s="46">
        <f t="shared" si="251"/>
        <v>38.710632685989339</v>
      </c>
      <c r="CJ68" s="442"/>
      <c r="CK68" s="443"/>
      <c r="CL68" s="443"/>
      <c r="CM68" s="443"/>
      <c r="CN68" s="443"/>
      <c r="CO68" s="443"/>
      <c r="CP68" s="443"/>
      <c r="CQ68" s="443"/>
      <c r="CR68" s="443"/>
      <c r="CS68" s="443"/>
      <c r="CT68" s="443"/>
      <c r="CU68" s="443"/>
      <c r="CV68" s="443"/>
      <c r="CW68" s="443"/>
      <c r="CX68" s="443"/>
      <c r="CY68" s="443"/>
      <c r="CZ68" s="443"/>
      <c r="DA68" s="444"/>
    </row>
    <row r="69" spans="1:121">
      <c r="A69" s="55" t="s">
        <v>407</v>
      </c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96">
        <f t="shared" ref="Q69:W69" si="252">SUM(Q67:Q68)</f>
        <v>12716</v>
      </c>
      <c r="R69" s="596">
        <f t="shared" si="252"/>
        <v>11810</v>
      </c>
      <c r="S69" s="596">
        <f t="shared" si="252"/>
        <v>9622</v>
      </c>
      <c r="T69" s="596">
        <f t="shared" si="252"/>
        <v>9161</v>
      </c>
      <c r="U69" s="596">
        <f t="shared" si="252"/>
        <v>9565</v>
      </c>
      <c r="V69" s="596">
        <f t="shared" si="252"/>
        <v>9148</v>
      </c>
      <c r="W69" s="596">
        <f t="shared" si="252"/>
        <v>9046</v>
      </c>
      <c r="X69" s="596"/>
      <c r="Y69" s="596"/>
      <c r="Z69" s="596"/>
      <c r="AA69" s="596"/>
      <c r="AB69" s="596"/>
      <c r="AC69" s="596"/>
      <c r="AD69" s="596"/>
      <c r="AE69" s="596"/>
      <c r="AF69" s="596"/>
      <c r="AG69" s="596"/>
      <c r="AH69" s="597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40" t="s">
        <v>496</v>
      </c>
      <c r="BB69" s="41"/>
      <c r="BC69" s="43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>
        <v>149.57747999999998</v>
      </c>
      <c r="BP69" s="41">
        <v>127.84399999999999</v>
      </c>
      <c r="BQ69" s="41">
        <v>124</v>
      </c>
      <c r="BR69" s="41">
        <v>119</v>
      </c>
      <c r="BS69" s="41">
        <v>113</v>
      </c>
      <c r="BT69" s="41">
        <f>'New Summary Monthly'!B232</f>
        <v>106.41148090754507</v>
      </c>
      <c r="BU69" s="41">
        <f>'New Summary Monthly'!C232</f>
        <v>105.10254572344506</v>
      </c>
      <c r="BV69" s="41">
        <f>'New Summary Monthly'!D232</f>
        <v>88.274132999999992</v>
      </c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2"/>
      <c r="CJ69" s="442"/>
      <c r="CK69" s="443"/>
      <c r="CL69" s="443"/>
      <c r="CM69" s="443"/>
      <c r="CN69" s="443"/>
      <c r="CO69" s="443"/>
      <c r="CP69" s="443"/>
      <c r="CQ69" s="443"/>
      <c r="CR69" s="443"/>
      <c r="CS69" s="443"/>
      <c r="CT69" s="443"/>
      <c r="CU69" s="443"/>
      <c r="CV69" s="443"/>
      <c r="CW69" s="443"/>
      <c r="CX69" s="443"/>
      <c r="CY69" s="443"/>
      <c r="CZ69" s="443"/>
      <c r="DA69" s="444"/>
    </row>
    <row r="70" spans="1:121">
      <c r="A70" s="54"/>
      <c r="B70" s="598"/>
      <c r="C70" s="598"/>
      <c r="D70" s="598"/>
      <c r="E70" s="598"/>
      <c r="F70" s="598"/>
      <c r="G70" s="598"/>
      <c r="H70" s="598"/>
      <c r="I70" s="598"/>
      <c r="J70" s="598"/>
      <c r="K70" s="598"/>
      <c r="L70" s="598"/>
      <c r="M70" s="598"/>
      <c r="N70" s="598"/>
      <c r="O70" s="598"/>
      <c r="P70" s="598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2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40" t="s">
        <v>867</v>
      </c>
      <c r="BB70" s="41"/>
      <c r="BC70" s="43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>
        <v>270.68652000000003</v>
      </c>
      <c r="BP70" s="41">
        <v>216.13599999999997</v>
      </c>
      <c r="BQ70" s="41">
        <v>185</v>
      </c>
      <c r="BR70" s="41">
        <v>187</v>
      </c>
      <c r="BS70" s="41">
        <v>185</v>
      </c>
      <c r="BT70" s="41">
        <f>'New Summary Monthly'!B226</f>
        <v>183.89226972849093</v>
      </c>
      <c r="BU70" s="41">
        <f>'New Summary Monthly'!C226</f>
        <v>183.06572914019094</v>
      </c>
      <c r="BV70" s="41">
        <f>'New Summary Monthly'!D226</f>
        <v>155.48122599999999</v>
      </c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2"/>
      <c r="CJ70" s="442"/>
      <c r="CK70" s="443"/>
      <c r="CL70" s="443"/>
      <c r="CM70" s="443"/>
      <c r="CN70" s="443"/>
      <c r="CO70" s="443"/>
      <c r="CP70" s="443"/>
      <c r="CQ70" s="443"/>
      <c r="CR70" s="443"/>
      <c r="CS70" s="443"/>
      <c r="CT70" s="443"/>
      <c r="CU70" s="443"/>
      <c r="CV70" s="443"/>
      <c r="CW70" s="443"/>
      <c r="CX70" s="443"/>
      <c r="CY70" s="443"/>
      <c r="CZ70" s="443"/>
      <c r="DA70" s="444"/>
    </row>
    <row r="71" spans="1:121">
      <c r="A71" s="40" t="s">
        <v>870</v>
      </c>
      <c r="B71" s="44"/>
      <c r="C71" s="44"/>
      <c r="D71" s="44"/>
      <c r="E71" s="44"/>
      <c r="F71" s="44"/>
      <c r="G71" s="45"/>
      <c r="H71" s="45"/>
      <c r="I71" s="45"/>
      <c r="J71" s="45"/>
      <c r="K71" s="41"/>
      <c r="L71" s="41"/>
      <c r="M71" s="41"/>
      <c r="N71" s="41"/>
      <c r="O71" s="41"/>
      <c r="P71" s="41"/>
      <c r="Q71" s="41">
        <f t="shared" ref="Q71:W72" si="253">(BQ20-BQ49)/Q67*1000</f>
        <v>39.95050380060102</v>
      </c>
      <c r="R71" s="41">
        <f t="shared" si="253"/>
        <v>31.631425133230188</v>
      </c>
      <c r="S71" s="41">
        <f t="shared" si="253"/>
        <v>45.023053973420126</v>
      </c>
      <c r="T71" s="41">
        <f t="shared" si="253"/>
        <v>45.628495731527813</v>
      </c>
      <c r="U71" s="41">
        <f t="shared" si="253"/>
        <v>34.80278422273782</v>
      </c>
      <c r="V71" s="41">
        <f t="shared" si="253"/>
        <v>34.192825112107627</v>
      </c>
      <c r="W71" s="41">
        <f t="shared" si="253"/>
        <v>29.444138690148595</v>
      </c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2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40" t="s">
        <v>264</v>
      </c>
      <c r="BB71" s="41"/>
      <c r="BC71" s="43"/>
      <c r="BD71" s="41"/>
      <c r="BE71" s="41">
        <v>187</v>
      </c>
      <c r="BF71" s="41">
        <v>187</v>
      </c>
      <c r="BG71" s="41">
        <v>187</v>
      </c>
      <c r="BH71" s="41">
        <v>187</v>
      </c>
      <c r="BI71" s="41">
        <v>187</v>
      </c>
      <c r="BJ71" s="41">
        <v>187</v>
      </c>
      <c r="BK71" s="41">
        <v>187</v>
      </c>
      <c r="BL71" s="41">
        <v>188</v>
      </c>
      <c r="BM71" s="41">
        <v>188</v>
      </c>
      <c r="BN71" s="41">
        <v>188</v>
      </c>
      <c r="BO71" s="41">
        <v>188</v>
      </c>
      <c r="BP71" s="41">
        <v>188</v>
      </c>
      <c r="BQ71" s="41">
        <v>188</v>
      </c>
      <c r="BR71" s="41">
        <v>188</v>
      </c>
      <c r="BS71" s="41">
        <v>188</v>
      </c>
      <c r="BT71" s="41">
        <v>188</v>
      </c>
      <c r="BU71" s="41">
        <v>188</v>
      </c>
      <c r="BV71" s="41">
        <v>148</v>
      </c>
      <c r="BW71" s="41">
        <v>108</v>
      </c>
      <c r="BX71" s="41">
        <v>108</v>
      </c>
      <c r="BY71" s="41">
        <v>108</v>
      </c>
      <c r="BZ71" s="41">
        <v>108</v>
      </c>
      <c r="CA71" s="41">
        <v>108</v>
      </c>
      <c r="CB71" s="41">
        <v>108</v>
      </c>
      <c r="CC71" s="41">
        <v>108</v>
      </c>
      <c r="CD71" s="41">
        <v>108</v>
      </c>
      <c r="CE71" s="41">
        <v>108</v>
      </c>
      <c r="CF71" s="41">
        <v>108</v>
      </c>
      <c r="CG71" s="41">
        <v>108</v>
      </c>
      <c r="CH71" s="42">
        <v>108</v>
      </c>
      <c r="CJ71" s="442"/>
      <c r="CK71" s="443"/>
      <c r="CL71" s="443"/>
      <c r="CM71" s="443"/>
      <c r="CN71" s="443"/>
      <c r="CO71" s="443"/>
      <c r="CP71" s="443"/>
      <c r="CQ71" s="443"/>
      <c r="CR71" s="443"/>
      <c r="CS71" s="443"/>
      <c r="CT71" s="443"/>
      <c r="CU71" s="443"/>
      <c r="CV71" s="443"/>
      <c r="CW71" s="443"/>
      <c r="CX71" s="443"/>
      <c r="CY71" s="443"/>
      <c r="CZ71" s="443"/>
      <c r="DA71" s="444"/>
    </row>
    <row r="72" spans="1:121">
      <c r="A72" s="40" t="s">
        <v>871</v>
      </c>
      <c r="B72" s="44"/>
      <c r="C72" s="44"/>
      <c r="D72" s="44"/>
      <c r="E72" s="44"/>
      <c r="F72" s="44"/>
      <c r="G72" s="45"/>
      <c r="H72" s="45"/>
      <c r="I72" s="45"/>
      <c r="J72" s="45"/>
      <c r="K72" s="41"/>
      <c r="L72" s="41"/>
      <c r="M72" s="41"/>
      <c r="N72" s="41"/>
      <c r="O72" s="41"/>
      <c r="P72" s="41"/>
      <c r="Q72" s="41">
        <f t="shared" si="253"/>
        <v>83.581243802238276</v>
      </c>
      <c r="R72" s="41">
        <f t="shared" si="253"/>
        <v>100.11680293675956</v>
      </c>
      <c r="S72" s="41">
        <f t="shared" si="253"/>
        <v>87.27885425442291</v>
      </c>
      <c r="T72" s="41">
        <f t="shared" si="253"/>
        <v>102.01249132546843</v>
      </c>
      <c r="U72" s="41">
        <f t="shared" si="253"/>
        <v>138.93774182201898</v>
      </c>
      <c r="V72" s="41">
        <f t="shared" si="253"/>
        <v>152.0034566487455</v>
      </c>
      <c r="W72" s="41">
        <f t="shared" si="253"/>
        <v>161.12342941611234</v>
      </c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2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40" t="s">
        <v>239</v>
      </c>
      <c r="BB72" s="41"/>
      <c r="BC72" s="43"/>
      <c r="BD72" s="41"/>
      <c r="BE72" s="41">
        <v>1535</v>
      </c>
      <c r="BF72" s="41">
        <v>1538</v>
      </c>
      <c r="BG72" s="41">
        <v>1540</v>
      </c>
      <c r="BH72" s="41">
        <v>1544</v>
      </c>
      <c r="BI72" s="41">
        <v>1548</v>
      </c>
      <c r="BJ72" s="41">
        <v>1552</v>
      </c>
      <c r="BK72" s="41">
        <v>1556</v>
      </c>
      <c r="BL72" s="41">
        <v>1558</v>
      </c>
      <c r="BM72" s="41">
        <v>1561</v>
      </c>
      <c r="BN72" s="41">
        <v>1563</v>
      </c>
      <c r="BO72" s="41">
        <v>1565</v>
      </c>
      <c r="BP72" s="41">
        <v>1566</v>
      </c>
      <c r="BQ72" s="41">
        <v>1566</v>
      </c>
      <c r="BR72" s="41">
        <v>1566</v>
      </c>
      <c r="BS72" s="41">
        <v>1566</v>
      </c>
      <c r="BT72" s="41">
        <v>1566</v>
      </c>
      <c r="BU72" s="41">
        <v>1566</v>
      </c>
      <c r="BV72" s="41">
        <v>1525</v>
      </c>
      <c r="BW72" s="41">
        <v>1483</v>
      </c>
      <c r="BX72" s="41">
        <v>1483</v>
      </c>
      <c r="BY72" s="41">
        <v>1483</v>
      </c>
      <c r="BZ72" s="41">
        <v>1483</v>
      </c>
      <c r="CA72" s="41">
        <v>1483</v>
      </c>
      <c r="CB72" s="41">
        <v>1483</v>
      </c>
      <c r="CC72" s="41">
        <v>1483</v>
      </c>
      <c r="CD72" s="41">
        <v>1483</v>
      </c>
      <c r="CE72" s="41">
        <v>1483</v>
      </c>
      <c r="CF72" s="41">
        <v>1483</v>
      </c>
      <c r="CG72" s="41">
        <v>1483</v>
      </c>
      <c r="CH72" s="42">
        <v>1483</v>
      </c>
      <c r="CJ72" s="442"/>
      <c r="CK72" s="443"/>
      <c r="CL72" s="443"/>
      <c r="CM72" s="443"/>
      <c r="CN72" s="443"/>
      <c r="CO72" s="443"/>
      <c r="CP72" s="443"/>
      <c r="CQ72" s="443"/>
      <c r="CR72" s="443"/>
      <c r="CS72" s="443"/>
      <c r="CT72" s="443"/>
      <c r="CU72" s="443"/>
      <c r="CV72" s="443"/>
      <c r="CW72" s="443"/>
      <c r="CX72" s="443"/>
      <c r="CY72" s="443"/>
      <c r="CZ72" s="443"/>
      <c r="DA72" s="444"/>
    </row>
    <row r="73" spans="1:121">
      <c r="A73" s="55" t="s">
        <v>411</v>
      </c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96">
        <f t="shared" ref="Q73:W73" si="254">(BQ20+BQ21-BQ53)/Q69*1000</f>
        <v>64.15539477823215</v>
      </c>
      <c r="R73" s="596">
        <f t="shared" si="254"/>
        <v>65.368331922099912</v>
      </c>
      <c r="S73" s="596">
        <f t="shared" si="254"/>
        <v>69.83995011432134</v>
      </c>
      <c r="T73" s="596">
        <f t="shared" si="254"/>
        <v>79.467307062547761</v>
      </c>
      <c r="U73" s="596">
        <f t="shared" si="254"/>
        <v>94.929430214323048</v>
      </c>
      <c r="V73" s="596">
        <f t="shared" si="254"/>
        <v>102.99292611499781</v>
      </c>
      <c r="W73" s="596">
        <f t="shared" si="254"/>
        <v>103.94096973247845</v>
      </c>
      <c r="X73" s="596"/>
      <c r="Y73" s="596"/>
      <c r="Z73" s="596"/>
      <c r="AA73" s="596"/>
      <c r="AB73" s="596"/>
      <c r="AC73" s="596"/>
      <c r="AD73" s="596"/>
      <c r="AE73" s="596"/>
      <c r="AF73" s="596"/>
      <c r="AG73" s="596"/>
      <c r="AH73" s="597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40" t="s">
        <v>423</v>
      </c>
      <c r="BB73" s="41"/>
      <c r="BC73" s="43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>
        <f>BO69/BO71*1000</f>
        <v>795.62489361702114</v>
      </c>
      <c r="BP73" s="41">
        <f t="shared" ref="BP73:BQ74" si="255">BP69/BP71*1000</f>
        <v>680.02127659574467</v>
      </c>
      <c r="BQ73" s="41">
        <f t="shared" si="255"/>
        <v>659.57446808510633</v>
      </c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2"/>
      <c r="CJ73" s="442"/>
      <c r="CK73" s="443"/>
      <c r="CL73" s="443"/>
      <c r="CM73" s="443"/>
      <c r="CN73" s="443"/>
      <c r="CO73" s="443"/>
      <c r="CP73" s="443"/>
      <c r="CQ73" s="443"/>
      <c r="CR73" s="443"/>
      <c r="CS73" s="443"/>
      <c r="CT73" s="443"/>
      <c r="CU73" s="443"/>
      <c r="CV73" s="443"/>
      <c r="CW73" s="443"/>
      <c r="CX73" s="443"/>
      <c r="CY73" s="443"/>
      <c r="CZ73" s="443"/>
      <c r="DA73" s="444"/>
    </row>
    <row r="74" spans="1:121" ht="21">
      <c r="A74" s="54"/>
      <c r="B74" s="598"/>
      <c r="C74" s="598"/>
      <c r="D74" s="598"/>
      <c r="E74" s="598"/>
      <c r="F74" s="598"/>
      <c r="G74" s="598"/>
      <c r="H74" s="598"/>
      <c r="I74" s="598"/>
      <c r="J74" s="598"/>
      <c r="K74" s="598"/>
      <c r="L74" s="598"/>
      <c r="M74" s="598"/>
      <c r="N74" s="598"/>
      <c r="O74" s="598"/>
      <c r="P74" s="598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2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40" t="s">
        <v>422</v>
      </c>
      <c r="BB74" s="41"/>
      <c r="BC74" s="43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>
        <f>BO70/BO72*1000</f>
        <v>172.96263258785945</v>
      </c>
      <c r="BP74" s="41">
        <f t="shared" si="255"/>
        <v>138.01787994891441</v>
      </c>
      <c r="BQ74" s="41">
        <f t="shared" si="255"/>
        <v>118.13537675606642</v>
      </c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2"/>
      <c r="CJ74" s="442"/>
      <c r="CK74" s="443"/>
      <c r="CL74" s="443"/>
      <c r="CM74" s="443"/>
      <c r="CN74" s="443"/>
      <c r="CO74" s="443"/>
      <c r="CP74" s="443"/>
      <c r="CQ74" s="443"/>
      <c r="CR74" s="443"/>
      <c r="CS74" s="443"/>
      <c r="CT74" s="443"/>
      <c r="CU74" s="443"/>
      <c r="CV74" s="443"/>
      <c r="CW74" s="443"/>
      <c r="CX74" s="443"/>
      <c r="CY74" s="443"/>
      <c r="CZ74" s="443"/>
      <c r="DA74" s="444"/>
      <c r="DF74" s="12" t="s">
        <v>824</v>
      </c>
      <c r="DQ74" s="12" t="s">
        <v>825</v>
      </c>
    </row>
    <row r="75" spans="1:121">
      <c r="A75" s="40" t="s">
        <v>393</v>
      </c>
      <c r="B75" s="41"/>
      <c r="C75" s="41"/>
      <c r="D75" s="41"/>
      <c r="E75" s="41"/>
      <c r="F75" s="41"/>
      <c r="G75" s="41"/>
      <c r="H75" s="41"/>
      <c r="I75" s="41"/>
      <c r="J75" s="41"/>
      <c r="K75" s="47">
        <f t="shared" ref="K75:AH75" si="256">K76/BK24</f>
        <v>4.6096101217883059E-2</v>
      </c>
      <c r="L75" s="47">
        <f t="shared" si="256"/>
        <v>0.10261024781310142</v>
      </c>
      <c r="M75" s="47">
        <f t="shared" si="256"/>
        <v>0.13302115520108979</v>
      </c>
      <c r="N75" s="47">
        <f t="shared" si="256"/>
        <v>0.16025814389920423</v>
      </c>
      <c r="O75" s="47">
        <f t="shared" si="256"/>
        <v>0.17361363933783475</v>
      </c>
      <c r="P75" s="47">
        <f t="shared" si="256"/>
        <v>0.18518518518518517</v>
      </c>
      <c r="Q75" s="47">
        <f t="shared" si="256"/>
        <v>0.20194931773879141</v>
      </c>
      <c r="R75" s="47">
        <f t="shared" si="256"/>
        <v>0.20016680567139283</v>
      </c>
      <c r="S75" s="47">
        <f t="shared" si="256"/>
        <v>0.25587467362924282</v>
      </c>
      <c r="T75" s="47">
        <f t="shared" si="256"/>
        <v>0.29249617151607965</v>
      </c>
      <c r="U75" s="47">
        <f t="shared" si="256"/>
        <v>0.3390903857225101</v>
      </c>
      <c r="V75" s="47">
        <f t="shared" si="256"/>
        <v>0.36005295052576236</v>
      </c>
      <c r="W75" s="47">
        <f t="shared" si="256"/>
        <v>0.38388915537027957</v>
      </c>
      <c r="X75" s="47">
        <f t="shared" si="256"/>
        <v>0.57972843777226246</v>
      </c>
      <c r="Y75" s="47">
        <f t="shared" si="256"/>
        <v>0.72966064192213109</v>
      </c>
      <c r="Z75" s="47">
        <f t="shared" si="256"/>
        <v>0.53854388478212989</v>
      </c>
      <c r="AA75" s="47">
        <f t="shared" si="256"/>
        <v>0.54143542661739785</v>
      </c>
      <c r="AB75" s="47">
        <f t="shared" si="256"/>
        <v>0.55495783108659624</v>
      </c>
      <c r="AC75" s="47">
        <f t="shared" si="256"/>
        <v>0.55932429442511333</v>
      </c>
      <c r="AD75" s="47">
        <f t="shared" si="256"/>
        <v>0.58928995216602509</v>
      </c>
      <c r="AE75" s="47">
        <f t="shared" si="256"/>
        <v>0.60537146545807852</v>
      </c>
      <c r="AF75" s="47">
        <f t="shared" si="256"/>
        <v>0.62159384385545413</v>
      </c>
      <c r="AG75" s="47">
        <f t="shared" si="256"/>
        <v>0.63797701115303895</v>
      </c>
      <c r="AH75" s="48">
        <f t="shared" si="256"/>
        <v>0.63510166833055415</v>
      </c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40"/>
      <c r="BB75" s="41"/>
      <c r="BC75" s="43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2"/>
      <c r="CJ75" s="442"/>
      <c r="CK75" s="443"/>
      <c r="CL75" s="443"/>
      <c r="CM75" s="443"/>
      <c r="CN75" s="443"/>
      <c r="CO75" s="443"/>
      <c r="CP75" s="443"/>
      <c r="CQ75" s="443"/>
      <c r="CR75" s="443"/>
      <c r="CS75" s="443"/>
      <c r="CT75" s="443"/>
      <c r="CU75" s="443"/>
      <c r="CV75" s="443"/>
      <c r="CW75" s="443"/>
      <c r="CX75" s="443"/>
      <c r="CY75" s="443"/>
      <c r="CZ75" s="443"/>
      <c r="DA75" s="444"/>
    </row>
    <row r="76" spans="1:121">
      <c r="A76" s="40" t="s">
        <v>394</v>
      </c>
      <c r="B76" s="41"/>
      <c r="C76" s="41"/>
      <c r="D76" s="41"/>
      <c r="E76" s="41"/>
      <c r="F76" s="41"/>
      <c r="G76" s="41"/>
      <c r="H76" s="41"/>
      <c r="I76" s="41"/>
      <c r="J76" s="41"/>
      <c r="K76" s="81">
        <f t="shared" ref="K76:Y76" si="257">K113</f>
        <v>72.78574382303735</v>
      </c>
      <c r="L76" s="81">
        <f t="shared" si="257"/>
        <v>178.13139020354407</v>
      </c>
      <c r="M76" s="81">
        <f t="shared" si="257"/>
        <v>204.05445207847174</v>
      </c>
      <c r="N76" s="81">
        <f t="shared" si="257"/>
        <v>241.66928099999998</v>
      </c>
      <c r="O76" s="81">
        <f t="shared" si="257"/>
        <v>229.41710399999997</v>
      </c>
      <c r="P76" s="81">
        <f t="shared" si="257"/>
        <v>185</v>
      </c>
      <c r="Q76" s="81">
        <f t="shared" si="257"/>
        <v>207.2</v>
      </c>
      <c r="R76" s="81">
        <f t="shared" si="257"/>
        <v>240</v>
      </c>
      <c r="S76" s="81">
        <f t="shared" si="257"/>
        <v>294</v>
      </c>
      <c r="T76" s="81">
        <f t="shared" si="257"/>
        <v>382</v>
      </c>
      <c r="U76" s="81">
        <f t="shared" si="257"/>
        <v>589</v>
      </c>
      <c r="V76" s="81">
        <f t="shared" si="257"/>
        <v>684.82071189999999</v>
      </c>
      <c r="W76" s="81">
        <f t="shared" si="257"/>
        <v>782.74998779999999</v>
      </c>
      <c r="X76" s="81">
        <f t="shared" si="257"/>
        <v>1111.3394152094272</v>
      </c>
      <c r="Y76" s="81">
        <f t="shared" si="257"/>
        <v>1603.5768882136249</v>
      </c>
      <c r="Z76" s="81">
        <f t="shared" ref="Z76:AA76" si="258">Z113</f>
        <v>1515.3413360599998</v>
      </c>
      <c r="AA76" s="81">
        <f t="shared" si="258"/>
        <v>1673.2466528952177</v>
      </c>
      <c r="AB76" s="81">
        <f t="shared" ref="AB76:AC76" si="259">AB113</f>
        <v>1858.4817272822183</v>
      </c>
      <c r="AC76" s="81">
        <f t="shared" si="259"/>
        <v>2090.4469731932941</v>
      </c>
      <c r="AD76" s="81">
        <f t="shared" ref="AD76:AE76" si="260">AD113</f>
        <v>2376.8372759139252</v>
      </c>
      <c r="AE76" s="81">
        <f t="shared" si="260"/>
        <v>2623.7092871900059</v>
      </c>
      <c r="AF76" s="81">
        <f t="shared" ref="AF76:AG76" si="261">AF113</f>
        <v>2891.6768237017232</v>
      </c>
      <c r="AG76" s="81">
        <f t="shared" si="261"/>
        <v>3179.4977526119683</v>
      </c>
      <c r="AH76" s="82">
        <f t="shared" ref="AH76" si="262">AH113</f>
        <v>3383.7996357289662</v>
      </c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40" t="s">
        <v>408</v>
      </c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>
        <v>96246</v>
      </c>
      <c r="BR76" s="41">
        <v>88922</v>
      </c>
      <c r="BS76" s="41">
        <v>83307</v>
      </c>
      <c r="BT76" s="41">
        <v>85025</v>
      </c>
      <c r="BU76" s="41">
        <v>76784</v>
      </c>
      <c r="BV76" s="41">
        <v>62894</v>
      </c>
      <c r="BW76" s="41">
        <v>58472</v>
      </c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2"/>
      <c r="CJ76" s="442"/>
      <c r="CK76" s="443"/>
      <c r="CL76" s="443"/>
      <c r="CM76" s="443"/>
      <c r="CN76" s="443"/>
      <c r="CO76" s="443"/>
      <c r="CP76" s="443"/>
      <c r="CQ76" s="443"/>
      <c r="CR76" s="443"/>
      <c r="CS76" s="443"/>
      <c r="CT76" s="443"/>
      <c r="CU76" s="443"/>
      <c r="CV76" s="443"/>
      <c r="CW76" s="443"/>
      <c r="CX76" s="443"/>
      <c r="CY76" s="443"/>
      <c r="CZ76" s="443"/>
      <c r="DA76" s="444"/>
    </row>
    <row r="77" spans="1:121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2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40" t="s">
        <v>404</v>
      </c>
      <c r="BB77" s="41"/>
      <c r="BC77" s="41"/>
      <c r="BD77" s="41"/>
      <c r="BE77" s="41"/>
      <c r="BF77" s="41"/>
      <c r="BG77" s="41">
        <v>24796</v>
      </c>
      <c r="BH77" s="41">
        <v>100735</v>
      </c>
      <c r="BI77" s="41">
        <v>201470</v>
      </c>
      <c r="BJ77" s="41">
        <v>268672</v>
      </c>
      <c r="BK77" s="41">
        <v>372176</v>
      </c>
      <c r="BL77" s="41">
        <v>378453</v>
      </c>
      <c r="BM77" s="41">
        <v>452532</v>
      </c>
      <c r="BN77" s="41">
        <v>449432</v>
      </c>
      <c r="BO77" s="41">
        <v>433934</v>
      </c>
      <c r="BP77" s="41">
        <v>418437</v>
      </c>
      <c r="BQ77" s="41">
        <v>410688</v>
      </c>
      <c r="BR77" s="41">
        <v>377471</v>
      </c>
      <c r="BS77" s="41">
        <v>418210</v>
      </c>
      <c r="BT77" s="41">
        <v>407323</v>
      </c>
      <c r="BU77" s="41">
        <v>366399</v>
      </c>
      <c r="BV77" s="41">
        <v>263322</v>
      </c>
      <c r="BW77" s="41">
        <v>263198</v>
      </c>
      <c r="BX77" s="41">
        <v>263080</v>
      </c>
      <c r="BY77" s="41">
        <v>249814</v>
      </c>
      <c r="BZ77" s="41">
        <v>237847</v>
      </c>
      <c r="CA77" s="41">
        <v>227023</v>
      </c>
      <c r="CB77" s="41">
        <v>217208</v>
      </c>
      <c r="CC77" s="41">
        <v>208287</v>
      </c>
      <c r="CD77" s="41">
        <v>200160</v>
      </c>
      <c r="CE77" s="41">
        <v>192741</v>
      </c>
      <c r="CF77" s="41">
        <v>185954</v>
      </c>
      <c r="CG77" s="41">
        <v>179733</v>
      </c>
      <c r="CH77" s="42">
        <v>174021</v>
      </c>
      <c r="CJ77" s="442"/>
      <c r="CK77" s="443"/>
      <c r="CL77" s="443"/>
      <c r="CM77" s="443"/>
      <c r="CN77" s="443"/>
      <c r="CO77" s="443"/>
      <c r="CP77" s="443"/>
      <c r="CQ77" s="443"/>
      <c r="CR77" s="443"/>
      <c r="CS77" s="443"/>
      <c r="CT77" s="443"/>
      <c r="CU77" s="443"/>
      <c r="CV77" s="443"/>
      <c r="CW77" s="443"/>
      <c r="CX77" s="443"/>
      <c r="CY77" s="443"/>
      <c r="CZ77" s="443"/>
      <c r="DA77" s="444"/>
    </row>
    <row r="78" spans="1:121">
      <c r="A78" s="40" t="s">
        <v>402</v>
      </c>
      <c r="B78" s="41"/>
      <c r="C78" s="43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>
        <v>221</v>
      </c>
      <c r="R78" s="41">
        <v>218</v>
      </c>
      <c r="S78" s="41">
        <v>208</v>
      </c>
      <c r="T78" s="41">
        <v>206</v>
      </c>
      <c r="U78" s="41">
        <v>206</v>
      </c>
      <c r="V78" s="41">
        <v>203</v>
      </c>
      <c r="W78" s="41">
        <v>198</v>
      </c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2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40" t="s">
        <v>296</v>
      </c>
      <c r="BB78" s="44"/>
      <c r="BC78" s="44"/>
      <c r="BD78" s="44"/>
      <c r="BE78" s="44"/>
      <c r="BF78" s="44"/>
      <c r="BG78" s="45">
        <f t="shared" ref="BG78:BZ78" si="263">BG29/BG77*1000</f>
        <v>3.7001935796096141</v>
      </c>
      <c r="BH78" s="45">
        <f t="shared" si="263"/>
        <v>11.103390082890753</v>
      </c>
      <c r="BI78" s="45">
        <f t="shared" si="263"/>
        <v>14.232888271206631</v>
      </c>
      <c r="BJ78" s="45">
        <f t="shared" si="263"/>
        <v>14.363238446879466</v>
      </c>
      <c r="BK78" s="45">
        <f t="shared" si="263"/>
        <v>12.646570439791926</v>
      </c>
      <c r="BL78" s="45">
        <f t="shared" si="263"/>
        <v>14.324764237567148</v>
      </c>
      <c r="BM78" s="45">
        <f t="shared" si="263"/>
        <v>13.784218574598039</v>
      </c>
      <c r="BN78" s="45">
        <f t="shared" si="263"/>
        <v>17.096579682799621</v>
      </c>
      <c r="BO78" s="45">
        <f t="shared" si="263"/>
        <v>17.06019809464112</v>
      </c>
      <c r="BP78" s="45">
        <f t="shared" si="263"/>
        <v>15.98090035059041</v>
      </c>
      <c r="BQ78" s="45">
        <f t="shared" si="263"/>
        <v>15.54951690821256</v>
      </c>
      <c r="BR78" s="45">
        <f t="shared" si="263"/>
        <v>17.105949861048927</v>
      </c>
      <c r="BS78" s="45">
        <f t="shared" si="263"/>
        <v>15.980010042801464</v>
      </c>
      <c r="BT78" s="45">
        <f t="shared" si="263"/>
        <v>18.45955175622295</v>
      </c>
      <c r="BU78" s="45">
        <f t="shared" si="263"/>
        <v>20.706934243816168</v>
      </c>
      <c r="BV78" s="45">
        <f t="shared" si="263"/>
        <v>27.285984460090688</v>
      </c>
      <c r="BW78" s="45">
        <f t="shared" si="263"/>
        <v>27.308414197676274</v>
      </c>
      <c r="BX78" s="45">
        <f t="shared" si="263"/>
        <v>13.756309867720846</v>
      </c>
      <c r="BY78" s="45">
        <f t="shared" si="263"/>
        <v>13.568094662428846</v>
      </c>
      <c r="BZ78" s="45">
        <f t="shared" si="263"/>
        <v>25.360420774699701</v>
      </c>
      <c r="CA78" s="45">
        <f t="shared" ref="CA78:CB78" si="264">CA29/CA77*1000</f>
        <v>26.063918633794817</v>
      </c>
      <c r="CB78" s="45">
        <f t="shared" si="264"/>
        <v>25.803805752188868</v>
      </c>
      <c r="CC78" s="45">
        <f t="shared" ref="CC78:CD78" si="265">CC29/CC77*1000</f>
        <v>24.9685729462235</v>
      </c>
      <c r="CD78" s="45">
        <f t="shared" si="265"/>
        <v>24.582587160511061</v>
      </c>
      <c r="CE78" s="45">
        <f t="shared" ref="CE78:CF78" si="266">CE29/CE77*1000</f>
        <v>24.449188587708772</v>
      </c>
      <c r="CF78" s="45">
        <f t="shared" si="266"/>
        <v>24.588310593374853</v>
      </c>
      <c r="CG78" s="45">
        <f t="shared" ref="CG78:CH78" si="267">CG29/CG77*1000</f>
        <v>24.931783378035544</v>
      </c>
      <c r="CH78" s="46">
        <f t="shared" si="267"/>
        <v>25.440389950438309</v>
      </c>
      <c r="CJ78" s="442"/>
      <c r="CK78" s="443"/>
      <c r="CL78" s="443"/>
      <c r="CM78" s="443"/>
      <c r="CN78" s="443"/>
      <c r="CO78" s="443"/>
      <c r="CP78" s="443"/>
      <c r="CQ78" s="443"/>
      <c r="CR78" s="443"/>
      <c r="CS78" s="443"/>
      <c r="CT78" s="443"/>
      <c r="CU78" s="443"/>
      <c r="CV78" s="443"/>
      <c r="CW78" s="443"/>
      <c r="CX78" s="443"/>
      <c r="CY78" s="443"/>
      <c r="CZ78" s="443"/>
      <c r="DA78" s="444"/>
    </row>
    <row r="79" spans="1:121">
      <c r="A79" s="40" t="s">
        <v>403</v>
      </c>
      <c r="B79" s="41"/>
      <c r="C79" s="43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81">
        <f t="shared" ref="Q79:W79" si="268">(BQ33-BQ58)/Q78</f>
        <v>2.6108597285067874</v>
      </c>
      <c r="R79" s="81">
        <f t="shared" si="268"/>
        <v>2.4220183486238533</v>
      </c>
      <c r="S79" s="81">
        <f t="shared" si="268"/>
        <v>2.1586538461538463</v>
      </c>
      <c r="T79" s="81">
        <f t="shared" si="268"/>
        <v>2.1359223300970873</v>
      </c>
      <c r="U79" s="81">
        <f t="shared" si="268"/>
        <v>2.1850485436893203</v>
      </c>
      <c r="V79" s="81">
        <f t="shared" si="268"/>
        <v>2.2557870781773399</v>
      </c>
      <c r="W79" s="81">
        <f t="shared" si="268"/>
        <v>2.2655452559442808</v>
      </c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2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40" t="s">
        <v>409</v>
      </c>
      <c r="BB79" s="44"/>
      <c r="BC79" s="44"/>
      <c r="BD79" s="44"/>
      <c r="BE79" s="44"/>
      <c r="BF79" s="44"/>
      <c r="BG79" s="45"/>
      <c r="BH79" s="45"/>
      <c r="BI79" s="45"/>
      <c r="BJ79" s="45"/>
      <c r="BK79" s="45"/>
      <c r="BL79" s="45"/>
      <c r="BM79" s="45"/>
      <c r="BN79" s="45"/>
      <c r="BO79" s="45"/>
      <c r="BP79" s="45"/>
      <c r="BQ79" s="43">
        <f>BQ77/BQ76</f>
        <v>4.2670656442865162</v>
      </c>
      <c r="BR79" s="43">
        <f>BR77/BR76</f>
        <v>4.2449674996063962</v>
      </c>
      <c r="BS79" s="43">
        <f t="shared" ref="BS79:BW79" si="269">BS77/BS76</f>
        <v>5.0201063536077397</v>
      </c>
      <c r="BT79" s="43">
        <f t="shared" si="269"/>
        <v>4.7906262863863569</v>
      </c>
      <c r="BU79" s="43">
        <f t="shared" si="269"/>
        <v>4.7718144405084395</v>
      </c>
      <c r="BV79" s="43">
        <f t="shared" si="269"/>
        <v>4.1867586733233697</v>
      </c>
      <c r="BW79" s="43">
        <f t="shared" si="269"/>
        <v>4.5012655630045151</v>
      </c>
      <c r="BX79" s="45"/>
      <c r="BY79" s="45"/>
      <c r="BZ79" s="45"/>
      <c r="CA79" s="45"/>
      <c r="CB79" s="45"/>
      <c r="CC79" s="45"/>
      <c r="CD79" s="45"/>
      <c r="CE79" s="45"/>
      <c r="CF79" s="45"/>
      <c r="CG79" s="45"/>
      <c r="CH79" s="46"/>
      <c r="CJ79" s="442"/>
      <c r="CK79" s="443"/>
      <c r="CL79" s="443"/>
      <c r="CM79" s="443"/>
      <c r="CN79" s="443"/>
      <c r="CO79" s="443"/>
      <c r="CP79" s="443"/>
      <c r="CQ79" s="443"/>
      <c r="CR79" s="443"/>
      <c r="CS79" s="443"/>
      <c r="CT79" s="443"/>
      <c r="CU79" s="443"/>
      <c r="CV79" s="443"/>
      <c r="CW79" s="443"/>
      <c r="CX79" s="443"/>
      <c r="CY79" s="443"/>
      <c r="CZ79" s="443"/>
      <c r="DA79" s="444"/>
    </row>
    <row r="80" spans="1:121" ht="16" customHeight="1">
      <c r="A80" s="40"/>
      <c r="B80" s="41"/>
      <c r="C80" s="43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81"/>
      <c r="R80" s="8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2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40"/>
      <c r="BB80" s="44"/>
      <c r="BC80" s="44"/>
      <c r="BD80" s="44"/>
      <c r="BE80" s="44"/>
      <c r="BF80" s="44"/>
      <c r="BG80" s="45"/>
      <c r="BH80" s="45"/>
      <c r="BI80" s="45"/>
      <c r="BJ80" s="45"/>
      <c r="BK80" s="45"/>
      <c r="BL80" s="45"/>
      <c r="BM80" s="45"/>
      <c r="BN80" s="45"/>
      <c r="BO80" s="81"/>
      <c r="BP80" s="45"/>
      <c r="BQ80" s="45"/>
      <c r="BR80" s="81"/>
      <c r="BS80" s="45"/>
      <c r="BT80" s="45"/>
      <c r="BU80" s="81"/>
      <c r="BV80" s="81"/>
      <c r="BW80" s="81"/>
      <c r="BX80" s="81"/>
      <c r="BY80" s="81"/>
      <c r="BZ80" s="81"/>
      <c r="CA80" s="81"/>
      <c r="CB80" s="81"/>
      <c r="CC80" s="81"/>
      <c r="CD80" s="81"/>
      <c r="CE80" s="81"/>
      <c r="CF80" s="81"/>
      <c r="CG80" s="81"/>
      <c r="CH80" s="82"/>
      <c r="CJ80" s="442"/>
      <c r="CK80" s="443"/>
      <c r="CL80" s="443"/>
      <c r="CM80" s="443"/>
      <c r="CN80" s="443"/>
      <c r="CO80" s="443"/>
      <c r="CP80" s="443"/>
      <c r="CQ80" s="443"/>
      <c r="CR80" s="443"/>
      <c r="CS80" s="443"/>
      <c r="CT80" s="443"/>
      <c r="CU80" s="443"/>
      <c r="CV80" s="443"/>
      <c r="CW80" s="443"/>
      <c r="CX80" s="443"/>
      <c r="CY80" s="443"/>
      <c r="CZ80" s="443"/>
      <c r="DA80" s="444"/>
    </row>
    <row r="81" spans="1:105" ht="16" customHeight="1">
      <c r="A81" s="40" t="s">
        <v>412</v>
      </c>
      <c r="B81" s="41"/>
      <c r="C81" s="43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>
        <v>33624</v>
      </c>
      <c r="R81" s="41">
        <v>33926</v>
      </c>
      <c r="S81" s="41">
        <v>34029</v>
      </c>
      <c r="T81" s="41">
        <v>33920</v>
      </c>
      <c r="U81" s="41">
        <v>34040</v>
      </c>
      <c r="V81" s="41">
        <v>34354</v>
      </c>
      <c r="W81" s="41">
        <v>34538</v>
      </c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2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40" t="s">
        <v>868</v>
      </c>
      <c r="BB81" s="44"/>
      <c r="BC81" s="44"/>
      <c r="BD81" s="44"/>
      <c r="BE81" s="44"/>
      <c r="BF81" s="44"/>
      <c r="BG81" s="45"/>
      <c r="BH81" s="45"/>
      <c r="BI81" s="45"/>
      <c r="BJ81" s="45"/>
      <c r="BK81" s="45"/>
      <c r="BL81" s="45"/>
      <c r="BM81" s="45"/>
      <c r="BN81" s="45"/>
      <c r="BO81" s="81"/>
      <c r="BP81" s="45"/>
      <c r="BQ81" s="41">
        <v>4588</v>
      </c>
      <c r="BR81" s="41">
        <v>4834</v>
      </c>
      <c r="BS81" s="41">
        <v>4863</v>
      </c>
      <c r="BT81" s="41">
        <v>4934</v>
      </c>
      <c r="BU81" s="41">
        <v>4951</v>
      </c>
      <c r="BV81" s="41">
        <v>4979</v>
      </c>
      <c r="BW81" s="41">
        <v>4918</v>
      </c>
      <c r="BX81" s="81"/>
      <c r="BY81" s="81"/>
      <c r="BZ81" s="81"/>
      <c r="CA81" s="81"/>
      <c r="CB81" s="81"/>
      <c r="CC81" s="81"/>
      <c r="CD81" s="81"/>
      <c r="CE81" s="81"/>
      <c r="CF81" s="81"/>
      <c r="CG81" s="81"/>
      <c r="CH81" s="82"/>
      <c r="CJ81" s="442"/>
      <c r="CK81" s="443"/>
      <c r="CL81" s="443"/>
      <c r="CM81" s="443"/>
      <c r="CN81" s="443"/>
      <c r="CO81" s="443"/>
      <c r="CP81" s="443"/>
      <c r="CQ81" s="443"/>
      <c r="CR81" s="443"/>
      <c r="CS81" s="443"/>
      <c r="CT81" s="443"/>
      <c r="CU81" s="443"/>
      <c r="CV81" s="443"/>
      <c r="CW81" s="443"/>
      <c r="CX81" s="443"/>
      <c r="CY81" s="443"/>
      <c r="CZ81" s="443"/>
      <c r="DA81" s="444"/>
    </row>
    <row r="82" spans="1:105" ht="16" customHeight="1">
      <c r="A82" s="40" t="s">
        <v>497</v>
      </c>
      <c r="B82" s="41"/>
      <c r="C82" s="43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>
        <v>39149</v>
      </c>
      <c r="R82" s="41">
        <v>36540</v>
      </c>
      <c r="S82" s="41">
        <v>35073</v>
      </c>
      <c r="T82" s="41">
        <v>33881</v>
      </c>
      <c r="U82" s="41">
        <v>34421</v>
      </c>
      <c r="V82" s="41">
        <v>33450</v>
      </c>
      <c r="W82" s="41">
        <v>31829</v>
      </c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2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40" t="s">
        <v>410</v>
      </c>
      <c r="BB82" s="44"/>
      <c r="BC82" s="44"/>
      <c r="BD82" s="44"/>
      <c r="BE82" s="44"/>
      <c r="BF82" s="44"/>
      <c r="BG82" s="45"/>
      <c r="BH82" s="45"/>
      <c r="BI82" s="45"/>
      <c r="BJ82" s="45"/>
      <c r="BK82" s="45"/>
      <c r="BL82" s="45"/>
      <c r="BM82" s="45"/>
      <c r="BN82" s="41">
        <v>1250</v>
      </c>
      <c r="BO82" s="41">
        <v>24895</v>
      </c>
      <c r="BP82" s="41">
        <v>45000</v>
      </c>
      <c r="BQ82" s="41">
        <v>50662</v>
      </c>
      <c r="BR82" s="41">
        <v>50654</v>
      </c>
      <c r="BS82" s="41">
        <v>52349</v>
      </c>
      <c r="BT82" s="41">
        <v>54266</v>
      </c>
      <c r="BU82" s="41">
        <v>55824</v>
      </c>
      <c r="BV82" s="41">
        <v>56967</v>
      </c>
      <c r="BW82" s="41">
        <v>57938</v>
      </c>
      <c r="BX82" s="41">
        <v>58870</v>
      </c>
      <c r="BY82" s="41">
        <v>58590</v>
      </c>
      <c r="BZ82" s="41">
        <v>58330</v>
      </c>
      <c r="CA82" s="41">
        <v>58080</v>
      </c>
      <c r="CB82" s="41">
        <v>57850</v>
      </c>
      <c r="CC82" s="41">
        <v>57630</v>
      </c>
      <c r="CD82" s="41">
        <v>57420</v>
      </c>
      <c r="CE82" s="41">
        <v>57220</v>
      </c>
      <c r="CF82" s="41">
        <v>57030</v>
      </c>
      <c r="CG82" s="41">
        <v>56850</v>
      </c>
      <c r="CH82" s="42">
        <v>56680</v>
      </c>
      <c r="CJ82" s="442"/>
      <c r="CK82" s="443"/>
      <c r="CL82" s="443"/>
      <c r="CM82" s="443"/>
      <c r="CN82" s="443"/>
      <c r="CO82" s="443"/>
      <c r="CP82" s="443"/>
      <c r="CQ82" s="443"/>
      <c r="CR82" s="443"/>
      <c r="CS82" s="443"/>
      <c r="CT82" s="443"/>
      <c r="CU82" s="443"/>
      <c r="CV82" s="443"/>
      <c r="CW82" s="443"/>
      <c r="CX82" s="443"/>
      <c r="CY82" s="443"/>
      <c r="CZ82" s="443"/>
      <c r="DA82" s="444"/>
    </row>
    <row r="83" spans="1:105" ht="16" customHeight="1">
      <c r="A83" s="40" t="s">
        <v>413</v>
      </c>
      <c r="B83" s="41"/>
      <c r="C83" s="43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>
        <v>65321</v>
      </c>
      <c r="R83" s="41">
        <v>65303</v>
      </c>
      <c r="S83" s="41">
        <v>64458</v>
      </c>
      <c r="T83" s="41">
        <v>62975</v>
      </c>
      <c r="U83" s="41">
        <v>63603</v>
      </c>
      <c r="V83" s="41">
        <v>61726</v>
      </c>
      <c r="W83" s="41">
        <v>58790</v>
      </c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2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40" t="s">
        <v>297</v>
      </c>
      <c r="BB83" s="44"/>
      <c r="BC83" s="44"/>
      <c r="BD83" s="44"/>
      <c r="BE83" s="44"/>
      <c r="BF83" s="44"/>
      <c r="BG83" s="45"/>
      <c r="BH83" s="45"/>
      <c r="BI83" s="45"/>
      <c r="BJ83" s="45"/>
      <c r="BK83" s="45"/>
      <c r="BL83" s="45"/>
      <c r="BM83" s="45"/>
      <c r="BN83" s="45">
        <f t="shared" ref="BN83:BZ83" si="270">BN31/BN82*1000</f>
        <v>55.026782608695662</v>
      </c>
      <c r="BO83" s="45">
        <f t="shared" si="270"/>
        <v>72.504518979714803</v>
      </c>
      <c r="BP83" s="45">
        <f t="shared" si="270"/>
        <v>73.288888888888891</v>
      </c>
      <c r="BQ83" s="45">
        <f t="shared" si="270"/>
        <v>53.926019501796219</v>
      </c>
      <c r="BR83" s="45">
        <f t="shared" si="270"/>
        <v>50.657401192403363</v>
      </c>
      <c r="BS83" s="45">
        <f t="shared" si="270"/>
        <v>50.889224244971246</v>
      </c>
      <c r="BT83" s="45">
        <f t="shared" si="270"/>
        <v>50.971142151623482</v>
      </c>
      <c r="BU83" s="45">
        <f t="shared" si="270"/>
        <v>50.963743192891947</v>
      </c>
      <c r="BV83" s="45">
        <f t="shared" si="270"/>
        <v>52.978039917847177</v>
      </c>
      <c r="BW83" s="45">
        <f t="shared" si="270"/>
        <v>54.903517553246573</v>
      </c>
      <c r="BX83" s="45">
        <f t="shared" si="270"/>
        <v>20.655682011211145</v>
      </c>
      <c r="BY83" s="45">
        <f t="shared" si="270"/>
        <v>22.73425499231951</v>
      </c>
      <c r="BZ83" s="45">
        <f t="shared" si="270"/>
        <v>43.751071489799422</v>
      </c>
      <c r="CA83" s="45">
        <f t="shared" ref="CA83:CB83" si="271">CA31/CA82*1000</f>
        <v>45.299586776859506</v>
      </c>
      <c r="CB83" s="45">
        <f t="shared" si="271"/>
        <v>44.200518582541051</v>
      </c>
      <c r="CC83" s="45">
        <f t="shared" ref="CC83:CD83" si="272">CC31/CC82*1000</f>
        <v>43.71056741280583</v>
      </c>
      <c r="CD83" s="45">
        <f t="shared" si="272"/>
        <v>43.470916057122949</v>
      </c>
      <c r="CE83" s="45">
        <f t="shared" ref="CE83:CF83" si="273">CE31/CE82*1000</f>
        <v>43.27997203774904</v>
      </c>
      <c r="CF83" s="45">
        <f t="shared" si="273"/>
        <v>43.271611432579348</v>
      </c>
      <c r="CG83" s="45">
        <f t="shared" ref="CG83:CH83" si="274">CG31/CG82*1000</f>
        <v>43.391204925241865</v>
      </c>
      <c r="CH83" s="46">
        <f t="shared" si="274"/>
        <v>43.61838390966831</v>
      </c>
      <c r="CJ83" s="442"/>
      <c r="CK83" s="443"/>
      <c r="CL83" s="443"/>
      <c r="CM83" s="443"/>
      <c r="CN83" s="443"/>
      <c r="CO83" s="443"/>
      <c r="CP83" s="443"/>
      <c r="CQ83" s="443"/>
      <c r="CR83" s="443"/>
      <c r="CS83" s="443"/>
      <c r="CT83" s="443"/>
      <c r="CU83" s="443"/>
      <c r="CV83" s="443"/>
      <c r="CW83" s="443"/>
      <c r="CX83" s="443"/>
      <c r="CY83" s="443"/>
      <c r="CZ83" s="443"/>
      <c r="DA83" s="444"/>
    </row>
    <row r="84" spans="1:105">
      <c r="A84" s="40"/>
      <c r="B84" s="41"/>
      <c r="C84" s="43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81"/>
      <c r="R84" s="8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2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40" t="s">
        <v>869</v>
      </c>
      <c r="BB84" s="44"/>
      <c r="BC84" s="44"/>
      <c r="BD84" s="44"/>
      <c r="BE84" s="44"/>
      <c r="BF84" s="44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3">
        <f>BQ82/BQ81</f>
        <v>11.042284219703575</v>
      </c>
      <c r="BR84" s="43">
        <f>BR82/BR81</f>
        <v>10.478692594124949</v>
      </c>
      <c r="BS84" s="43">
        <f t="shared" ref="BS84:BW84" si="275">BS82/BS81</f>
        <v>10.764754266913428</v>
      </c>
      <c r="BT84" s="43">
        <f t="shared" si="275"/>
        <v>10.998378597486827</v>
      </c>
      <c r="BU84" s="43">
        <f t="shared" si="275"/>
        <v>11.2752979196122</v>
      </c>
      <c r="BV84" s="43">
        <f t="shared" si="275"/>
        <v>11.441454107250452</v>
      </c>
      <c r="BW84" s="43">
        <f t="shared" si="275"/>
        <v>11.780805205368036</v>
      </c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6"/>
      <c r="CJ84" s="442"/>
      <c r="CK84" s="443"/>
      <c r="CL84" s="443"/>
      <c r="CM84" s="443"/>
      <c r="CN84" s="443"/>
      <c r="CO84" s="443"/>
      <c r="CP84" s="443"/>
      <c r="CQ84" s="443"/>
      <c r="CR84" s="443"/>
      <c r="CS84" s="443"/>
      <c r="CT84" s="443"/>
      <c r="CU84" s="443"/>
      <c r="CV84" s="443"/>
      <c r="CW84" s="443"/>
      <c r="CX84" s="443"/>
      <c r="CY84" s="443"/>
      <c r="CZ84" s="443"/>
      <c r="DA84" s="444"/>
    </row>
    <row r="85" spans="1:105" ht="16" thickBot="1">
      <c r="A85" s="40" t="s">
        <v>414</v>
      </c>
      <c r="B85" s="41"/>
      <c r="C85" s="43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81">
        <f t="shared" ref="Q85:V87" si="276">Q37/Q81*1000</f>
        <v>188.33868665239115</v>
      </c>
      <c r="R85" s="81">
        <f t="shared" si="276"/>
        <v>195.39586158108824</v>
      </c>
      <c r="S85" s="81">
        <f t="shared" si="276"/>
        <v>207.9696729260337</v>
      </c>
      <c r="T85" s="81">
        <f t="shared" si="276"/>
        <v>238.59080188679246</v>
      </c>
      <c r="U85" s="81">
        <f t="shared" si="276"/>
        <v>219.7708578143361</v>
      </c>
      <c r="V85" s="81">
        <f t="shared" si="276"/>
        <v>233.3591430401118</v>
      </c>
      <c r="W85" s="81">
        <f t="shared" ref="W85" si="277">W37/W81*1000</f>
        <v>235.95604841044644</v>
      </c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2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40"/>
      <c r="BB85" s="44"/>
      <c r="BC85" s="44"/>
      <c r="BD85" s="44"/>
      <c r="BE85" s="44"/>
      <c r="BF85" s="44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  <c r="CB85" s="45"/>
      <c r="CC85" s="45"/>
      <c r="CD85" s="45"/>
      <c r="CE85" s="45"/>
      <c r="CF85" s="45"/>
      <c r="CG85" s="45"/>
      <c r="CH85" s="46"/>
      <c r="CJ85" s="446"/>
      <c r="CK85" s="447"/>
      <c r="CL85" s="447"/>
      <c r="CM85" s="447"/>
      <c r="CN85" s="447"/>
      <c r="CO85" s="447"/>
      <c r="CP85" s="447"/>
      <c r="CQ85" s="447"/>
      <c r="CR85" s="447"/>
      <c r="CS85" s="447"/>
      <c r="CT85" s="447"/>
      <c r="CU85" s="447"/>
      <c r="CV85" s="447"/>
      <c r="CW85" s="447"/>
      <c r="CX85" s="447"/>
      <c r="CY85" s="447"/>
      <c r="CZ85" s="447"/>
      <c r="DA85" s="448"/>
    </row>
    <row r="86" spans="1:105">
      <c r="A86" s="40" t="s">
        <v>498</v>
      </c>
      <c r="B86" s="41"/>
      <c r="C86" s="43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81">
        <f t="shared" si="276"/>
        <v>35.152877468134562</v>
      </c>
      <c r="R86" s="81">
        <f t="shared" si="276"/>
        <v>32.512315270935964</v>
      </c>
      <c r="S86" s="81">
        <f t="shared" si="276"/>
        <v>30.080118609756791</v>
      </c>
      <c r="T86" s="81">
        <f t="shared" si="276"/>
        <v>46.604291490806055</v>
      </c>
      <c r="U86" s="81">
        <f t="shared" si="276"/>
        <v>44.333401121408443</v>
      </c>
      <c r="V86" s="81">
        <f t="shared" si="276"/>
        <v>46.161733931240654</v>
      </c>
      <c r="W86" s="81">
        <f t="shared" ref="W86" si="278">W38/W82*1000</f>
        <v>56.78657827767131</v>
      </c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2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40" t="s">
        <v>405</v>
      </c>
      <c r="BB86" s="44"/>
      <c r="BC86" s="44"/>
      <c r="BD86" s="44"/>
      <c r="BE86" s="44"/>
      <c r="BF86" s="44"/>
      <c r="BG86" s="45"/>
      <c r="BH86" s="45"/>
      <c r="BI86" s="45"/>
      <c r="BJ86" s="45"/>
      <c r="BK86" s="45"/>
      <c r="BL86" s="45"/>
      <c r="BM86" s="45"/>
      <c r="BN86" s="41"/>
      <c r="BO86" s="41"/>
      <c r="BP86" s="41"/>
      <c r="BQ86" s="41">
        <v>115357</v>
      </c>
      <c r="BR86" s="41">
        <v>111033</v>
      </c>
      <c r="BS86" s="41">
        <v>108669</v>
      </c>
      <c r="BT86" s="41">
        <v>104886</v>
      </c>
      <c r="BU86" s="41">
        <v>87801</v>
      </c>
      <c r="BV86" s="41">
        <v>87036</v>
      </c>
      <c r="BW86" s="41">
        <v>97355</v>
      </c>
      <c r="BX86" s="41">
        <v>96507</v>
      </c>
      <c r="BY86" s="41">
        <v>95666</v>
      </c>
      <c r="BZ86" s="41">
        <v>94832</v>
      </c>
      <c r="CA86" s="41">
        <v>94006</v>
      </c>
      <c r="CB86" s="41">
        <v>93187</v>
      </c>
      <c r="CC86" s="41">
        <v>92375</v>
      </c>
      <c r="CD86" s="41">
        <v>91570</v>
      </c>
      <c r="CE86" s="41">
        <v>90772</v>
      </c>
      <c r="CF86" s="41">
        <v>89982</v>
      </c>
      <c r="CG86" s="41">
        <v>89198</v>
      </c>
      <c r="CH86" s="42">
        <v>88420</v>
      </c>
    </row>
    <row r="87" spans="1:105">
      <c r="A87" s="40" t="s">
        <v>415</v>
      </c>
      <c r="B87" s="41"/>
      <c r="C87" s="43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81">
        <f t="shared" si="276"/>
        <v>147.15328914131752</v>
      </c>
      <c r="R87" s="81">
        <f t="shared" si="276"/>
        <v>144.58753809166501</v>
      </c>
      <c r="S87" s="81">
        <f t="shared" si="276"/>
        <v>140.60318346830493</v>
      </c>
      <c r="T87" s="81">
        <f t="shared" si="276"/>
        <v>142.61214767764986</v>
      </c>
      <c r="U87" s="81">
        <f t="shared" si="276"/>
        <v>143.23223747307517</v>
      </c>
      <c r="V87" s="81">
        <f t="shared" si="276"/>
        <v>149.72280724492109</v>
      </c>
      <c r="W87" s="81">
        <f t="shared" ref="W87" si="279">W39/W83*1000</f>
        <v>156.96598060894709</v>
      </c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2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40" t="s">
        <v>416</v>
      </c>
      <c r="BB87" s="44"/>
      <c r="BC87" s="44"/>
      <c r="BD87" s="44"/>
      <c r="BE87" s="44"/>
      <c r="BF87" s="44"/>
      <c r="BG87" s="45"/>
      <c r="BH87" s="45"/>
      <c r="BI87" s="45"/>
      <c r="BJ87" s="45"/>
      <c r="BK87" s="45"/>
      <c r="BL87" s="45"/>
      <c r="BM87" s="45"/>
      <c r="BN87" s="41"/>
      <c r="BO87" s="41"/>
      <c r="BP87" s="41"/>
      <c r="BQ87" s="599">
        <f t="shared" ref="BQ87:BZ87" si="280">BQ30/BQ86*1000</f>
        <v>2.6266286397877892</v>
      </c>
      <c r="BR87" s="599">
        <f t="shared" si="280"/>
        <v>2.0804625651833235</v>
      </c>
      <c r="BS87" s="599">
        <f t="shared" si="280"/>
        <v>2.1165189704515548</v>
      </c>
      <c r="BT87" s="599">
        <f t="shared" si="280"/>
        <v>2.2500619720458404</v>
      </c>
      <c r="BU87" s="599">
        <f t="shared" si="280"/>
        <v>1.5945148688511521</v>
      </c>
      <c r="BV87" s="599">
        <f t="shared" si="280"/>
        <v>1.6085298037593641</v>
      </c>
      <c r="BW87" s="599">
        <f t="shared" si="280"/>
        <v>0.62123157516306293</v>
      </c>
      <c r="BX87" s="599">
        <f t="shared" si="280"/>
        <v>0.58016516936595275</v>
      </c>
      <c r="BY87" s="599">
        <f t="shared" si="280"/>
        <v>0.26655238015595928</v>
      </c>
      <c r="BZ87" s="599">
        <f t="shared" si="280"/>
        <v>0.66538721106799392</v>
      </c>
      <c r="CA87" s="599">
        <f t="shared" ref="CA87:CB87" si="281">CA30/CA86*1000</f>
        <v>0.62646001319064737</v>
      </c>
      <c r="CB87" s="599">
        <f t="shared" si="281"/>
        <v>0.61389421462821492</v>
      </c>
      <c r="CC87" s="599">
        <f t="shared" ref="CC87:CD87" si="282">CC30/CC86*1000</f>
        <v>0.56747871989115939</v>
      </c>
      <c r="CD87" s="599">
        <f t="shared" si="282"/>
        <v>0.54504044940597618</v>
      </c>
      <c r="CE87" s="599">
        <f t="shared" ref="CE87:CF87" si="283">CE30/CE86*1000</f>
        <v>0.52492996096178934</v>
      </c>
      <c r="CF87" s="599">
        <f t="shared" si="283"/>
        <v>0.51460616478376542</v>
      </c>
      <c r="CG87" s="599">
        <f t="shared" ref="CG87:CH87" si="284">CG30/CG86*1000</f>
        <v>0.50837213968404349</v>
      </c>
      <c r="CH87" s="603">
        <f t="shared" si="284"/>
        <v>0.50687514628788677</v>
      </c>
    </row>
    <row r="88" spans="1:105" ht="16" thickBot="1">
      <c r="A88" s="49"/>
      <c r="B88" s="50"/>
      <c r="C88" s="51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617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40"/>
      <c r="BB88" s="44"/>
      <c r="BC88" s="44"/>
      <c r="BD88" s="44"/>
      <c r="BE88" s="44"/>
      <c r="BF88" s="44"/>
      <c r="BG88" s="45"/>
      <c r="BH88" s="45"/>
      <c r="BI88" s="45"/>
      <c r="BJ88" s="45"/>
      <c r="BK88" s="45"/>
      <c r="BL88" s="45"/>
      <c r="BM88" s="45"/>
      <c r="BN88" s="41"/>
      <c r="BO88" s="41"/>
      <c r="BP88" s="41"/>
      <c r="BQ88" s="599"/>
      <c r="BR88" s="599"/>
      <c r="BS88" s="599"/>
      <c r="BT88" s="599"/>
      <c r="BU88" s="599"/>
      <c r="BV88" s="599"/>
      <c r="BW88" s="599"/>
      <c r="BX88" s="599"/>
      <c r="BY88" s="599"/>
      <c r="BZ88" s="599"/>
      <c r="CA88" s="599"/>
      <c r="CB88" s="599"/>
      <c r="CC88" s="599"/>
      <c r="CD88" s="599"/>
      <c r="CE88" s="599"/>
      <c r="CF88" s="599"/>
      <c r="CG88" s="599"/>
      <c r="CH88" s="603"/>
    </row>
    <row r="89" spans="1:105" ht="16" thickBot="1"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40" t="s">
        <v>430</v>
      </c>
      <c r="BB89" s="44"/>
      <c r="BC89" s="44"/>
      <c r="BD89" s="44"/>
      <c r="BE89" s="44"/>
      <c r="BF89" s="44"/>
      <c r="BG89" s="41">
        <f>ROUND(BG77+BG82+BG86,0)</f>
        <v>24796</v>
      </c>
      <c r="BH89" s="41">
        <f t="shared" ref="BH89:BX89" si="285">ROUND(BH77+BH82+BH86,0)</f>
        <v>100735</v>
      </c>
      <c r="BI89" s="41">
        <f t="shared" si="285"/>
        <v>201470</v>
      </c>
      <c r="BJ89" s="41">
        <f t="shared" si="285"/>
        <v>268672</v>
      </c>
      <c r="BK89" s="41">
        <f t="shared" si="285"/>
        <v>372176</v>
      </c>
      <c r="BL89" s="41">
        <f t="shared" si="285"/>
        <v>378453</v>
      </c>
      <c r="BM89" s="41">
        <f t="shared" si="285"/>
        <v>452532</v>
      </c>
      <c r="BN89" s="41">
        <f t="shared" si="285"/>
        <v>450682</v>
      </c>
      <c r="BO89" s="41">
        <f t="shared" si="285"/>
        <v>458829</v>
      </c>
      <c r="BP89" s="41">
        <f t="shared" si="285"/>
        <v>463437</v>
      </c>
      <c r="BQ89" s="41">
        <f t="shared" si="285"/>
        <v>576707</v>
      </c>
      <c r="BR89" s="41">
        <f t="shared" si="285"/>
        <v>539158</v>
      </c>
      <c r="BS89" s="41">
        <f t="shared" si="285"/>
        <v>579228</v>
      </c>
      <c r="BT89" s="41">
        <f t="shared" si="285"/>
        <v>566475</v>
      </c>
      <c r="BU89" s="41">
        <f t="shared" si="285"/>
        <v>510024</v>
      </c>
      <c r="BV89" s="41">
        <f t="shared" si="285"/>
        <v>407325</v>
      </c>
      <c r="BW89" s="41">
        <f t="shared" si="285"/>
        <v>418491</v>
      </c>
      <c r="BX89" s="41">
        <f t="shared" si="285"/>
        <v>418457</v>
      </c>
      <c r="BY89" s="41">
        <f t="shared" ref="BY89:BZ89" si="286">ROUND(BY77+BY82+BY86,0)</f>
        <v>404070</v>
      </c>
      <c r="BZ89" s="41">
        <f t="shared" si="286"/>
        <v>391009</v>
      </c>
      <c r="CA89" s="41">
        <f t="shared" ref="CA89:CB89" si="287">ROUND(CA77+CA82+CA86,0)</f>
        <v>379109</v>
      </c>
      <c r="CB89" s="41">
        <f t="shared" si="287"/>
        <v>368245</v>
      </c>
      <c r="CC89" s="41">
        <f t="shared" ref="CC89:CD89" si="288">ROUND(CC77+CC82+CC86,0)</f>
        <v>358292</v>
      </c>
      <c r="CD89" s="41">
        <f t="shared" si="288"/>
        <v>349150</v>
      </c>
      <c r="CE89" s="41">
        <f t="shared" ref="CE89:CF89" si="289">ROUND(CE77+CE82+CE86,0)</f>
        <v>340733</v>
      </c>
      <c r="CF89" s="41">
        <f t="shared" si="289"/>
        <v>332966</v>
      </c>
      <c r="CG89" s="41">
        <f t="shared" ref="CG89:CH89" si="290">ROUND(CG77+CG82+CG86,0)</f>
        <v>325781</v>
      </c>
      <c r="CH89" s="42">
        <f t="shared" si="290"/>
        <v>319121</v>
      </c>
    </row>
    <row r="90" spans="1:105" ht="16" customHeight="1" thickBot="1"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49" t="s">
        <v>504</v>
      </c>
      <c r="BB90" s="50"/>
      <c r="BC90" s="51"/>
      <c r="BD90" s="51"/>
      <c r="BE90" s="51"/>
      <c r="BF90" s="51"/>
      <c r="BG90" s="719">
        <f>BG32/BG89*1000</f>
        <v>3.7001935796096141</v>
      </c>
      <c r="BH90" s="719">
        <f t="shared" ref="BH90:CC90" si="291">BH32/BH89*1000</f>
        <v>11.103390082890753</v>
      </c>
      <c r="BI90" s="719">
        <f t="shared" si="291"/>
        <v>14.232888271206631</v>
      </c>
      <c r="BJ90" s="719">
        <f t="shared" si="291"/>
        <v>14.363238446879466</v>
      </c>
      <c r="BK90" s="719">
        <f t="shared" si="291"/>
        <v>12.646570439791926</v>
      </c>
      <c r="BL90" s="719">
        <f t="shared" si="291"/>
        <v>14.324764237567148</v>
      </c>
      <c r="BM90" s="719">
        <f t="shared" si="291"/>
        <v>13.784218574598039</v>
      </c>
      <c r="BN90" s="719">
        <f t="shared" si="291"/>
        <v>17.201781917762126</v>
      </c>
      <c r="BO90" s="719">
        <f t="shared" si="291"/>
        <v>20.06847867070303</v>
      </c>
      <c r="BP90" s="719">
        <f t="shared" si="291"/>
        <v>22.197191851319594</v>
      </c>
      <c r="BQ90" s="719">
        <f t="shared" si="291"/>
        <v>16.335851654306261</v>
      </c>
      <c r="BR90" s="719">
        <f t="shared" si="291"/>
        <v>17.163799850878593</v>
      </c>
      <c r="BS90" s="719">
        <f t="shared" si="291"/>
        <v>16.534076391334676</v>
      </c>
      <c r="BT90" s="719">
        <f t="shared" si="291"/>
        <v>18.572752548656165</v>
      </c>
      <c r="BU90" s="719">
        <f t="shared" si="291"/>
        <v>20.72843630887958</v>
      </c>
      <c r="BV90" s="719">
        <f t="shared" si="291"/>
        <v>25.392499846559872</v>
      </c>
      <c r="BW90" s="719">
        <f t="shared" si="291"/>
        <v>24.920488134750808</v>
      </c>
      <c r="BX90" s="719">
        <f t="shared" si="291"/>
        <v>11.688178235756601</v>
      </c>
      <c r="BY90" s="719">
        <f t="shared" si="291"/>
        <v>11.747964461603187</v>
      </c>
      <c r="BZ90" s="719">
        <f t="shared" si="291"/>
        <v>22.114580482802186</v>
      </c>
      <c r="CA90" s="719">
        <f t="shared" si="291"/>
        <v>22.703233107101124</v>
      </c>
      <c r="CB90" s="719">
        <f t="shared" si="291"/>
        <v>22.319379760757105</v>
      </c>
      <c r="CC90" s="719">
        <f t="shared" si="291"/>
        <v>21.692055641767052</v>
      </c>
      <c r="CD90" s="719">
        <f t="shared" ref="CD90:CE90" si="292">CD32/CD89*1000</f>
        <v>21.384677072891304</v>
      </c>
      <c r="CE90" s="719">
        <f t="shared" si="292"/>
        <v>21.238007472126267</v>
      </c>
      <c r="CF90" s="719">
        <f t="shared" ref="CF90:CG90" si="293">CF32/CF89*1000</f>
        <v>21.282593417946579</v>
      </c>
      <c r="CG90" s="719">
        <f t="shared" si="293"/>
        <v>21.465954122554724</v>
      </c>
      <c r="CH90" s="720">
        <f t="shared" ref="CH90" si="294">CH32/CH89*1000</f>
        <v>21.760617446047107</v>
      </c>
      <c r="CJ90" s="439" t="s">
        <v>137</v>
      </c>
      <c r="CK90" s="440"/>
      <c r="CL90" s="440"/>
      <c r="CM90" s="440"/>
      <c r="CN90" s="440"/>
      <c r="CO90" s="440"/>
      <c r="CP90" s="440"/>
      <c r="CQ90" s="440"/>
      <c r="CR90" s="440"/>
      <c r="CS90" s="440"/>
      <c r="CT90" s="440"/>
      <c r="CU90" s="440"/>
      <c r="CV90" s="440"/>
      <c r="CW90" s="440"/>
      <c r="CX90" s="440"/>
      <c r="CY90" s="440"/>
      <c r="CZ90" s="440"/>
      <c r="DA90" s="441"/>
    </row>
    <row r="91" spans="1:105" ht="16" thickBot="1"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CJ91" s="442"/>
      <c r="CK91" s="443"/>
      <c r="CL91" s="443"/>
      <c r="CM91" s="443"/>
      <c r="CN91" s="443"/>
      <c r="CO91" s="443"/>
      <c r="CP91" s="443"/>
      <c r="CQ91" s="443"/>
      <c r="CR91" s="443"/>
      <c r="CS91" s="443"/>
      <c r="CT91" s="443"/>
      <c r="CU91" s="443"/>
      <c r="CV91" s="443"/>
      <c r="CW91" s="443"/>
      <c r="CX91" s="443"/>
      <c r="CY91" s="443"/>
      <c r="CZ91" s="443"/>
      <c r="DA91" s="444"/>
    </row>
    <row r="92" spans="1:105" ht="16" thickBot="1"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65" t="s">
        <v>391</v>
      </c>
      <c r="BB92" s="66"/>
      <c r="BC92" s="67">
        <f t="shared" ref="BC92:CH92" si="295">(BC42+C124)/1000</f>
        <v>8.1912249226806235</v>
      </c>
      <c r="BD92" s="67">
        <f t="shared" si="295"/>
        <v>6.9098457354603537</v>
      </c>
      <c r="BE92" s="67">
        <f t="shared" si="295"/>
        <v>7.0771233096086563</v>
      </c>
      <c r="BF92" s="67">
        <f t="shared" si="295"/>
        <v>7.4837594760184869</v>
      </c>
      <c r="BG92" s="67">
        <f t="shared" si="295"/>
        <v>7.3920164385508835</v>
      </c>
      <c r="BH92" s="67">
        <f t="shared" si="295"/>
        <v>10.787311307872034</v>
      </c>
      <c r="BI92" s="67">
        <f t="shared" si="295"/>
        <v>10.734067976494858</v>
      </c>
      <c r="BJ92" s="67">
        <f t="shared" si="295"/>
        <v>12.548416017147904</v>
      </c>
      <c r="BK92" s="67">
        <f t="shared" si="295"/>
        <v>14.291096787354556</v>
      </c>
      <c r="BL92" s="67">
        <f t="shared" si="295"/>
        <v>15.727493893977513</v>
      </c>
      <c r="BM92" s="67">
        <f t="shared" si="295"/>
        <v>16.918861163418985</v>
      </c>
      <c r="BN92" s="67">
        <f t="shared" si="295"/>
        <v>17.964004817650569</v>
      </c>
      <c r="BO92" s="67">
        <f t="shared" si="295"/>
        <v>19.264954857558408</v>
      </c>
      <c r="BP92" s="67">
        <f t="shared" si="295"/>
        <v>18.971965909835781</v>
      </c>
      <c r="BQ92" s="67">
        <f t="shared" si="295"/>
        <v>17.810905795885343</v>
      </c>
      <c r="BR92" s="67">
        <f t="shared" si="295"/>
        <v>17.477156600507033</v>
      </c>
      <c r="BS92" s="67">
        <f t="shared" si="295"/>
        <v>17.64267962854964</v>
      </c>
      <c r="BT92" s="67">
        <f t="shared" si="295"/>
        <v>19.613098148679491</v>
      </c>
      <c r="BU92" s="67">
        <f t="shared" si="295"/>
        <v>19.480022038130215</v>
      </c>
      <c r="BV92" s="67">
        <f t="shared" si="295"/>
        <v>19.428439380499711</v>
      </c>
      <c r="BW92" s="67">
        <f t="shared" si="295"/>
        <v>19.865354896129922</v>
      </c>
      <c r="BX92" s="67">
        <f t="shared" si="295"/>
        <v>13.288298167236913</v>
      </c>
      <c r="BY92" s="67">
        <f t="shared" si="295"/>
        <v>15.726897122403363</v>
      </c>
      <c r="BZ92" s="67">
        <f t="shared" si="295"/>
        <v>20.626455981971088</v>
      </c>
      <c r="CA92" s="67">
        <f t="shared" si="295"/>
        <v>20.960409656887691</v>
      </c>
      <c r="CB92" s="67">
        <f t="shared" si="295"/>
        <v>21.790812971580021</v>
      </c>
      <c r="CC92" s="67">
        <f t="shared" si="295"/>
        <v>22.25142626349437</v>
      </c>
      <c r="CD92" s="67">
        <f t="shared" si="295"/>
        <v>22.776958299808545</v>
      </c>
      <c r="CE92" s="67">
        <f t="shared" si="295"/>
        <v>23.411758188362068</v>
      </c>
      <c r="CF92" s="67">
        <f t="shared" si="295"/>
        <v>24.160571748371932</v>
      </c>
      <c r="CG92" s="67">
        <f t="shared" si="295"/>
        <v>25.000663609419242</v>
      </c>
      <c r="CH92" s="68">
        <f t="shared" si="295"/>
        <v>25.926063489449579</v>
      </c>
      <c r="CJ92" s="442"/>
      <c r="CK92" s="443"/>
      <c r="CL92" s="443"/>
      <c r="CM92" s="443"/>
      <c r="CN92" s="443"/>
      <c r="CO92" s="443"/>
      <c r="CP92" s="443"/>
      <c r="CQ92" s="443"/>
      <c r="CR92" s="443"/>
      <c r="CS92" s="443"/>
      <c r="CT92" s="443"/>
      <c r="CU92" s="443"/>
      <c r="CV92" s="443"/>
      <c r="CW92" s="443"/>
      <c r="CX92" s="443"/>
      <c r="CY92" s="443"/>
      <c r="CZ92" s="443"/>
      <c r="DA92" s="444"/>
    </row>
    <row r="93" spans="1:105"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J93" s="442"/>
      <c r="CK93" s="443"/>
      <c r="CL93" s="443"/>
      <c r="CM93" s="443"/>
      <c r="CN93" s="443"/>
      <c r="CO93" s="443"/>
      <c r="CP93" s="443"/>
      <c r="CQ93" s="443"/>
      <c r="CR93" s="443"/>
      <c r="CS93" s="443"/>
      <c r="CT93" s="443"/>
      <c r="CU93" s="443"/>
      <c r="CV93" s="443"/>
      <c r="CW93" s="443"/>
      <c r="CX93" s="443"/>
      <c r="CY93" s="443"/>
      <c r="CZ93" s="443"/>
      <c r="DA93" s="444"/>
    </row>
    <row r="94" spans="1:105"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72"/>
      <c r="BC94" s="72"/>
      <c r="BD94" s="72"/>
      <c r="BE94" s="72"/>
      <c r="BF94" s="72"/>
      <c r="BG94" s="586">
        <f t="shared" ref="BG94:BZ94" si="296">BG20-BG49</f>
        <v>895.11378743417322</v>
      </c>
      <c r="BH94" s="587">
        <f t="shared" si="296"/>
        <v>880.05471076157426</v>
      </c>
      <c r="BI94" s="587">
        <f t="shared" si="296"/>
        <v>847.00308050421336</v>
      </c>
      <c r="BJ94" s="587">
        <f t="shared" si="296"/>
        <v>890.19925550955327</v>
      </c>
      <c r="BK94" s="587">
        <f t="shared" si="296"/>
        <v>844</v>
      </c>
      <c r="BL94" s="587">
        <f t="shared" si="296"/>
        <v>675.35910222716518</v>
      </c>
      <c r="BM94" s="587">
        <f t="shared" si="296"/>
        <v>588.68292963118404</v>
      </c>
      <c r="BN94" s="587">
        <f t="shared" si="296"/>
        <v>513.16971899999999</v>
      </c>
      <c r="BO94" s="587">
        <f t="shared" si="296"/>
        <v>387.84087969999996</v>
      </c>
      <c r="BP94" s="587">
        <f t="shared" si="296"/>
        <v>281.99999999999994</v>
      </c>
      <c r="BQ94" s="587">
        <f t="shared" si="296"/>
        <v>225.99999999999997</v>
      </c>
      <c r="BR94" s="587">
        <f t="shared" si="296"/>
        <v>184</v>
      </c>
      <c r="BS94" s="587">
        <f t="shared" si="296"/>
        <v>166</v>
      </c>
      <c r="BT94" s="587">
        <f t="shared" si="296"/>
        <v>155</v>
      </c>
      <c r="BU94" s="587">
        <f t="shared" si="296"/>
        <v>135</v>
      </c>
      <c r="BV94" s="587">
        <f t="shared" si="296"/>
        <v>122</v>
      </c>
      <c r="BW94" s="587">
        <f t="shared" si="296"/>
        <v>107</v>
      </c>
      <c r="BX94" s="587">
        <f t="shared" si="296"/>
        <v>52.602563119999985</v>
      </c>
      <c r="BY94" s="587">
        <f t="shared" si="296"/>
        <v>40.068252749999999</v>
      </c>
      <c r="BZ94" s="587">
        <f t="shared" si="296"/>
        <v>78.62407159</v>
      </c>
      <c r="CA94" s="587">
        <f t="shared" ref="CA94:CB94" si="297">CA20-CA49</f>
        <v>73.829620442448615</v>
      </c>
      <c r="CB94" s="587">
        <f t="shared" si="297"/>
        <v>67.87420859632266</v>
      </c>
      <c r="CC94" s="587">
        <f t="shared" ref="CC94:CD94" si="298">CC20-CC49</f>
        <v>65.125775061241825</v>
      </c>
      <c r="CD94" s="587">
        <f t="shared" si="298"/>
        <v>62.630620053685789</v>
      </c>
      <c r="CE94" s="587">
        <f>CE20-CE49</f>
        <v>60.080368522130641</v>
      </c>
      <c r="CF94" s="587">
        <f>CF20-CF49</f>
        <v>57.649094318322199</v>
      </c>
      <c r="CG94" s="587">
        <f>CG20-CG49</f>
        <v>55.240891669695387</v>
      </c>
      <c r="CH94" s="588">
        <f>CH20-CH49</f>
        <v>56.247039602639589</v>
      </c>
      <c r="CJ94" s="442"/>
      <c r="CK94" s="443"/>
      <c r="CL94" s="443"/>
      <c r="CM94" s="443"/>
      <c r="CN94" s="443"/>
      <c r="CO94" s="443"/>
      <c r="CP94" s="443"/>
      <c r="CQ94" s="443"/>
      <c r="CR94" s="443"/>
      <c r="CS94" s="443"/>
      <c r="CT94" s="443"/>
      <c r="CU94" s="443"/>
      <c r="CV94" s="443"/>
      <c r="CW94" s="443"/>
      <c r="CX94" s="443"/>
      <c r="CY94" s="443"/>
      <c r="CZ94" s="443"/>
      <c r="DA94" s="444"/>
    </row>
    <row r="95" spans="1:105"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13"/>
      <c r="BC95" s="13"/>
      <c r="BD95" s="13"/>
      <c r="BE95" s="72"/>
      <c r="BF95" s="72"/>
      <c r="BG95" s="589">
        <f t="shared" ref="BG95:BZ95" si="299">BG21-BG50-BG51-BG52+BG22+BG23</f>
        <v>422.49468085106378</v>
      </c>
      <c r="BH95" s="52">
        <f t="shared" si="299"/>
        <v>455.33510638297867</v>
      </c>
      <c r="BI95" s="52">
        <f t="shared" si="299"/>
        <v>481.39893617021272</v>
      </c>
      <c r="BJ95" s="52">
        <f t="shared" si="299"/>
        <v>674.01063829787233</v>
      </c>
      <c r="BK95" s="52">
        <f t="shared" si="299"/>
        <v>662.21425617696264</v>
      </c>
      <c r="BL95" s="52">
        <f t="shared" si="299"/>
        <v>882.50950756929069</v>
      </c>
      <c r="BM95" s="52">
        <f t="shared" si="299"/>
        <v>741.26261829034422</v>
      </c>
      <c r="BN95" s="52">
        <f t="shared" si="299"/>
        <v>753.16100000000006</v>
      </c>
      <c r="BO95" s="52">
        <f t="shared" si="299"/>
        <v>704.16529200000002</v>
      </c>
      <c r="BP95" s="52">
        <f t="shared" si="299"/>
        <v>532</v>
      </c>
      <c r="BQ95" s="52">
        <f t="shared" si="299"/>
        <v>592.79999999999995</v>
      </c>
      <c r="BR95" s="52">
        <f t="shared" si="299"/>
        <v>775</v>
      </c>
      <c r="BS95" s="52">
        <f t="shared" si="299"/>
        <v>689</v>
      </c>
      <c r="BT95" s="52">
        <f t="shared" si="299"/>
        <v>769</v>
      </c>
      <c r="BU95" s="52">
        <f t="shared" si="299"/>
        <v>1013</v>
      </c>
      <c r="BV95" s="52">
        <f t="shared" si="299"/>
        <v>1095.1792881000001</v>
      </c>
      <c r="BW95" s="52">
        <f t="shared" si="299"/>
        <v>1149.2500122000001</v>
      </c>
      <c r="BX95" s="52">
        <f t="shared" si="299"/>
        <v>753.05802167057277</v>
      </c>
      <c r="BY95" s="52">
        <f t="shared" si="299"/>
        <v>554.05718266637518</v>
      </c>
      <c r="BZ95" s="52">
        <f t="shared" si="299"/>
        <v>1219.8096232800001</v>
      </c>
      <c r="CA95" s="52">
        <f t="shared" ref="CA95:CB95" si="300">CA21-CA50-CA51-CA52+CA22+CA23</f>
        <v>1343.3137725239017</v>
      </c>
      <c r="CB95" s="52">
        <f t="shared" si="300"/>
        <v>1422.5142361908374</v>
      </c>
      <c r="CC95" s="52">
        <f t="shared" ref="CC95:CD95" si="301">CC21-CC50-CC51-CC52+CC22+CC23</f>
        <v>1581.8779472170502</v>
      </c>
      <c r="CD95" s="52">
        <f t="shared" si="301"/>
        <v>1593.9239295293235</v>
      </c>
      <c r="CE95" s="52">
        <f t="shared" ref="CE95:CF95" si="302">CE21-CE50-CE51-CE52+CE22+CE23</f>
        <v>1650.2588366539044</v>
      </c>
      <c r="CF95" s="52">
        <f t="shared" si="302"/>
        <v>1702.7098965015598</v>
      </c>
      <c r="CG95" s="52">
        <f t="shared" ref="CG95:CH95" si="303">CG21-CG50-CG51-CG52+CG22+CG23</f>
        <v>1748.9797296226668</v>
      </c>
      <c r="CH95" s="590">
        <f t="shared" si="303"/>
        <v>1887.9186008795489</v>
      </c>
      <c r="CJ95" s="442"/>
      <c r="CK95" s="443"/>
      <c r="CL95" s="443"/>
      <c r="CM95" s="443"/>
      <c r="CN95" s="443"/>
      <c r="CO95" s="443"/>
      <c r="CP95" s="443"/>
      <c r="CQ95" s="443"/>
      <c r="CR95" s="443"/>
      <c r="CS95" s="443"/>
      <c r="CT95" s="443"/>
      <c r="CU95" s="443"/>
      <c r="CV95" s="443"/>
      <c r="CW95" s="443"/>
      <c r="CX95" s="443"/>
      <c r="CY95" s="443"/>
      <c r="CZ95" s="443"/>
      <c r="DA95" s="444"/>
    </row>
    <row r="96" spans="1:105"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13"/>
      <c r="BC96" s="13"/>
      <c r="BD96" s="13"/>
      <c r="BE96" s="72"/>
      <c r="BF96" s="72"/>
      <c r="BG96" s="589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90"/>
      <c r="CJ96" s="442"/>
      <c r="CK96" s="443"/>
      <c r="CL96" s="443"/>
      <c r="CM96" s="443"/>
      <c r="CN96" s="443"/>
      <c r="CO96" s="443"/>
      <c r="CP96" s="443"/>
      <c r="CQ96" s="443"/>
      <c r="CR96" s="443"/>
      <c r="CS96" s="443"/>
      <c r="CT96" s="443"/>
      <c r="CU96" s="443"/>
      <c r="CV96" s="443"/>
      <c r="CW96" s="443"/>
      <c r="CX96" s="443"/>
      <c r="CY96" s="443"/>
      <c r="CZ96" s="443"/>
      <c r="DA96" s="444"/>
    </row>
    <row r="97" spans="1:105"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13"/>
      <c r="BB97" s="13"/>
      <c r="BC97" s="13"/>
      <c r="BD97" s="90"/>
      <c r="BE97" s="90"/>
      <c r="BF97" s="72"/>
      <c r="BG97" s="589">
        <f>BG26</f>
        <v>532</v>
      </c>
      <c r="BH97" s="52">
        <f t="shared" ref="BH97:BZ97" si="304">BH26</f>
        <v>564.86</v>
      </c>
      <c r="BI97" s="52">
        <f t="shared" si="304"/>
        <v>487.53099999999995</v>
      </c>
      <c r="BJ97" s="52">
        <f t="shared" si="304"/>
        <v>548.24399999999991</v>
      </c>
      <c r="BK97" s="52">
        <f t="shared" si="304"/>
        <v>551.65499999999997</v>
      </c>
      <c r="BL97" s="52">
        <f t="shared" si="304"/>
        <v>529.596</v>
      </c>
      <c r="BM97" s="52">
        <f t="shared" si="304"/>
        <v>485.97999999999996</v>
      </c>
      <c r="BN97" s="52">
        <f t="shared" si="304"/>
        <v>466.68299999999999</v>
      </c>
      <c r="BO97" s="52">
        <f t="shared" si="304"/>
        <v>420.26400000000001</v>
      </c>
      <c r="BP97" s="52">
        <f t="shared" si="304"/>
        <v>343.97999999999996</v>
      </c>
      <c r="BQ97" s="52">
        <f t="shared" si="304"/>
        <v>309</v>
      </c>
      <c r="BR97" s="52">
        <f t="shared" si="304"/>
        <v>305.62806324600837</v>
      </c>
      <c r="BS97" s="52">
        <f t="shared" si="304"/>
        <v>298</v>
      </c>
      <c r="BT97" s="52">
        <f t="shared" si="304"/>
        <v>290.30375063603594</v>
      </c>
      <c r="BU97" s="52">
        <f t="shared" si="304"/>
        <v>288.16827486363604</v>
      </c>
      <c r="BV97" s="52">
        <f t="shared" si="304"/>
        <v>243.755359</v>
      </c>
      <c r="BW97" s="52">
        <f t="shared" si="304"/>
        <v>197.96189788199999</v>
      </c>
      <c r="BX97" s="52">
        <f t="shared" si="304"/>
        <v>94.812078999999997</v>
      </c>
      <c r="BY97" s="52">
        <f t="shared" si="304"/>
        <v>59.829000000000001</v>
      </c>
      <c r="BZ97" s="52">
        <f t="shared" si="304"/>
        <v>131.58600000000001</v>
      </c>
      <c r="CA97" s="52">
        <f t="shared" ref="CA97:CB97" si="305">CA26</f>
        <v>130.01155278085193</v>
      </c>
      <c r="CB97" s="52">
        <f t="shared" si="305"/>
        <v>127.35422110278705</v>
      </c>
      <c r="CC97" s="52">
        <f t="shared" ref="CC97:CD97" si="306">CC26</f>
        <v>124.81358077626645</v>
      </c>
      <c r="CD97" s="52">
        <f t="shared" si="306"/>
        <v>122.71700365315007</v>
      </c>
      <c r="CE97" s="52">
        <f t="shared" ref="CE97:CF97" si="307">CE26</f>
        <v>120.69575709753718</v>
      </c>
      <c r="CF97" s="52">
        <f t="shared" si="307"/>
        <v>118.98196039673631</v>
      </c>
      <c r="CG97" s="52">
        <f t="shared" ref="CG97:CH97" si="308">CG26</f>
        <v>117.47285877562823</v>
      </c>
      <c r="CH97" s="590">
        <f t="shared" si="308"/>
        <v>116.13189805796802</v>
      </c>
      <c r="CJ97" s="442"/>
      <c r="CK97" s="443"/>
      <c r="CL97" s="443"/>
      <c r="CM97" s="443"/>
      <c r="CN97" s="443"/>
      <c r="CO97" s="443"/>
      <c r="CP97" s="443"/>
      <c r="CQ97" s="443"/>
      <c r="CR97" s="443"/>
      <c r="CS97" s="443"/>
      <c r="CT97" s="443"/>
      <c r="CU97" s="443"/>
      <c r="CV97" s="443"/>
      <c r="CW97" s="443"/>
      <c r="CX97" s="443"/>
      <c r="CY97" s="443"/>
      <c r="CZ97" s="443"/>
      <c r="DA97" s="444"/>
    </row>
    <row r="98" spans="1:105"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90"/>
      <c r="BD98" s="53"/>
      <c r="BE98" s="53"/>
      <c r="BF98" s="53"/>
      <c r="BG98" s="589">
        <f t="shared" ref="BG98:BZ98" si="309">BG32</f>
        <v>91.75</v>
      </c>
      <c r="BH98" s="52">
        <f t="shared" si="309"/>
        <v>1118.5</v>
      </c>
      <c r="BI98" s="52">
        <f t="shared" si="309"/>
        <v>2867.5</v>
      </c>
      <c r="BJ98" s="52">
        <f t="shared" si="309"/>
        <v>3859</v>
      </c>
      <c r="BK98" s="52">
        <f t="shared" si="309"/>
        <v>4706.75</v>
      </c>
      <c r="BL98" s="52">
        <f t="shared" si="309"/>
        <v>5421.25</v>
      </c>
      <c r="BM98" s="52">
        <f t="shared" si="309"/>
        <v>6237.8</v>
      </c>
      <c r="BN98" s="52">
        <f t="shared" si="309"/>
        <v>7752.5334782608697</v>
      </c>
      <c r="BO98" s="52">
        <f t="shared" si="309"/>
        <v>9208</v>
      </c>
      <c r="BP98" s="52">
        <f t="shared" si="309"/>
        <v>10287</v>
      </c>
      <c r="BQ98" s="52">
        <f t="shared" si="309"/>
        <v>9421</v>
      </c>
      <c r="BR98" s="52">
        <f t="shared" si="309"/>
        <v>9254</v>
      </c>
      <c r="BS98" s="52">
        <f t="shared" si="309"/>
        <v>9577</v>
      </c>
      <c r="BT98" s="52">
        <f t="shared" si="309"/>
        <v>10521</v>
      </c>
      <c r="BU98" s="52">
        <f t="shared" si="309"/>
        <v>10572</v>
      </c>
      <c r="BV98" s="52">
        <f t="shared" si="309"/>
        <v>10343</v>
      </c>
      <c r="BW98" s="52">
        <f t="shared" si="309"/>
        <v>10429</v>
      </c>
      <c r="BX98" s="52">
        <f t="shared" si="309"/>
        <v>4891</v>
      </c>
      <c r="BY98" s="52">
        <f t="shared" si="309"/>
        <v>4747</v>
      </c>
      <c r="BZ98" s="52">
        <f t="shared" si="309"/>
        <v>8647</v>
      </c>
      <c r="CA98" s="52">
        <f t="shared" ref="CA98:CB98" si="310">CA32</f>
        <v>8607</v>
      </c>
      <c r="CB98" s="52">
        <f t="shared" si="310"/>
        <v>8219</v>
      </c>
      <c r="CC98" s="52">
        <f t="shared" ref="CC98:CD98" si="311">CC32</f>
        <v>7772.09</v>
      </c>
      <c r="CD98" s="52">
        <f t="shared" si="311"/>
        <v>7466.4599999999991</v>
      </c>
      <c r="CE98" s="52">
        <f t="shared" ref="CE98:CF98" si="312">CE32</f>
        <v>7236.49</v>
      </c>
      <c r="CF98" s="52">
        <f t="shared" si="312"/>
        <v>7086.380000000001</v>
      </c>
      <c r="CG98" s="52">
        <f t="shared" ref="CG98:CH98" si="313">CG32</f>
        <v>6993.2</v>
      </c>
      <c r="CH98" s="590">
        <f t="shared" si="313"/>
        <v>6944.2699999999995</v>
      </c>
      <c r="CJ98" s="442"/>
      <c r="CK98" s="443"/>
      <c r="CL98" s="443"/>
      <c r="CM98" s="443"/>
      <c r="CN98" s="443"/>
      <c r="CO98" s="443"/>
      <c r="CP98" s="443"/>
      <c r="CQ98" s="443"/>
      <c r="CR98" s="443"/>
      <c r="CS98" s="443"/>
      <c r="CT98" s="443"/>
      <c r="CU98" s="443"/>
      <c r="CV98" s="443"/>
      <c r="CW98" s="443"/>
      <c r="CX98" s="443"/>
      <c r="CY98" s="443"/>
      <c r="CZ98" s="443"/>
      <c r="DA98" s="444"/>
    </row>
    <row r="99" spans="1:105"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G99" s="589">
        <f t="shared" ref="BG99:BZ99" si="314">BG33-BG58</f>
        <v>536.00926998841248</v>
      </c>
      <c r="BH99" s="52">
        <f t="shared" si="314"/>
        <v>657.53881807647747</v>
      </c>
      <c r="BI99" s="52">
        <f t="shared" si="314"/>
        <v>662.22943221320975</v>
      </c>
      <c r="BJ99" s="52">
        <f t="shared" si="314"/>
        <v>748.36616454229431</v>
      </c>
      <c r="BK99" s="52">
        <f t="shared" si="314"/>
        <v>736</v>
      </c>
      <c r="BL99" s="52">
        <f t="shared" si="314"/>
        <v>687</v>
      </c>
      <c r="BM99" s="52">
        <f t="shared" si="314"/>
        <v>454</v>
      </c>
      <c r="BN99" s="52">
        <f t="shared" si="314"/>
        <v>541</v>
      </c>
      <c r="BO99" s="52">
        <f t="shared" si="314"/>
        <v>463</v>
      </c>
      <c r="BP99" s="52">
        <f t="shared" si="314"/>
        <v>535.2458513427955</v>
      </c>
      <c r="BQ99" s="52">
        <f t="shared" si="314"/>
        <v>577</v>
      </c>
      <c r="BR99" s="52">
        <f t="shared" si="314"/>
        <v>528</v>
      </c>
      <c r="BS99" s="52">
        <f t="shared" si="314"/>
        <v>449</v>
      </c>
      <c r="BT99" s="52">
        <f t="shared" si="314"/>
        <v>440</v>
      </c>
      <c r="BU99" s="52">
        <f t="shared" si="314"/>
        <v>450.12</v>
      </c>
      <c r="BV99" s="52">
        <f t="shared" si="314"/>
        <v>457.92477687000002</v>
      </c>
      <c r="BW99" s="52">
        <f t="shared" si="314"/>
        <v>448.57796067696762</v>
      </c>
      <c r="BX99" s="52">
        <f t="shared" si="314"/>
        <v>182.82662886921401</v>
      </c>
      <c r="BY99" s="52">
        <f t="shared" si="314"/>
        <v>220.42511223400001</v>
      </c>
      <c r="BZ99" s="52">
        <f t="shared" si="314"/>
        <v>427.89953682499998</v>
      </c>
      <c r="CA99" s="52">
        <f t="shared" ref="CA99:CB99" si="315">CA33-CA58</f>
        <v>424.20393330000002</v>
      </c>
      <c r="CB99" s="52">
        <f t="shared" si="315"/>
        <v>423.31243250288594</v>
      </c>
      <c r="CC99" s="52">
        <f t="shared" ref="CC99:CD99" si="316">CC33-CC58</f>
        <v>426.56147115175321</v>
      </c>
      <c r="CD99" s="52">
        <f t="shared" si="316"/>
        <v>423.54843818045191</v>
      </c>
      <c r="CE99" s="52">
        <f t="shared" ref="CE99:CF99" si="317">CE33-CE58</f>
        <v>420.05255743254099</v>
      </c>
      <c r="CF99" s="52">
        <f t="shared" si="317"/>
        <v>417.53499493213957</v>
      </c>
      <c r="CG99" s="52">
        <f t="shared" ref="CG99:CH99" si="318">CG33-CG58</f>
        <v>415.59817306518852</v>
      </c>
      <c r="CH99" s="590">
        <f t="shared" si="318"/>
        <v>414.15584655751604</v>
      </c>
      <c r="CJ99" s="442"/>
      <c r="CK99" s="443"/>
      <c r="CL99" s="443"/>
      <c r="CM99" s="443"/>
      <c r="CN99" s="443"/>
      <c r="CO99" s="443"/>
      <c r="CP99" s="443"/>
      <c r="CQ99" s="443"/>
      <c r="CR99" s="443"/>
      <c r="CS99" s="443"/>
      <c r="CT99" s="443"/>
      <c r="CU99" s="443"/>
      <c r="CV99" s="443"/>
      <c r="CW99" s="443"/>
      <c r="CX99" s="443"/>
      <c r="CY99" s="443"/>
      <c r="CZ99" s="443"/>
      <c r="DA99" s="444"/>
    </row>
    <row r="100" spans="1:105"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G100" s="589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90"/>
      <c r="CJ100" s="442"/>
      <c r="CK100" s="443"/>
      <c r="CL100" s="443"/>
      <c r="CM100" s="443"/>
      <c r="CN100" s="443"/>
      <c r="CO100" s="443"/>
      <c r="CP100" s="443"/>
      <c r="CQ100" s="443"/>
      <c r="CR100" s="443"/>
      <c r="CS100" s="443"/>
      <c r="CT100" s="443"/>
      <c r="CU100" s="443"/>
      <c r="CV100" s="443"/>
      <c r="CW100" s="443"/>
      <c r="CX100" s="443"/>
      <c r="CY100" s="443"/>
      <c r="CZ100" s="443"/>
      <c r="DA100" s="444"/>
    </row>
    <row r="101" spans="1:105">
      <c r="U101" s="126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G101" s="591">
        <f t="shared" ref="BG101:BZ101" si="319">BG40-BG63</f>
        <v>4837.583494642764</v>
      </c>
      <c r="BH101" s="592">
        <f t="shared" si="319"/>
        <v>6972.3117955686721</v>
      </c>
      <c r="BI101" s="592">
        <f t="shared" si="319"/>
        <v>5157.7037586161332</v>
      </c>
      <c r="BJ101" s="592">
        <f t="shared" si="319"/>
        <v>5547.207045627827</v>
      </c>
      <c r="BK101" s="592">
        <f t="shared" si="319"/>
        <v>6357</v>
      </c>
      <c r="BL101" s="592">
        <f t="shared" si="319"/>
        <v>6962</v>
      </c>
      <c r="BM101" s="592">
        <f t="shared" si="319"/>
        <v>7541.1911202587271</v>
      </c>
      <c r="BN101" s="592">
        <f t="shared" si="319"/>
        <v>6878.4308350000001</v>
      </c>
      <c r="BO101" s="592">
        <f t="shared" si="319"/>
        <v>6978.4114689999997</v>
      </c>
      <c r="BP101" s="592">
        <f t="shared" si="319"/>
        <v>5923</v>
      </c>
      <c r="BQ101" s="592">
        <f t="shared" si="319"/>
        <v>5645</v>
      </c>
      <c r="BR101" s="592">
        <f t="shared" si="319"/>
        <v>5419</v>
      </c>
      <c r="BS101" s="592">
        <f t="shared" si="319"/>
        <v>5401</v>
      </c>
      <c r="BT101" s="592">
        <f t="shared" si="319"/>
        <v>6199</v>
      </c>
      <c r="BU101" s="592">
        <f t="shared" si="319"/>
        <v>5442.1</v>
      </c>
      <c r="BV101" s="592">
        <f t="shared" si="319"/>
        <v>5344.47</v>
      </c>
      <c r="BW101" s="592">
        <f t="shared" si="319"/>
        <v>5496.1500000000005</v>
      </c>
      <c r="BX101" s="592">
        <f t="shared" si="319"/>
        <v>4469.55</v>
      </c>
      <c r="BY101" s="592">
        <f t="shared" si="319"/>
        <v>6219.59</v>
      </c>
      <c r="BZ101" s="592">
        <f t="shared" si="319"/>
        <v>6076.86</v>
      </c>
      <c r="CA101" s="592">
        <f t="shared" ref="CA101:CB101" si="320">CA40-CA63</f>
        <v>5824.6882238673816</v>
      </c>
      <c r="CB101" s="592">
        <f t="shared" si="320"/>
        <v>6345.9203353775147</v>
      </c>
      <c r="CC101" s="592">
        <f t="shared" ref="CC101:CD101" si="321">CC40-CC63</f>
        <v>6502.1395610708196</v>
      </c>
      <c r="CD101" s="592">
        <f t="shared" si="321"/>
        <v>6676.8400526829846</v>
      </c>
      <c r="CE101" s="592">
        <f t="shared" ref="CE101:CF101" si="322">CE40-CE63</f>
        <v>6877.6656023594387</v>
      </c>
      <c r="CF101" s="592">
        <f t="shared" si="322"/>
        <v>7080.1394633857917</v>
      </c>
      <c r="CG101" s="592">
        <f t="shared" ref="CG101:CH101" si="323">CG40-CG63</f>
        <v>7293.8584180352373</v>
      </c>
      <c r="CH101" s="593">
        <f t="shared" si="323"/>
        <v>7520.7887034084133</v>
      </c>
      <c r="CJ101" s="442"/>
      <c r="CK101" s="443"/>
      <c r="CL101" s="443"/>
      <c r="CM101" s="443"/>
      <c r="CN101" s="443"/>
      <c r="CO101" s="443"/>
      <c r="CP101" s="443"/>
      <c r="CQ101" s="443"/>
      <c r="CR101" s="443"/>
      <c r="CS101" s="443"/>
      <c r="CT101" s="443"/>
      <c r="CU101" s="443"/>
      <c r="CV101" s="443"/>
      <c r="CW101" s="443"/>
      <c r="CX101" s="443"/>
      <c r="CY101" s="443"/>
      <c r="CZ101" s="443"/>
      <c r="DA101" s="444"/>
    </row>
    <row r="102" spans="1:105">
      <c r="U102" s="126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CJ102" s="442"/>
      <c r="CK102" s="443"/>
      <c r="CL102" s="443"/>
      <c r="CM102" s="443"/>
      <c r="CN102" s="443"/>
      <c r="CO102" s="443"/>
      <c r="CP102" s="443"/>
      <c r="CQ102" s="443"/>
      <c r="CR102" s="443"/>
      <c r="CS102" s="443"/>
      <c r="CT102" s="443"/>
      <c r="CU102" s="443"/>
      <c r="CV102" s="443"/>
      <c r="CW102" s="443"/>
      <c r="CX102" s="443"/>
      <c r="CY102" s="443"/>
      <c r="CZ102" s="443"/>
      <c r="DA102" s="444"/>
    </row>
    <row r="103" spans="1:105">
      <c r="U103" s="126"/>
      <c r="AH103" s="126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G103" s="209"/>
      <c r="BH103" s="209"/>
      <c r="BI103" s="209"/>
      <c r="BJ103" s="209"/>
      <c r="BK103" s="586">
        <f t="shared" ref="BK103:BZ103" si="324">BK49</f>
        <v>0</v>
      </c>
      <c r="BL103" s="587">
        <f t="shared" si="324"/>
        <v>28.640897772834748</v>
      </c>
      <c r="BM103" s="587">
        <f t="shared" si="324"/>
        <v>33.317070368815934</v>
      </c>
      <c r="BN103" s="587">
        <f t="shared" si="324"/>
        <v>28.830280999999996</v>
      </c>
      <c r="BO103" s="587">
        <f t="shared" si="324"/>
        <v>20.582395999999999</v>
      </c>
      <c r="BP103" s="587">
        <f t="shared" si="324"/>
        <v>17</v>
      </c>
      <c r="BQ103" s="587">
        <f t="shared" si="324"/>
        <v>15</v>
      </c>
      <c r="BR103" s="587">
        <f t="shared" si="324"/>
        <v>14</v>
      </c>
      <c r="BS103" s="587">
        <f t="shared" si="324"/>
        <v>15</v>
      </c>
      <c r="BT103" s="587">
        <f t="shared" si="324"/>
        <v>16</v>
      </c>
      <c r="BU103" s="587">
        <f t="shared" si="324"/>
        <v>17</v>
      </c>
      <c r="BV103" s="587">
        <f t="shared" si="324"/>
        <v>16</v>
      </c>
      <c r="BW103" s="587">
        <f t="shared" si="324"/>
        <v>18</v>
      </c>
      <c r="BX103" s="587">
        <f t="shared" si="324"/>
        <v>28.397436879999997</v>
      </c>
      <c r="BY103" s="587">
        <f t="shared" si="324"/>
        <v>42.931747250000001</v>
      </c>
      <c r="BZ103" s="587">
        <f t="shared" si="324"/>
        <v>37.375928409999993</v>
      </c>
      <c r="CA103" s="587">
        <f t="shared" ref="CA103:CB103" si="325">CA49</f>
        <v>39.96042541911946</v>
      </c>
      <c r="CB103" s="587">
        <f t="shared" si="325"/>
        <v>41.626344102737903</v>
      </c>
      <c r="CC103" s="587">
        <f t="shared" ref="CC103:CD103" si="326">CC49</f>
        <v>45.0921045953963</v>
      </c>
      <c r="CD103" s="587">
        <f t="shared" si="326"/>
        <v>48.829297594879876</v>
      </c>
      <c r="CE103" s="587">
        <f t="shared" ref="CE103:CF103" si="327">CE49</f>
        <v>52.653238793841226</v>
      </c>
      <c r="CF103" s="587">
        <f t="shared" si="327"/>
        <v>56.740717611845625</v>
      </c>
      <c r="CG103" s="587">
        <f t="shared" ref="CG103:CH103" si="328">CG49</f>
        <v>61.055722371768596</v>
      </c>
      <c r="CH103" s="588">
        <f t="shared" si="328"/>
        <v>62.167780613443767</v>
      </c>
      <c r="CJ103" s="442"/>
      <c r="CK103" s="443"/>
      <c r="CL103" s="443"/>
      <c r="CM103" s="443"/>
      <c r="CN103" s="443"/>
      <c r="CO103" s="443"/>
      <c r="CP103" s="443"/>
      <c r="CQ103" s="443"/>
      <c r="CR103" s="443"/>
      <c r="CS103" s="443"/>
      <c r="CT103" s="443"/>
      <c r="CU103" s="443"/>
      <c r="CV103" s="443"/>
      <c r="CW103" s="443"/>
      <c r="CX103" s="443"/>
      <c r="CY103" s="443"/>
      <c r="CZ103" s="443"/>
      <c r="DA103" s="444"/>
    </row>
    <row r="104" spans="1:105">
      <c r="U104" s="126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G104" s="209"/>
      <c r="BH104" s="209"/>
      <c r="BI104" s="209"/>
      <c r="BJ104" s="209"/>
      <c r="BK104" s="591">
        <f t="shared" ref="BK104:BZ104" si="329">BK50+BK51+BK52</f>
        <v>72.78574382303735</v>
      </c>
      <c r="BL104" s="592">
        <f t="shared" si="329"/>
        <v>149.49049243070934</v>
      </c>
      <c r="BM104" s="592">
        <f t="shared" si="329"/>
        <v>170.73738170965581</v>
      </c>
      <c r="BN104" s="592">
        <f t="shared" si="329"/>
        <v>212.839</v>
      </c>
      <c r="BO104" s="592">
        <f t="shared" si="329"/>
        <v>208.83470799999998</v>
      </c>
      <c r="BP104" s="592">
        <f t="shared" si="329"/>
        <v>168</v>
      </c>
      <c r="BQ104" s="592">
        <f t="shared" si="329"/>
        <v>192.2</v>
      </c>
      <c r="BR104" s="592">
        <f t="shared" si="329"/>
        <v>226</v>
      </c>
      <c r="BS104" s="592">
        <f t="shared" si="329"/>
        <v>279</v>
      </c>
      <c r="BT104" s="592">
        <f t="shared" si="329"/>
        <v>366</v>
      </c>
      <c r="BU104" s="592">
        <f t="shared" si="329"/>
        <v>572</v>
      </c>
      <c r="BV104" s="592">
        <f t="shared" si="329"/>
        <v>668.82071189999999</v>
      </c>
      <c r="BW104" s="592">
        <f t="shared" si="329"/>
        <v>764.74998779999999</v>
      </c>
      <c r="BX104" s="592">
        <f t="shared" si="329"/>
        <v>1082.9419783294272</v>
      </c>
      <c r="BY104" s="592">
        <f t="shared" si="329"/>
        <v>1560.6451409636247</v>
      </c>
      <c r="BZ104" s="592">
        <f t="shared" si="329"/>
        <v>1477.9654076499999</v>
      </c>
      <c r="CA104" s="592">
        <f t="shared" ref="CA104:CB104" si="330">CA50+CA51+CA52</f>
        <v>1633.2862274760982</v>
      </c>
      <c r="CB104" s="592">
        <f t="shared" si="330"/>
        <v>1816.8553831794802</v>
      </c>
      <c r="CC104" s="592">
        <f t="shared" ref="CC104:CD104" si="331">CC50+CC51+CC52</f>
        <v>2045.3548685978978</v>
      </c>
      <c r="CD104" s="592">
        <f t="shared" si="331"/>
        <v>2328.0079783190454</v>
      </c>
      <c r="CE104" s="592">
        <f t="shared" ref="CE104:CF104" si="332">CE50+CE51+CE52</f>
        <v>2571.0560483961644</v>
      </c>
      <c r="CF104" s="592">
        <f t="shared" si="332"/>
        <v>2834.9361060898777</v>
      </c>
      <c r="CG104" s="592">
        <f t="shared" ref="CG104:CH104" si="333">CG50+CG51+CG52</f>
        <v>3118.4420302401995</v>
      </c>
      <c r="CH104" s="593">
        <f t="shared" si="333"/>
        <v>3321.6318551155223</v>
      </c>
      <c r="CJ104" s="442"/>
      <c r="CK104" s="443"/>
      <c r="CL104" s="443"/>
      <c r="CM104" s="443"/>
      <c r="CN104" s="443"/>
      <c r="CO104" s="443"/>
      <c r="CP104" s="443"/>
      <c r="CQ104" s="443"/>
      <c r="CR104" s="443"/>
      <c r="CS104" s="443"/>
      <c r="CT104" s="443"/>
      <c r="CU104" s="443"/>
      <c r="CV104" s="443"/>
      <c r="CW104" s="443"/>
      <c r="CX104" s="443"/>
      <c r="CY104" s="443"/>
      <c r="CZ104" s="443"/>
      <c r="DA104" s="444"/>
    </row>
    <row r="105" spans="1:105" ht="16" thickBo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61"/>
      <c r="N105" s="61"/>
      <c r="O105" s="61"/>
      <c r="P105" s="504"/>
      <c r="Q105" s="504"/>
      <c r="R105" s="504"/>
      <c r="S105" s="504"/>
      <c r="T105" s="504"/>
      <c r="U105" s="504"/>
      <c r="V105" s="504"/>
      <c r="W105" s="504"/>
      <c r="X105" s="504"/>
      <c r="Y105" s="504"/>
      <c r="Z105" s="504"/>
      <c r="AA105" s="504"/>
      <c r="AB105" s="504"/>
      <c r="AC105" s="504"/>
      <c r="AD105" s="504"/>
      <c r="AE105" s="504"/>
      <c r="AF105" s="504"/>
      <c r="AG105" s="504"/>
      <c r="AH105" s="504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J105" s="442"/>
      <c r="CK105" s="443"/>
      <c r="CL105" s="443"/>
      <c r="CM105" s="443"/>
      <c r="CN105" s="443"/>
      <c r="CO105" s="443"/>
      <c r="CP105" s="443"/>
      <c r="CQ105" s="443"/>
      <c r="CR105" s="443"/>
      <c r="CS105" s="443"/>
      <c r="CT105" s="443"/>
      <c r="CU105" s="443"/>
      <c r="CV105" s="443"/>
      <c r="CW105" s="443"/>
      <c r="CX105" s="443"/>
      <c r="CY105" s="443"/>
      <c r="CZ105" s="443"/>
      <c r="DA105" s="444"/>
    </row>
    <row r="106" spans="1:105">
      <c r="A106" s="9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BA106" s="9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J106" s="442"/>
      <c r="CK106" s="443"/>
      <c r="CL106" s="443"/>
      <c r="CM106" s="443"/>
      <c r="CN106" s="443"/>
      <c r="CO106" s="443"/>
      <c r="CP106" s="443"/>
      <c r="CQ106" s="443"/>
      <c r="CR106" s="443"/>
      <c r="CS106" s="443"/>
      <c r="CT106" s="443"/>
      <c r="CU106" s="443"/>
      <c r="CV106" s="443"/>
      <c r="CW106" s="443"/>
      <c r="CX106" s="443"/>
      <c r="CY106" s="443"/>
      <c r="CZ106" s="443"/>
      <c r="DA106" s="444"/>
    </row>
    <row r="107" spans="1:105" ht="16" thickBo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J107" s="442"/>
      <c r="CK107" s="443"/>
      <c r="CL107" s="443"/>
      <c r="CM107" s="443"/>
      <c r="CN107" s="443"/>
      <c r="CO107" s="443"/>
      <c r="CP107" s="443"/>
      <c r="CQ107" s="443"/>
      <c r="CR107" s="443"/>
      <c r="CS107" s="443"/>
      <c r="CT107" s="443"/>
      <c r="CU107" s="443"/>
      <c r="CV107" s="443"/>
      <c r="CW107" s="443"/>
      <c r="CX107" s="443"/>
      <c r="CY107" s="443"/>
      <c r="CZ107" s="443"/>
      <c r="DA107" s="444"/>
    </row>
    <row r="108" spans="1:10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BA108" s="11"/>
      <c r="BB108" s="11"/>
      <c r="BC108" s="11"/>
      <c r="BD108" s="11"/>
      <c r="BE108" s="11"/>
      <c r="BF108" s="11"/>
      <c r="BG108" s="595"/>
      <c r="BH108" s="595"/>
      <c r="BI108" s="595"/>
      <c r="BJ108" s="595"/>
      <c r="BK108" s="595"/>
      <c r="BL108" s="595"/>
      <c r="BM108" s="595"/>
      <c r="BN108" s="595"/>
      <c r="BO108" s="595"/>
      <c r="BP108" s="595"/>
      <c r="BQ108" s="595"/>
      <c r="BR108" s="595"/>
      <c r="BS108" s="595"/>
      <c r="BT108" s="595"/>
      <c r="BU108" s="595"/>
      <c r="BV108" s="595"/>
      <c r="BW108" s="595"/>
      <c r="BX108" s="595"/>
      <c r="BY108" s="595"/>
      <c r="BZ108" s="595"/>
      <c r="CA108" s="595"/>
      <c r="CB108" s="595"/>
      <c r="CC108" s="595"/>
      <c r="CD108" s="595"/>
      <c r="CE108" s="595"/>
      <c r="CF108" s="595"/>
      <c r="CG108" s="595"/>
      <c r="CH108" s="595"/>
      <c r="CJ108" s="442"/>
      <c r="CK108" s="443"/>
      <c r="CL108" s="443"/>
      <c r="CM108" s="443"/>
      <c r="CN108" s="443"/>
      <c r="CO108" s="443"/>
      <c r="CP108" s="443"/>
      <c r="CQ108" s="443"/>
      <c r="CR108" s="443"/>
      <c r="CS108" s="443"/>
      <c r="CT108" s="443"/>
      <c r="CU108" s="443"/>
      <c r="CV108" s="443"/>
      <c r="CW108" s="443"/>
      <c r="CX108" s="443"/>
      <c r="CY108" s="443"/>
      <c r="CZ108" s="443"/>
      <c r="DA108" s="444"/>
    </row>
    <row r="109" spans="1:105" ht="21">
      <c r="A109" s="12" t="s">
        <v>384</v>
      </c>
      <c r="B109" s="361"/>
      <c r="C109" s="361"/>
      <c r="D109" s="361"/>
      <c r="E109" s="361"/>
      <c r="F109" s="361"/>
      <c r="G109" s="260"/>
      <c r="H109" s="260"/>
      <c r="I109" s="260"/>
      <c r="J109" s="260"/>
      <c r="K109" s="260"/>
      <c r="L109" s="260"/>
      <c r="M109" s="260"/>
      <c r="N109" s="260"/>
      <c r="O109" s="260"/>
      <c r="P109" s="260"/>
      <c r="Q109" s="260"/>
      <c r="R109" s="260"/>
      <c r="S109" s="260"/>
      <c r="T109" s="260"/>
      <c r="U109" s="260"/>
      <c r="V109" s="260"/>
      <c r="W109" s="260"/>
      <c r="X109" s="260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BG109" s="318"/>
      <c r="BH109" s="318"/>
      <c r="BI109" s="318"/>
      <c r="BJ109" s="318"/>
      <c r="BK109" s="318"/>
      <c r="BL109" s="318"/>
      <c r="BM109" s="318"/>
      <c r="BN109" s="318"/>
      <c r="BO109" s="318"/>
      <c r="BP109" s="318"/>
      <c r="BQ109" s="318"/>
      <c r="BR109" s="318"/>
      <c r="BS109" s="318"/>
      <c r="BT109" s="318"/>
      <c r="BU109" s="318"/>
      <c r="BV109" s="318"/>
      <c r="BW109" s="318"/>
      <c r="BX109" s="318"/>
      <c r="BY109" s="318"/>
      <c r="BZ109" s="318"/>
      <c r="CA109" s="318"/>
      <c r="CB109" s="196"/>
      <c r="CC109" s="196"/>
      <c r="CD109" s="196"/>
      <c r="CE109" s="196"/>
      <c r="CF109" s="196"/>
      <c r="CG109" s="196"/>
      <c r="CH109" s="196"/>
      <c r="CJ109" s="442"/>
      <c r="CK109" s="443"/>
      <c r="CL109" s="443"/>
      <c r="CM109" s="443"/>
      <c r="CN109" s="443"/>
      <c r="CO109" s="443"/>
      <c r="CP109" s="443"/>
      <c r="CQ109" s="443"/>
      <c r="CR109" s="443"/>
      <c r="CS109" s="443"/>
      <c r="CT109" s="443"/>
      <c r="CU109" s="443"/>
      <c r="CV109" s="443"/>
      <c r="CW109" s="443"/>
      <c r="CX109" s="443"/>
      <c r="CY109" s="443"/>
      <c r="CZ109" s="443"/>
      <c r="DA109" s="444"/>
    </row>
    <row r="110" spans="1:105" ht="16" thickBot="1">
      <c r="BL110" s="318"/>
      <c r="BY110" s="318"/>
      <c r="BZ110" s="318"/>
      <c r="CA110" s="318"/>
      <c r="CB110" s="318"/>
      <c r="CC110" s="196"/>
      <c r="CD110" s="196"/>
      <c r="CE110" s="196"/>
      <c r="CF110" s="196"/>
      <c r="CG110" s="196"/>
      <c r="CH110" s="196"/>
      <c r="CJ110" s="442"/>
      <c r="CK110" s="443"/>
      <c r="CL110" s="443"/>
      <c r="CM110" s="443"/>
      <c r="CN110" s="443"/>
      <c r="CO110" s="443"/>
      <c r="CP110" s="443"/>
      <c r="CQ110" s="443"/>
      <c r="CR110" s="443"/>
      <c r="CS110" s="443"/>
      <c r="CT110" s="443"/>
      <c r="CU110" s="443"/>
      <c r="CV110" s="443"/>
      <c r="CW110" s="443"/>
      <c r="CX110" s="443"/>
      <c r="CY110" s="443"/>
      <c r="CZ110" s="443"/>
      <c r="DA110" s="444"/>
    </row>
    <row r="111" spans="1:105" ht="20" customHeight="1">
      <c r="A111" s="14" t="s">
        <v>150</v>
      </c>
      <c r="B111" s="15">
        <v>1998</v>
      </c>
      <c r="C111" s="15">
        <v>1999</v>
      </c>
      <c r="D111" s="15">
        <v>2000</v>
      </c>
      <c r="E111" s="15">
        <v>2001</v>
      </c>
      <c r="F111" s="15">
        <v>2002</v>
      </c>
      <c r="G111" s="15">
        <v>2003</v>
      </c>
      <c r="H111" s="15">
        <v>2004</v>
      </c>
      <c r="I111" s="15">
        <v>2005</v>
      </c>
      <c r="J111" s="15">
        <v>2006</v>
      </c>
      <c r="K111" s="15">
        <v>2007</v>
      </c>
      <c r="L111" s="15">
        <v>2008</v>
      </c>
      <c r="M111" s="15">
        <v>2009</v>
      </c>
      <c r="N111" s="15">
        <v>2010</v>
      </c>
      <c r="O111" s="15">
        <v>2011</v>
      </c>
      <c r="P111" s="15">
        <v>2012</v>
      </c>
      <c r="Q111" s="15">
        <v>2013</v>
      </c>
      <c r="R111" s="15">
        <v>2014</v>
      </c>
      <c r="S111" s="15">
        <v>2015</v>
      </c>
      <c r="T111" s="15">
        <v>2016</v>
      </c>
      <c r="U111" s="15">
        <v>2017</v>
      </c>
      <c r="V111" s="15">
        <v>2018</v>
      </c>
      <c r="W111" s="15">
        <v>2019</v>
      </c>
      <c r="X111" s="15">
        <v>2020</v>
      </c>
      <c r="Y111" s="15">
        <v>2021</v>
      </c>
      <c r="Z111" s="15">
        <v>2022</v>
      </c>
      <c r="AA111" s="15">
        <v>2023</v>
      </c>
      <c r="AB111" s="15" t="s">
        <v>495</v>
      </c>
      <c r="AC111" s="15" t="s">
        <v>499</v>
      </c>
      <c r="AD111" s="15" t="s">
        <v>508</v>
      </c>
      <c r="AE111" s="15" t="s">
        <v>517</v>
      </c>
      <c r="AF111" s="15" t="s">
        <v>821</v>
      </c>
      <c r="AG111" s="15" t="str">
        <f>AG12</f>
        <v>2029e</v>
      </c>
      <c r="AH111" s="16" t="str">
        <f>AH12</f>
        <v>2030e</v>
      </c>
      <c r="BA111" s="439" t="s">
        <v>235</v>
      </c>
      <c r="BB111" s="440"/>
      <c r="BC111" s="440"/>
      <c r="BD111" s="440"/>
      <c r="BE111" s="440"/>
      <c r="BF111" s="440"/>
      <c r="BG111" s="440"/>
      <c r="BH111" s="440"/>
      <c r="BI111" s="440"/>
      <c r="BJ111" s="440"/>
      <c r="BK111" s="440"/>
      <c r="BL111" s="440"/>
      <c r="BM111" s="441"/>
      <c r="BO111" s="439" t="s">
        <v>225</v>
      </c>
      <c r="BP111" s="440"/>
      <c r="BQ111" s="440"/>
      <c r="BR111" s="440"/>
      <c r="BS111" s="440"/>
      <c r="BT111" s="440"/>
      <c r="BU111" s="440"/>
      <c r="BV111" s="440"/>
      <c r="BW111" s="440"/>
      <c r="BX111" s="440"/>
      <c r="BY111" s="440"/>
      <c r="BZ111" s="440"/>
      <c r="CA111" s="440"/>
      <c r="CB111" s="440"/>
      <c r="CC111" s="440"/>
      <c r="CD111" s="440"/>
      <c r="CE111" s="440"/>
      <c r="CF111" s="440"/>
      <c r="CG111" s="440"/>
      <c r="CH111" s="441"/>
      <c r="CJ111" s="442"/>
      <c r="CK111" s="443"/>
      <c r="CL111" s="443"/>
      <c r="CM111" s="443"/>
      <c r="CN111" s="443"/>
      <c r="CO111" s="443"/>
      <c r="CP111" s="443"/>
      <c r="CQ111" s="443"/>
      <c r="CR111" s="443"/>
      <c r="CS111" s="443"/>
      <c r="CT111" s="443"/>
      <c r="CU111" s="443"/>
      <c r="CV111" s="443"/>
      <c r="CW111" s="443"/>
      <c r="CX111" s="443"/>
      <c r="CY111" s="443"/>
      <c r="CZ111" s="443"/>
      <c r="DA111" s="444"/>
    </row>
    <row r="112" spans="1:105">
      <c r="A112" s="17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18"/>
      <c r="BA112" s="442"/>
      <c r="BB112" s="443"/>
      <c r="BC112" s="443"/>
      <c r="BD112" s="443"/>
      <c r="BE112" s="443"/>
      <c r="BF112" s="443"/>
      <c r="BG112" s="443"/>
      <c r="BH112" s="443"/>
      <c r="BI112" s="443"/>
      <c r="BJ112" s="443"/>
      <c r="BK112" s="443"/>
      <c r="BL112" s="443"/>
      <c r="BM112" s="444"/>
      <c r="BO112" s="442"/>
      <c r="BP112" s="443"/>
      <c r="BQ112" s="443"/>
      <c r="BR112" s="443"/>
      <c r="BS112" s="443"/>
      <c r="BT112" s="443"/>
      <c r="BU112" s="443"/>
      <c r="BV112" s="443"/>
      <c r="BW112" s="443"/>
      <c r="BX112" s="443"/>
      <c r="BY112" s="443"/>
      <c r="BZ112" s="443"/>
      <c r="CA112" s="443"/>
      <c r="CB112" s="443"/>
      <c r="CC112" s="443"/>
      <c r="CD112" s="443"/>
      <c r="CE112" s="443"/>
      <c r="CF112" s="443"/>
      <c r="CG112" s="443"/>
      <c r="CH112" s="444"/>
      <c r="CJ112" s="442"/>
      <c r="CK112" s="443"/>
      <c r="CL112" s="443"/>
      <c r="CM112" s="443"/>
      <c r="CN112" s="443"/>
      <c r="CO112" s="443"/>
      <c r="CP112" s="443"/>
      <c r="CQ112" s="443"/>
      <c r="CR112" s="443"/>
      <c r="CS112" s="443"/>
      <c r="CT112" s="443"/>
      <c r="CU112" s="443"/>
      <c r="CV112" s="443"/>
      <c r="CW112" s="443"/>
      <c r="CX112" s="443"/>
      <c r="CY112" s="443"/>
      <c r="CZ112" s="443"/>
      <c r="DA112" s="444"/>
    </row>
    <row r="113" spans="1:105">
      <c r="A113" s="17" t="s">
        <v>184</v>
      </c>
      <c r="B113" s="8"/>
      <c r="C113" s="8"/>
      <c r="D113" s="8"/>
      <c r="E113" s="8"/>
      <c r="F113" s="8"/>
      <c r="G113" s="95"/>
      <c r="H113" s="95"/>
      <c r="I113" s="95"/>
      <c r="J113" s="95"/>
      <c r="K113" s="13">
        <f t="shared" ref="K113:AH113" si="334">BK53</f>
        <v>72.78574382303735</v>
      </c>
      <c r="L113" s="13">
        <f t="shared" si="334"/>
        <v>178.13139020354407</v>
      </c>
      <c r="M113" s="13">
        <f t="shared" si="334"/>
        <v>204.05445207847174</v>
      </c>
      <c r="N113" s="13">
        <f t="shared" si="334"/>
        <v>241.66928099999998</v>
      </c>
      <c r="O113" s="13">
        <f t="shared" si="334"/>
        <v>229.41710399999997</v>
      </c>
      <c r="P113" s="13">
        <f t="shared" si="334"/>
        <v>185</v>
      </c>
      <c r="Q113" s="13">
        <f t="shared" si="334"/>
        <v>207.2</v>
      </c>
      <c r="R113" s="13">
        <f t="shared" si="334"/>
        <v>240</v>
      </c>
      <c r="S113" s="13">
        <f t="shared" si="334"/>
        <v>294</v>
      </c>
      <c r="T113" s="13">
        <f t="shared" si="334"/>
        <v>382</v>
      </c>
      <c r="U113" s="13">
        <f t="shared" si="334"/>
        <v>589</v>
      </c>
      <c r="V113" s="13">
        <f t="shared" si="334"/>
        <v>684.82071189999999</v>
      </c>
      <c r="W113" s="13">
        <f t="shared" ref="W113:W114" si="335">BW53</f>
        <v>782.74998779999999</v>
      </c>
      <c r="X113" s="13">
        <f t="shared" ref="X113:X114" si="336">BX53</f>
        <v>1111.3394152094272</v>
      </c>
      <c r="Y113" s="13">
        <f t="shared" ref="Y113:Y114" si="337">BY53</f>
        <v>1603.5768882136249</v>
      </c>
      <c r="Z113" s="13">
        <f t="shared" ref="Z113:Z114" si="338">BZ53</f>
        <v>1515.3413360599998</v>
      </c>
      <c r="AA113" s="13">
        <f t="shared" ref="AA113:AA114" si="339">CA53</f>
        <v>1673.2466528952177</v>
      </c>
      <c r="AB113" s="13">
        <f t="shared" si="334"/>
        <v>1858.4817272822183</v>
      </c>
      <c r="AC113" s="13">
        <f t="shared" si="334"/>
        <v>2090.4469731932941</v>
      </c>
      <c r="AD113" s="13">
        <f t="shared" si="334"/>
        <v>2376.8372759139252</v>
      </c>
      <c r="AE113" s="13">
        <f t="shared" si="334"/>
        <v>2623.7092871900059</v>
      </c>
      <c r="AF113" s="13">
        <f t="shared" si="334"/>
        <v>2891.6768237017232</v>
      </c>
      <c r="AG113" s="13">
        <f t="shared" si="334"/>
        <v>3179.4977526119683</v>
      </c>
      <c r="AH113" s="19">
        <f t="shared" si="334"/>
        <v>3383.7996357289662</v>
      </c>
      <c r="BA113" s="442"/>
      <c r="BB113" s="443"/>
      <c r="BC113" s="443"/>
      <c r="BD113" s="443"/>
      <c r="BE113" s="443"/>
      <c r="BF113" s="443"/>
      <c r="BG113" s="443"/>
      <c r="BH113" s="443"/>
      <c r="BI113" s="443"/>
      <c r="BJ113" s="443"/>
      <c r="BK113" s="443"/>
      <c r="BL113" s="443"/>
      <c r="BM113" s="444"/>
      <c r="BO113" s="442"/>
      <c r="BP113" s="443"/>
      <c r="BQ113" s="443"/>
      <c r="BR113" s="443"/>
      <c r="BS113" s="443"/>
      <c r="BT113" s="443"/>
      <c r="BU113" s="443"/>
      <c r="BV113" s="443"/>
      <c r="BW113" s="443"/>
      <c r="BX113" s="443"/>
      <c r="BY113" s="443"/>
      <c r="BZ113" s="443"/>
      <c r="CA113" s="443"/>
      <c r="CB113" s="443"/>
      <c r="CC113" s="443"/>
      <c r="CD113" s="443"/>
      <c r="CE113" s="443"/>
      <c r="CF113" s="443"/>
      <c r="CG113" s="443"/>
      <c r="CH113" s="444"/>
      <c r="CJ113" s="442"/>
      <c r="CK113" s="443"/>
      <c r="CL113" s="443"/>
      <c r="CM113" s="443"/>
      <c r="CN113" s="443"/>
      <c r="CO113" s="443"/>
      <c r="CP113" s="443"/>
      <c r="CQ113" s="443"/>
      <c r="CR113" s="443"/>
      <c r="CS113" s="443"/>
      <c r="CT113" s="443"/>
      <c r="CU113" s="443"/>
      <c r="CV113" s="443"/>
      <c r="CW113" s="443"/>
      <c r="CX113" s="443"/>
      <c r="CY113" s="443"/>
      <c r="CZ113" s="443"/>
      <c r="DA113" s="444"/>
    </row>
    <row r="114" spans="1:105">
      <c r="A114" s="17" t="s">
        <v>185</v>
      </c>
      <c r="B114" s="8"/>
      <c r="C114" s="8"/>
      <c r="D114" s="8"/>
      <c r="E114" s="8"/>
      <c r="F114" s="8"/>
      <c r="G114" s="95"/>
      <c r="H114" s="95"/>
      <c r="I114" s="95"/>
      <c r="J114" s="95"/>
      <c r="K114" s="95"/>
      <c r="L114" s="95"/>
      <c r="M114" s="95"/>
      <c r="N114" s="95"/>
      <c r="O114" s="13">
        <f t="shared" ref="O114:AH114" si="340">BO54</f>
        <v>49.159015000000004</v>
      </c>
      <c r="P114" s="13">
        <f t="shared" si="340"/>
        <v>146.77506804005574</v>
      </c>
      <c r="Q114" s="13">
        <f t="shared" si="340"/>
        <v>244.25165270423457</v>
      </c>
      <c r="R114" s="13">
        <f t="shared" si="340"/>
        <v>255.45719050547552</v>
      </c>
      <c r="S114" s="13">
        <f t="shared" si="340"/>
        <v>288</v>
      </c>
      <c r="T114" s="13">
        <f t="shared" si="340"/>
        <v>388</v>
      </c>
      <c r="U114" s="13">
        <f t="shared" si="340"/>
        <v>569</v>
      </c>
      <c r="V114" s="13">
        <f t="shared" si="340"/>
        <v>710.03786290999994</v>
      </c>
      <c r="W114" s="13">
        <f t="shared" si="335"/>
        <v>831.16971128123259</v>
      </c>
      <c r="X114" s="13">
        <f t="shared" si="336"/>
        <v>1217.8720565599997</v>
      </c>
      <c r="Y114" s="13">
        <f t="shared" si="337"/>
        <v>1773.6061473599998</v>
      </c>
      <c r="Z114" s="13">
        <f t="shared" si="338"/>
        <v>2013.1635003899999</v>
      </c>
      <c r="AA114" s="13">
        <f t="shared" si="339"/>
        <v>2368.3000000000002</v>
      </c>
      <c r="AB114" s="13">
        <f t="shared" si="340"/>
        <v>2797.6071059800001</v>
      </c>
      <c r="AC114" s="13">
        <f t="shared" si="340"/>
        <v>3156.6990438191788</v>
      </c>
      <c r="AD114" s="13">
        <f t="shared" si="340"/>
        <v>3509.8319999999999</v>
      </c>
      <c r="AE114" s="13">
        <f t="shared" si="340"/>
        <v>3863.665</v>
      </c>
      <c r="AF114" s="13">
        <f t="shared" si="340"/>
        <v>4227.2879999999996</v>
      </c>
      <c r="AG114" s="13">
        <f t="shared" si="340"/>
        <v>4596.3379999999997</v>
      </c>
      <c r="AH114" s="19">
        <f t="shared" si="340"/>
        <v>4968.7299999999996</v>
      </c>
      <c r="BA114" s="442"/>
      <c r="BB114" s="443"/>
      <c r="BC114" s="443"/>
      <c r="BD114" s="443"/>
      <c r="BE114" s="443"/>
      <c r="BF114" s="443"/>
      <c r="BG114" s="443"/>
      <c r="BH114" s="443"/>
      <c r="BI114" s="443"/>
      <c r="BJ114" s="443"/>
      <c r="BK114" s="443"/>
      <c r="BL114" s="443"/>
      <c r="BM114" s="444"/>
      <c r="BO114" s="442"/>
      <c r="BP114" s="443"/>
      <c r="BQ114" s="443"/>
      <c r="BR114" s="443"/>
      <c r="BS114" s="443"/>
      <c r="BT114" s="443"/>
      <c r="BU114" s="443"/>
      <c r="BV114" s="443"/>
      <c r="BW114" s="443"/>
      <c r="BX114" s="443"/>
      <c r="BY114" s="443"/>
      <c r="BZ114" s="443"/>
      <c r="CA114" s="443"/>
      <c r="CB114" s="443"/>
      <c r="CC114" s="443"/>
      <c r="CD114" s="443"/>
      <c r="CE114" s="443"/>
      <c r="CF114" s="443"/>
      <c r="CG114" s="443"/>
      <c r="CH114" s="444"/>
      <c r="CJ114" s="442"/>
      <c r="CK114" s="443"/>
      <c r="CL114" s="443"/>
      <c r="CM114" s="443"/>
      <c r="CN114" s="443"/>
      <c r="CO114" s="443"/>
      <c r="CP114" s="443"/>
      <c r="CQ114" s="443"/>
      <c r="CR114" s="443"/>
      <c r="CS114" s="443"/>
      <c r="CT114" s="443"/>
      <c r="CU114" s="443"/>
      <c r="CV114" s="443"/>
      <c r="CW114" s="443"/>
      <c r="CX114" s="443"/>
      <c r="CY114" s="443"/>
      <c r="CZ114" s="443"/>
      <c r="DA114" s="444"/>
    </row>
    <row r="115" spans="1:105">
      <c r="A115" s="17" t="s">
        <v>208</v>
      </c>
      <c r="B115" s="8"/>
      <c r="C115" s="8"/>
      <c r="D115" s="8"/>
      <c r="E115" s="8"/>
      <c r="F115" s="8"/>
      <c r="G115" s="95"/>
      <c r="H115" s="95"/>
      <c r="I115" s="95"/>
      <c r="J115" s="95"/>
      <c r="K115" s="95"/>
      <c r="L115" s="13">
        <f t="shared" ref="L115:AH115" si="341">BL55+BL56</f>
        <v>29.639246485482197</v>
      </c>
      <c r="M115" s="13">
        <f t="shared" si="341"/>
        <v>287.01451917277438</v>
      </c>
      <c r="N115" s="13">
        <f t="shared" si="341"/>
        <v>376.48407700000001</v>
      </c>
      <c r="O115" s="13">
        <f t="shared" si="341"/>
        <v>384.37030100000004</v>
      </c>
      <c r="P115" s="13">
        <f t="shared" si="341"/>
        <v>356.22493195994423</v>
      </c>
      <c r="Q115" s="13">
        <f t="shared" si="341"/>
        <v>229.74834729576543</v>
      </c>
      <c r="R115" s="13">
        <f t="shared" si="341"/>
        <v>188.54280949452448</v>
      </c>
      <c r="S115" s="13">
        <f t="shared" si="341"/>
        <v>197</v>
      </c>
      <c r="T115" s="13">
        <f t="shared" si="341"/>
        <v>193</v>
      </c>
      <c r="U115" s="13">
        <f t="shared" si="341"/>
        <v>153</v>
      </c>
      <c r="V115" s="13">
        <f t="shared" si="341"/>
        <v>146.99616877</v>
      </c>
      <c r="W115" s="13">
        <f t="shared" ref="W115" si="342">BW55+BW56</f>
        <v>137.76038955649599</v>
      </c>
      <c r="X115" s="13">
        <f t="shared" ref="X115" si="343">BX55+BX56</f>
        <v>206.935153318495</v>
      </c>
      <c r="Y115" s="13">
        <f t="shared" ref="Y115" si="344">BY55+BY56</f>
        <v>177.18353522000001</v>
      </c>
      <c r="Z115" s="13">
        <f t="shared" ref="Z115" si="345">BZ55+BZ56</f>
        <v>169.78227893999997</v>
      </c>
      <c r="AA115" s="13">
        <f t="shared" ref="AA115" si="346">CA55+CA56</f>
        <v>177.49882953584907</v>
      </c>
      <c r="AB115" s="13">
        <f t="shared" si="341"/>
        <v>174.91625307999999</v>
      </c>
      <c r="AC115" s="13">
        <f t="shared" si="341"/>
        <v>176.29163503849381</v>
      </c>
      <c r="AD115" s="13">
        <f t="shared" si="341"/>
        <v>175.95099999999999</v>
      </c>
      <c r="AE115" s="13">
        <f t="shared" si="341"/>
        <v>176.72</v>
      </c>
      <c r="AF115" s="13">
        <f t="shared" si="341"/>
        <v>178.73099999999999</v>
      </c>
      <c r="AG115" s="13">
        <f t="shared" si="341"/>
        <v>181.53</v>
      </c>
      <c r="AH115" s="19">
        <f t="shared" si="341"/>
        <v>184.89699999999999</v>
      </c>
      <c r="BA115" s="442"/>
      <c r="BB115" s="443"/>
      <c r="BC115" s="443"/>
      <c r="BD115" s="443"/>
      <c r="BE115" s="443"/>
      <c r="BF115" s="443"/>
      <c r="BG115" s="443"/>
      <c r="BH115" s="443"/>
      <c r="BI115" s="443"/>
      <c r="BJ115" s="443"/>
      <c r="BK115" s="443"/>
      <c r="BL115" s="443"/>
      <c r="BM115" s="444"/>
      <c r="BO115" s="442"/>
      <c r="BP115" s="443"/>
      <c r="BQ115" s="443"/>
      <c r="BR115" s="443"/>
      <c r="BS115" s="443"/>
      <c r="BT115" s="443"/>
      <c r="BU115" s="443"/>
      <c r="BV115" s="443"/>
      <c r="BW115" s="443"/>
      <c r="BX115" s="443"/>
      <c r="BY115" s="443"/>
      <c r="BZ115" s="443"/>
      <c r="CA115" s="443"/>
      <c r="CB115" s="443"/>
      <c r="CC115" s="443"/>
      <c r="CD115" s="443"/>
      <c r="CE115" s="443"/>
      <c r="CF115" s="443"/>
      <c r="CG115" s="443"/>
      <c r="CH115" s="444"/>
      <c r="CJ115" s="442"/>
      <c r="CK115" s="443"/>
      <c r="CL115" s="443"/>
      <c r="CM115" s="443"/>
      <c r="CN115" s="443"/>
      <c r="CO115" s="443"/>
      <c r="CP115" s="443"/>
      <c r="CQ115" s="443"/>
      <c r="CR115" s="443"/>
      <c r="CS115" s="443"/>
      <c r="CT115" s="443"/>
      <c r="CU115" s="443"/>
      <c r="CV115" s="443"/>
      <c r="CW115" s="443"/>
      <c r="CX115" s="443"/>
      <c r="CY115" s="443"/>
      <c r="CZ115" s="443"/>
      <c r="DA115" s="444"/>
    </row>
    <row r="116" spans="1:105">
      <c r="A116" s="17" t="s">
        <v>131</v>
      </c>
      <c r="B116" s="8"/>
      <c r="C116" s="8"/>
      <c r="D116" s="8"/>
      <c r="E116" s="8"/>
      <c r="F116" s="8"/>
      <c r="G116" s="95"/>
      <c r="H116" s="95"/>
      <c r="I116" s="95"/>
      <c r="J116" s="95"/>
      <c r="K116" s="95"/>
      <c r="L116" s="95"/>
      <c r="M116" s="13">
        <f t="shared" ref="M116:AH116" si="347">BM58</f>
        <v>2.3498587646205524E-2</v>
      </c>
      <c r="N116" s="13">
        <f t="shared" si="347"/>
        <v>44.206241000000006</v>
      </c>
      <c r="O116" s="13">
        <f t="shared" si="347"/>
        <v>54.934426000000002</v>
      </c>
      <c r="P116" s="13">
        <f t="shared" si="347"/>
        <v>42.754148657204496</v>
      </c>
      <c r="Q116" s="13">
        <f t="shared" si="347"/>
        <v>32</v>
      </c>
      <c r="R116" s="13">
        <f t="shared" si="347"/>
        <v>27</v>
      </c>
      <c r="S116" s="13">
        <f t="shared" si="347"/>
        <v>25</v>
      </c>
      <c r="T116" s="13">
        <f t="shared" si="347"/>
        <v>27</v>
      </c>
      <c r="U116" s="13">
        <f t="shared" si="347"/>
        <v>27.88</v>
      </c>
      <c r="V116" s="13">
        <f t="shared" si="347"/>
        <v>31.075223130000001</v>
      </c>
      <c r="W116" s="13">
        <f t="shared" ref="W116" si="348">BW58</f>
        <v>37.422039323032401</v>
      </c>
      <c r="X116" s="13">
        <f t="shared" ref="X116" si="349">BX58</f>
        <v>58.173371130786002</v>
      </c>
      <c r="Y116" s="13">
        <f t="shared" ref="Y116" si="350">BY58</f>
        <v>66.574887765999989</v>
      </c>
      <c r="Z116" s="13">
        <f t="shared" ref="Z116" si="351">BZ58</f>
        <v>61.100463175000009</v>
      </c>
      <c r="AA116" s="13">
        <f t="shared" ref="AA116" si="352">CA58</f>
        <v>63.79606669999999</v>
      </c>
      <c r="AB116" s="13">
        <f t="shared" si="347"/>
        <v>67.213969830000011</v>
      </c>
      <c r="AC116" s="13">
        <f t="shared" si="347"/>
        <v>66.174749598855428</v>
      </c>
      <c r="AD116" s="13">
        <f t="shared" si="347"/>
        <v>73.015000000000001</v>
      </c>
      <c r="AE116" s="13">
        <f t="shared" si="347"/>
        <v>79.893000000000001</v>
      </c>
      <c r="AF116" s="13">
        <f t="shared" si="347"/>
        <v>87.012</v>
      </c>
      <c r="AG116" s="13">
        <f t="shared" si="347"/>
        <v>94.29</v>
      </c>
      <c r="AH116" s="19">
        <f t="shared" si="347"/>
        <v>101.691</v>
      </c>
      <c r="BA116" s="442"/>
      <c r="BB116" s="443"/>
      <c r="BC116" s="443"/>
      <c r="BD116" s="443"/>
      <c r="BE116" s="443"/>
      <c r="BF116" s="443"/>
      <c r="BG116" s="443"/>
      <c r="BH116" s="443"/>
      <c r="BI116" s="443"/>
      <c r="BJ116" s="443"/>
      <c r="BK116" s="443"/>
      <c r="BL116" s="443"/>
      <c r="BM116" s="444"/>
      <c r="BO116" s="442"/>
      <c r="BP116" s="443"/>
      <c r="BQ116" s="443"/>
      <c r="BR116" s="443"/>
      <c r="BS116" s="443"/>
      <c r="BT116" s="443"/>
      <c r="BU116" s="443"/>
      <c r="BV116" s="443"/>
      <c r="BW116" s="443"/>
      <c r="BX116" s="443"/>
      <c r="BY116" s="443"/>
      <c r="BZ116" s="443"/>
      <c r="CA116" s="443"/>
      <c r="CB116" s="443"/>
      <c r="CC116" s="443"/>
      <c r="CD116" s="443"/>
      <c r="CE116" s="443"/>
      <c r="CF116" s="443"/>
      <c r="CG116" s="443"/>
      <c r="CH116" s="444"/>
      <c r="CJ116" s="442"/>
      <c r="CK116" s="443"/>
      <c r="CL116" s="443"/>
      <c r="CM116" s="443"/>
      <c r="CN116" s="443"/>
      <c r="CO116" s="443"/>
      <c r="CP116" s="443"/>
      <c r="CQ116" s="443"/>
      <c r="CR116" s="443"/>
      <c r="CS116" s="443"/>
      <c r="CT116" s="443"/>
      <c r="CU116" s="443"/>
      <c r="CV116" s="443"/>
      <c r="CW116" s="443"/>
      <c r="CX116" s="443"/>
      <c r="CY116" s="443"/>
      <c r="CZ116" s="443"/>
      <c r="DA116" s="444"/>
    </row>
    <row r="117" spans="1:105">
      <c r="A117" s="17" t="s">
        <v>369</v>
      </c>
      <c r="B117" s="8"/>
      <c r="C117" s="8"/>
      <c r="D117" s="8"/>
      <c r="E117" s="8"/>
      <c r="F117" s="8"/>
      <c r="G117" s="95"/>
      <c r="H117" s="95"/>
      <c r="I117" s="95"/>
      <c r="J117" s="95"/>
      <c r="K117" s="95"/>
      <c r="L117" s="13">
        <f t="shared" ref="L117:AH117" si="353">BL63</f>
        <v>0</v>
      </c>
      <c r="M117" s="13">
        <f t="shared" si="353"/>
        <v>3.8088797412717925</v>
      </c>
      <c r="N117" s="13">
        <f t="shared" si="353"/>
        <v>10.569165</v>
      </c>
      <c r="O117" s="13">
        <f t="shared" si="353"/>
        <v>7.5885309999999997</v>
      </c>
      <c r="P117" s="13">
        <f t="shared" si="353"/>
        <v>13</v>
      </c>
      <c r="Q117" s="13">
        <f t="shared" si="353"/>
        <v>12</v>
      </c>
      <c r="R117" s="13">
        <f t="shared" si="353"/>
        <v>17</v>
      </c>
      <c r="S117" s="13">
        <f t="shared" si="353"/>
        <v>18</v>
      </c>
      <c r="T117" s="13">
        <f t="shared" si="353"/>
        <v>30</v>
      </c>
      <c r="U117" s="13">
        <f t="shared" si="353"/>
        <v>37.899999999999977</v>
      </c>
      <c r="V117" s="13">
        <f t="shared" si="353"/>
        <v>48.789999999999992</v>
      </c>
      <c r="W117" s="13">
        <f t="shared" ref="W117" si="354">BW63</f>
        <v>58.11</v>
      </c>
      <c r="X117" s="13">
        <f t="shared" ref="X117" si="355">BX63</f>
        <v>76.94</v>
      </c>
      <c r="Y117" s="13">
        <f t="shared" ref="Y117" si="356">BY63</f>
        <v>96.47999999999999</v>
      </c>
      <c r="Z117" s="13">
        <f t="shared" ref="Z117" si="357">BZ63</f>
        <v>120.78</v>
      </c>
      <c r="AA117" s="13">
        <f t="shared" ref="AA117" si="358">CA63</f>
        <v>110.31177613261812</v>
      </c>
      <c r="AB117" s="13">
        <f t="shared" si="353"/>
        <v>139.17966462248495</v>
      </c>
      <c r="AC117" s="13">
        <f t="shared" si="353"/>
        <v>154.04980008042165</v>
      </c>
      <c r="AD117" s="13">
        <f t="shared" si="353"/>
        <v>171.51988137961996</v>
      </c>
      <c r="AE117" s="13">
        <f t="shared" si="353"/>
        <v>192.58774743529293</v>
      </c>
      <c r="AF117" s="13">
        <f t="shared" si="353"/>
        <v>216.94323380631619</v>
      </c>
      <c r="AG117" s="13">
        <f t="shared" si="353"/>
        <v>245.6305754426628</v>
      </c>
      <c r="AH117" s="19">
        <f t="shared" si="353"/>
        <v>279.59047950574762</v>
      </c>
      <c r="BA117" s="442"/>
      <c r="BB117" s="443"/>
      <c r="BC117" s="443"/>
      <c r="BD117" s="443"/>
      <c r="BE117" s="443"/>
      <c r="BF117" s="443"/>
      <c r="BG117" s="443"/>
      <c r="BH117" s="443"/>
      <c r="BI117" s="443"/>
      <c r="BJ117" s="443"/>
      <c r="BK117" s="443"/>
      <c r="BL117" s="443"/>
      <c r="BM117" s="444"/>
      <c r="BO117" s="442"/>
      <c r="BP117" s="443"/>
      <c r="BQ117" s="443"/>
      <c r="BR117" s="443"/>
      <c r="BS117" s="443"/>
      <c r="BT117" s="443"/>
      <c r="BU117" s="443"/>
      <c r="BV117" s="443"/>
      <c r="BW117" s="443"/>
      <c r="BX117" s="443"/>
      <c r="BY117" s="443"/>
      <c r="BZ117" s="443"/>
      <c r="CA117" s="443"/>
      <c r="CB117" s="443"/>
      <c r="CC117" s="443"/>
      <c r="CD117" s="443"/>
      <c r="CE117" s="443"/>
      <c r="CF117" s="443"/>
      <c r="CG117" s="443"/>
      <c r="CH117" s="444"/>
      <c r="CJ117" s="442"/>
      <c r="CK117" s="443"/>
      <c r="CL117" s="443"/>
      <c r="CM117" s="443"/>
      <c r="CN117" s="443"/>
      <c r="CO117" s="443"/>
      <c r="CP117" s="443"/>
      <c r="CQ117" s="443"/>
      <c r="CR117" s="443"/>
      <c r="CS117" s="443"/>
      <c r="CT117" s="443"/>
      <c r="CU117" s="443"/>
      <c r="CV117" s="443"/>
      <c r="CW117" s="443"/>
      <c r="CX117" s="443"/>
      <c r="CY117" s="443"/>
      <c r="CZ117" s="443"/>
      <c r="DA117" s="444"/>
    </row>
    <row r="118" spans="1:105">
      <c r="A118" s="33" t="s">
        <v>251</v>
      </c>
      <c r="B118" s="800"/>
      <c r="C118" s="800"/>
      <c r="D118" s="800"/>
      <c r="E118" s="800"/>
      <c r="F118" s="800"/>
      <c r="G118" s="800"/>
      <c r="H118" s="800"/>
      <c r="I118" s="800"/>
      <c r="J118" s="800"/>
      <c r="K118" s="800">
        <f>SUM(K113:K117)</f>
        <v>72.78574382303735</v>
      </c>
      <c r="L118" s="800">
        <f t="shared" ref="L118:V118" si="359">SUM(L113:L117)</f>
        <v>207.77063668902628</v>
      </c>
      <c r="M118" s="800">
        <f t="shared" si="359"/>
        <v>494.90134958016409</v>
      </c>
      <c r="N118" s="800">
        <f t="shared" si="359"/>
        <v>672.928764</v>
      </c>
      <c r="O118" s="800">
        <f t="shared" si="359"/>
        <v>725.46937700000001</v>
      </c>
      <c r="P118" s="800">
        <f t="shared" si="359"/>
        <v>743.7541486572045</v>
      </c>
      <c r="Q118" s="800">
        <f t="shared" si="359"/>
        <v>725.2</v>
      </c>
      <c r="R118" s="800">
        <f t="shared" si="359"/>
        <v>728</v>
      </c>
      <c r="S118" s="800">
        <f t="shared" si="359"/>
        <v>822</v>
      </c>
      <c r="T118" s="800">
        <f t="shared" si="359"/>
        <v>1020</v>
      </c>
      <c r="U118" s="800">
        <f t="shared" si="359"/>
        <v>1376.7800000000002</v>
      </c>
      <c r="V118" s="800">
        <f t="shared" si="359"/>
        <v>1621.7199667099999</v>
      </c>
      <c r="W118" s="800">
        <f>SUM(W113:W117)</f>
        <v>1847.2121279607607</v>
      </c>
      <c r="X118" s="800">
        <f t="shared" ref="X118:Z118" si="360">SUM(X113:X117)</f>
        <v>2671.2599962187078</v>
      </c>
      <c r="Y118" s="800">
        <f t="shared" si="360"/>
        <v>3717.4214585596246</v>
      </c>
      <c r="Z118" s="800">
        <f t="shared" si="360"/>
        <v>3880.167578565</v>
      </c>
      <c r="AA118" s="800">
        <f t="shared" ref="AA118" si="361">SUM(AA113:AA117)</f>
        <v>4393.1533252636855</v>
      </c>
      <c r="AB118" s="800">
        <f t="shared" ref="AB118" si="362">SUM(AB113:AB117)</f>
        <v>5037.398720794703</v>
      </c>
      <c r="AC118" s="800">
        <f t="shared" ref="AC118" si="363">SUM(AC113:AC117)</f>
        <v>5643.6622017302443</v>
      </c>
      <c r="AD118" s="800">
        <f t="shared" ref="AD118:AE118" si="364">SUM(AD113:AD117)</f>
        <v>6307.155157293545</v>
      </c>
      <c r="AE118" s="800">
        <f t="shared" si="364"/>
        <v>6936.5750346252989</v>
      </c>
      <c r="AF118" s="800">
        <f t="shared" ref="AF118:AG118" si="365">SUM(AF113:AF117)</f>
        <v>7601.6510575080383</v>
      </c>
      <c r="AG118" s="800">
        <f t="shared" si="365"/>
        <v>8297.2863280546298</v>
      </c>
      <c r="AH118" s="35">
        <f t="shared" ref="AH118" si="366">SUM(AH113:AH117)</f>
        <v>8918.7081152347146</v>
      </c>
      <c r="BA118" s="442"/>
      <c r="BB118" s="443"/>
      <c r="BC118" s="443"/>
      <c r="BD118" s="443"/>
      <c r="BE118" s="443"/>
      <c r="BF118" s="443"/>
      <c r="BG118" s="443"/>
      <c r="BH118" s="443"/>
      <c r="BI118" s="443"/>
      <c r="BJ118" s="443"/>
      <c r="BK118" s="443"/>
      <c r="BL118" s="443"/>
      <c r="BM118" s="444"/>
      <c r="BO118" s="442"/>
      <c r="BP118" s="443"/>
      <c r="BQ118" s="443"/>
      <c r="BR118" s="443"/>
      <c r="BS118" s="443"/>
      <c r="BT118" s="443"/>
      <c r="BU118" s="443"/>
      <c r="BV118" s="443"/>
      <c r="BW118" s="443"/>
      <c r="BX118" s="443"/>
      <c r="BY118" s="443"/>
      <c r="BZ118" s="443"/>
      <c r="CA118" s="443"/>
      <c r="CB118" s="443"/>
      <c r="CC118" s="443"/>
      <c r="CD118" s="443"/>
      <c r="CE118" s="443"/>
      <c r="CF118" s="443"/>
      <c r="CG118" s="443"/>
      <c r="CH118" s="444"/>
      <c r="CJ118" s="442"/>
      <c r="CK118" s="443"/>
      <c r="CL118" s="443"/>
      <c r="CM118" s="443"/>
      <c r="CN118" s="443"/>
      <c r="CO118" s="443"/>
      <c r="CP118" s="443"/>
      <c r="CQ118" s="443"/>
      <c r="CR118" s="443"/>
      <c r="CS118" s="443"/>
      <c r="CT118" s="443"/>
      <c r="CU118" s="443"/>
      <c r="CV118" s="443"/>
      <c r="CW118" s="443"/>
      <c r="CX118" s="443"/>
      <c r="CY118" s="443"/>
      <c r="CZ118" s="443"/>
      <c r="DA118" s="444"/>
    </row>
    <row r="119" spans="1:105">
      <c r="A119" s="17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91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18"/>
      <c r="BA119" s="442"/>
      <c r="BB119" s="443"/>
      <c r="BC119" s="443"/>
      <c r="BD119" s="443"/>
      <c r="BE119" s="443"/>
      <c r="BF119" s="443"/>
      <c r="BG119" s="443"/>
      <c r="BH119" s="443"/>
      <c r="BI119" s="443"/>
      <c r="BJ119" s="443"/>
      <c r="BK119" s="443"/>
      <c r="BL119" s="443"/>
      <c r="BM119" s="444"/>
      <c r="BO119" s="442"/>
      <c r="BP119" s="443"/>
      <c r="BQ119" s="443"/>
      <c r="BR119" s="443"/>
      <c r="BS119" s="443"/>
      <c r="BT119" s="443"/>
      <c r="BU119" s="443"/>
      <c r="BV119" s="443"/>
      <c r="BW119" s="443"/>
      <c r="BX119" s="443"/>
      <c r="BY119" s="443"/>
      <c r="BZ119" s="443"/>
      <c r="CA119" s="443"/>
      <c r="CB119" s="443"/>
      <c r="CC119" s="443"/>
      <c r="CD119" s="443"/>
      <c r="CE119" s="443"/>
      <c r="CF119" s="443"/>
      <c r="CG119" s="443"/>
      <c r="CH119" s="444"/>
      <c r="CJ119" s="442"/>
      <c r="CK119" s="443"/>
      <c r="CL119" s="443"/>
      <c r="CM119" s="443"/>
      <c r="CN119" s="443"/>
      <c r="CO119" s="443"/>
      <c r="CP119" s="443"/>
      <c r="CQ119" s="443"/>
      <c r="CR119" s="443"/>
      <c r="CS119" s="443"/>
      <c r="CT119" s="443"/>
      <c r="CU119" s="443"/>
      <c r="CV119" s="443"/>
      <c r="CW119" s="443"/>
      <c r="CX119" s="443"/>
      <c r="CY119" s="443"/>
      <c r="CZ119" s="443"/>
      <c r="DA119" s="444"/>
    </row>
    <row r="120" spans="1:105">
      <c r="A120" s="17" t="s">
        <v>368</v>
      </c>
      <c r="B120" s="8"/>
      <c r="C120" s="8"/>
      <c r="D120" s="8"/>
      <c r="E120" s="8"/>
      <c r="F120" s="8"/>
      <c r="G120" s="72">
        <v>57.407924107142854</v>
      </c>
      <c r="H120" s="72">
        <v>68.059490217803585</v>
      </c>
      <c r="I120" s="72">
        <v>91.24796180554749</v>
      </c>
      <c r="J120" s="72">
        <v>105.7694126398266</v>
      </c>
      <c r="K120" s="72">
        <v>101.07573123016772</v>
      </c>
      <c r="L120" s="72">
        <v>42.242109320323067</v>
      </c>
      <c r="M120" s="72">
        <v>35.33319073751877</v>
      </c>
      <c r="N120" s="72">
        <v>37.832529189371392</v>
      </c>
      <c r="O120" s="72">
        <v>37.094137731570889</v>
      </c>
      <c r="P120" s="72">
        <v>36.160212313207516</v>
      </c>
      <c r="Q120" s="72">
        <v>45.514620728233055</v>
      </c>
      <c r="R120" s="72">
        <v>49.549366629931249</v>
      </c>
      <c r="S120" s="72">
        <v>50.056346225428584</v>
      </c>
      <c r="T120" s="72">
        <v>51.335228266655392</v>
      </c>
      <c r="U120" s="72">
        <v>49.215683703909129</v>
      </c>
      <c r="V120" s="72">
        <v>56.43397019517333</v>
      </c>
      <c r="W120" s="72">
        <v>55.71299466914494</v>
      </c>
      <c r="X120" s="72">
        <v>34.835000000000001</v>
      </c>
      <c r="Y120" s="72">
        <v>42.436</v>
      </c>
      <c r="Z120" s="72">
        <v>39.401190996346784</v>
      </c>
      <c r="AA120" s="72">
        <v>40.078644042506106</v>
      </c>
      <c r="AB120" s="72">
        <v>40.390556185426149</v>
      </c>
      <c r="AC120" s="72">
        <v>37.965053244942339</v>
      </c>
      <c r="AD120" s="72">
        <v>32.62191526156623</v>
      </c>
      <c r="AE120" s="72">
        <v>30.72418276213633</v>
      </c>
      <c r="AF120" s="72">
        <v>28.338297415476319</v>
      </c>
      <c r="AG120" s="72">
        <v>25.41643751481746</v>
      </c>
      <c r="AH120" s="619">
        <v>27.448661993648969</v>
      </c>
      <c r="BA120" s="442"/>
      <c r="BB120" s="443"/>
      <c r="BC120" s="443"/>
      <c r="BD120" s="443"/>
      <c r="BE120" s="443"/>
      <c r="BF120" s="443"/>
      <c r="BG120" s="443"/>
      <c r="BH120" s="443"/>
      <c r="BI120" s="443"/>
      <c r="BJ120" s="443"/>
      <c r="BK120" s="443"/>
      <c r="BL120" s="443"/>
      <c r="BM120" s="444"/>
      <c r="BO120" s="442"/>
      <c r="BP120" s="443"/>
      <c r="BQ120" s="443"/>
      <c r="BR120" s="443"/>
      <c r="BS120" s="443"/>
      <c r="BT120" s="443"/>
      <c r="BU120" s="443"/>
      <c r="BV120" s="443"/>
      <c r="BW120" s="443"/>
      <c r="BX120" s="443"/>
      <c r="BY120" s="443"/>
      <c r="BZ120" s="443"/>
      <c r="CA120" s="443"/>
      <c r="CB120" s="443"/>
      <c r="CC120" s="443"/>
      <c r="CD120" s="443"/>
      <c r="CE120" s="443"/>
      <c r="CF120" s="443"/>
      <c r="CG120" s="443"/>
      <c r="CH120" s="444"/>
      <c r="CJ120" s="442"/>
      <c r="CK120" s="443"/>
      <c r="CL120" s="443"/>
      <c r="CM120" s="443"/>
      <c r="CN120" s="443"/>
      <c r="CO120" s="443"/>
      <c r="CP120" s="443"/>
      <c r="CQ120" s="443"/>
      <c r="CR120" s="443"/>
      <c r="CS120" s="443"/>
      <c r="CT120" s="443"/>
      <c r="CU120" s="443"/>
      <c r="CV120" s="443"/>
      <c r="CW120" s="443"/>
      <c r="CX120" s="443"/>
      <c r="CY120" s="443"/>
      <c r="CZ120" s="443"/>
      <c r="DA120" s="444"/>
    </row>
    <row r="121" spans="1:105">
      <c r="A121" s="17" t="s">
        <v>362</v>
      </c>
      <c r="B121" s="8"/>
      <c r="C121" s="8"/>
      <c r="D121" s="8"/>
      <c r="E121" s="8"/>
      <c r="F121" s="8"/>
      <c r="G121" s="72">
        <v>15.75520113939662</v>
      </c>
      <c r="H121" s="72">
        <v>25.983801228573089</v>
      </c>
      <c r="I121" s="72">
        <v>38.487376686474505</v>
      </c>
      <c r="J121" s="72">
        <v>53.477994790662358</v>
      </c>
      <c r="K121" s="72">
        <v>131.29484057887166</v>
      </c>
      <c r="L121" s="72">
        <v>184.2056062723376</v>
      </c>
      <c r="M121" s="72">
        <v>233.50219199549966</v>
      </c>
      <c r="N121" s="72">
        <v>261.96411736072616</v>
      </c>
      <c r="O121" s="72">
        <v>281.81592623668894</v>
      </c>
      <c r="P121" s="72">
        <v>247.05927684936313</v>
      </c>
      <c r="Q121" s="72">
        <v>224.455824062635</v>
      </c>
      <c r="R121" s="72">
        <v>196.64459488048266</v>
      </c>
      <c r="S121" s="72">
        <v>156.92807513745504</v>
      </c>
      <c r="T121" s="72">
        <v>133.92599999999999</v>
      </c>
      <c r="U121" s="72">
        <v>118.32498978209966</v>
      </c>
      <c r="V121" s="72">
        <v>109.88578049342283</v>
      </c>
      <c r="W121" s="72">
        <v>103.5248720821545</v>
      </c>
      <c r="X121" s="72">
        <v>100.06887835841859</v>
      </c>
      <c r="Y121" s="72">
        <v>99.126116193362989</v>
      </c>
      <c r="Z121" s="72">
        <v>97.161494921537127</v>
      </c>
      <c r="AA121" s="72">
        <v>95.468560722869654</v>
      </c>
      <c r="AB121" s="72">
        <v>77.148303781497461</v>
      </c>
      <c r="AC121" s="72">
        <v>66.208335200104415</v>
      </c>
      <c r="AD121" s="72">
        <v>58.516495444204594</v>
      </c>
      <c r="AE121" s="72">
        <v>45.307362092019503</v>
      </c>
      <c r="AF121" s="72">
        <v>31.806809776952988</v>
      </c>
      <c r="AG121" s="72">
        <v>16.700099371557258</v>
      </c>
      <c r="AH121" s="619">
        <v>1.897061945188149</v>
      </c>
      <c r="BA121" s="442"/>
      <c r="BB121" s="443"/>
      <c r="BC121" s="443"/>
      <c r="BD121" s="443"/>
      <c r="BE121" s="443"/>
      <c r="BF121" s="443"/>
      <c r="BG121" s="443"/>
      <c r="BH121" s="443"/>
      <c r="BI121" s="443"/>
      <c r="BJ121" s="443"/>
      <c r="BK121" s="443"/>
      <c r="BL121" s="443"/>
      <c r="BM121" s="444"/>
      <c r="BO121" s="442"/>
      <c r="BP121" s="443"/>
      <c r="BQ121" s="443"/>
      <c r="BR121" s="443"/>
      <c r="BS121" s="443"/>
      <c r="BT121" s="443"/>
      <c r="BU121" s="443"/>
      <c r="BV121" s="443"/>
      <c r="BW121" s="443"/>
      <c r="BX121" s="443"/>
      <c r="BY121" s="443"/>
      <c r="BZ121" s="443"/>
      <c r="CA121" s="443"/>
      <c r="CB121" s="443"/>
      <c r="CC121" s="443"/>
      <c r="CD121" s="443"/>
      <c r="CE121" s="443"/>
      <c r="CF121" s="443"/>
      <c r="CG121" s="443"/>
      <c r="CH121" s="444"/>
      <c r="CJ121" s="442"/>
      <c r="CK121" s="443"/>
      <c r="CL121" s="443"/>
      <c r="CM121" s="443"/>
      <c r="CN121" s="443"/>
      <c r="CO121" s="443"/>
      <c r="CP121" s="443"/>
      <c r="CQ121" s="443"/>
      <c r="CR121" s="443"/>
      <c r="CS121" s="443"/>
      <c r="CT121" s="443"/>
      <c r="CU121" s="443"/>
      <c r="CV121" s="443"/>
      <c r="CW121" s="443"/>
      <c r="CX121" s="443"/>
      <c r="CY121" s="443"/>
      <c r="CZ121" s="443"/>
      <c r="DA121" s="444"/>
    </row>
    <row r="122" spans="1:105">
      <c r="A122" s="17" t="s">
        <v>208</v>
      </c>
      <c r="B122" s="8"/>
      <c r="C122" s="8"/>
      <c r="D122" s="8"/>
      <c r="E122" s="8"/>
      <c r="F122" s="8"/>
      <c r="G122" s="72">
        <v>2.9652430800027303</v>
      </c>
      <c r="H122" s="72">
        <v>41.648409470632785</v>
      </c>
      <c r="I122" s="72">
        <v>97.049643820750731</v>
      </c>
      <c r="J122" s="72">
        <v>116.04440777404174</v>
      </c>
      <c r="K122" s="72">
        <v>117.84872158783395</v>
      </c>
      <c r="L122" s="72">
        <v>122.06035107436119</v>
      </c>
      <c r="M122" s="72">
        <v>89.780371732636155</v>
      </c>
      <c r="N122" s="72">
        <v>57.217663830907156</v>
      </c>
      <c r="O122" s="72">
        <v>35.369708447620276</v>
      </c>
      <c r="P122" s="72">
        <v>27.348526436607084</v>
      </c>
      <c r="Q122" s="72">
        <v>26.314888009545154</v>
      </c>
      <c r="R122" s="72">
        <v>19.743736272358657</v>
      </c>
      <c r="S122" s="72">
        <v>16.034678015307129</v>
      </c>
      <c r="T122" s="72">
        <v>15.941206192721893</v>
      </c>
      <c r="U122" s="72">
        <v>16.662167610576876</v>
      </c>
      <c r="V122" s="72">
        <v>14.045805506299466</v>
      </c>
      <c r="W122" s="72">
        <v>12.878004444393149</v>
      </c>
      <c r="X122" s="72">
        <v>17.329999999999998</v>
      </c>
      <c r="Y122" s="72">
        <v>13.92</v>
      </c>
      <c r="Z122" s="72">
        <v>12.577489137471993</v>
      </c>
      <c r="AA122" s="72">
        <v>11.234978274943987</v>
      </c>
      <c r="AB122" s="72">
        <v>11.758000827518044</v>
      </c>
      <c r="AC122" s="72">
        <v>12.308713071650637</v>
      </c>
      <c r="AD122" s="72">
        <v>12.968957436573728</v>
      </c>
      <c r="AE122" s="72">
        <v>13.528266787498644</v>
      </c>
      <c r="AF122" s="72">
        <v>14.174719888339718</v>
      </c>
      <c r="AG122" s="72">
        <v>14.870490969738501</v>
      </c>
      <c r="AH122" s="619">
        <v>15.61081938387143</v>
      </c>
      <c r="BA122" s="442"/>
      <c r="BB122" s="443"/>
      <c r="BC122" s="443"/>
      <c r="BD122" s="443"/>
      <c r="BE122" s="443"/>
      <c r="BF122" s="443"/>
      <c r="BG122" s="443"/>
      <c r="BH122" s="443"/>
      <c r="BI122" s="443"/>
      <c r="BJ122" s="443"/>
      <c r="BK122" s="443"/>
      <c r="BL122" s="443"/>
      <c r="BM122" s="444"/>
      <c r="BO122" s="442"/>
      <c r="BP122" s="443"/>
      <c r="BQ122" s="443"/>
      <c r="BR122" s="443"/>
      <c r="BS122" s="443"/>
      <c r="BT122" s="443"/>
      <c r="BU122" s="443"/>
      <c r="BV122" s="443"/>
      <c r="BW122" s="443"/>
      <c r="BX122" s="443"/>
      <c r="BY122" s="443"/>
      <c r="BZ122" s="443"/>
      <c r="CA122" s="443"/>
      <c r="CB122" s="443"/>
      <c r="CC122" s="443"/>
      <c r="CD122" s="443"/>
      <c r="CE122" s="443"/>
      <c r="CF122" s="443"/>
      <c r="CG122" s="443"/>
      <c r="CH122" s="444"/>
      <c r="CJ122" s="442"/>
      <c r="CK122" s="443"/>
      <c r="CL122" s="443"/>
      <c r="CM122" s="443"/>
      <c r="CN122" s="443"/>
      <c r="CO122" s="443"/>
      <c r="CP122" s="443"/>
      <c r="CQ122" s="443"/>
      <c r="CR122" s="443"/>
      <c r="CS122" s="443"/>
      <c r="CT122" s="443"/>
      <c r="CU122" s="443"/>
      <c r="CV122" s="443"/>
      <c r="CW122" s="443"/>
      <c r="CX122" s="443"/>
      <c r="CY122" s="443"/>
      <c r="CZ122" s="443"/>
      <c r="DA122" s="444"/>
    </row>
    <row r="123" spans="1:105">
      <c r="A123" s="17" t="s">
        <v>75</v>
      </c>
      <c r="B123" s="8"/>
      <c r="C123" s="8"/>
      <c r="D123" s="8"/>
      <c r="E123" s="8"/>
      <c r="F123" s="8"/>
      <c r="G123" s="72">
        <v>0.93683730792761677</v>
      </c>
      <c r="H123" s="72">
        <v>3.0191761653237359</v>
      </c>
      <c r="I123" s="72">
        <v>3.9167866783170253</v>
      </c>
      <c r="J123" s="72">
        <v>6.0970979658249238</v>
      </c>
      <c r="K123" s="72">
        <v>10.472493957684677</v>
      </c>
      <c r="L123" s="72">
        <v>13.500580825007614</v>
      </c>
      <c r="M123" s="72">
        <v>16.427391192911866</v>
      </c>
      <c r="N123" s="72">
        <v>29.083711008696014</v>
      </c>
      <c r="O123" s="72">
        <v>23.524067442528185</v>
      </c>
      <c r="P123" s="72">
        <v>14.417894236599386</v>
      </c>
      <c r="Q123" s="72">
        <v>18.620463084932844</v>
      </c>
      <c r="R123" s="72">
        <v>17.5908394782528</v>
      </c>
      <c r="S123" s="72">
        <v>17.660529171446527</v>
      </c>
      <c r="T123" s="72">
        <v>17.591963584079011</v>
      </c>
      <c r="U123" s="72">
        <v>18.650922169992018</v>
      </c>
      <c r="V123" s="72">
        <v>20.024433624817085</v>
      </c>
      <c r="W123" s="72">
        <v>18.087026214503691</v>
      </c>
      <c r="X123" s="72">
        <v>20.954999999999998</v>
      </c>
      <c r="Y123" s="72">
        <v>13.023999999999999</v>
      </c>
      <c r="Z123" s="72">
        <v>15.368996655732781</v>
      </c>
      <c r="AA123" s="72">
        <v>17.427045669104871</v>
      </c>
      <c r="AB123" s="72">
        <v>18.141956220532325</v>
      </c>
      <c r="AC123" s="72">
        <v>18.673624970299041</v>
      </c>
      <c r="AD123" s="72">
        <v>19.575730273061676</v>
      </c>
      <c r="AE123" s="72">
        <v>20.380220029560721</v>
      </c>
      <c r="AF123" s="72">
        <v>21.205454248571726</v>
      </c>
      <c r="AG123" s="72">
        <v>22.040182340078758</v>
      </c>
      <c r="AH123" s="619">
        <v>22.886742386070253</v>
      </c>
      <c r="BA123" s="442"/>
      <c r="BB123" s="443"/>
      <c r="BC123" s="443"/>
      <c r="BD123" s="443"/>
      <c r="BE123" s="443"/>
      <c r="BF123" s="443"/>
      <c r="BG123" s="443"/>
      <c r="BH123" s="443"/>
      <c r="BI123" s="443"/>
      <c r="BJ123" s="443"/>
      <c r="BK123" s="443"/>
      <c r="BL123" s="443"/>
      <c r="BM123" s="444"/>
      <c r="BO123" s="442"/>
      <c r="BP123" s="443"/>
      <c r="BQ123" s="443"/>
      <c r="BR123" s="443"/>
      <c r="BS123" s="443"/>
      <c r="BT123" s="443"/>
      <c r="BU123" s="443"/>
      <c r="BV123" s="443"/>
      <c r="BW123" s="443"/>
      <c r="BX123" s="443"/>
      <c r="BY123" s="443"/>
      <c r="BZ123" s="443"/>
      <c r="CA123" s="443"/>
      <c r="CB123" s="443"/>
      <c r="CC123" s="443"/>
      <c r="CD123" s="443"/>
      <c r="CE123" s="443"/>
      <c r="CF123" s="443"/>
      <c r="CG123" s="443"/>
      <c r="CH123" s="444"/>
      <c r="CJ123" s="442"/>
      <c r="CK123" s="443"/>
      <c r="CL123" s="443"/>
      <c r="CM123" s="443"/>
      <c r="CN123" s="443"/>
      <c r="CO123" s="443"/>
      <c r="CP123" s="443"/>
      <c r="CQ123" s="443"/>
      <c r="CR123" s="443"/>
      <c r="CS123" s="443"/>
      <c r="CT123" s="443"/>
      <c r="CU123" s="443"/>
      <c r="CV123" s="443"/>
      <c r="CW123" s="443"/>
      <c r="CX123" s="443"/>
      <c r="CY123" s="443"/>
      <c r="CZ123" s="443"/>
      <c r="DA123" s="444"/>
    </row>
    <row r="124" spans="1:105">
      <c r="A124" s="33" t="s">
        <v>76</v>
      </c>
      <c r="B124" s="800"/>
      <c r="C124" s="800"/>
      <c r="D124" s="800"/>
      <c r="E124" s="800"/>
      <c r="F124" s="800"/>
      <c r="G124" s="800">
        <f>SUM(G120:G123)</f>
        <v>77.065205634469834</v>
      </c>
      <c r="H124" s="800">
        <f t="shared" ref="H124:V124" si="367">SUM(H120:H123)</f>
        <v>138.71087708233318</v>
      </c>
      <c r="I124" s="800">
        <f t="shared" si="367"/>
        <v>230.70176899108975</v>
      </c>
      <c r="J124" s="800">
        <f t="shared" si="367"/>
        <v>281.38891317035558</v>
      </c>
      <c r="K124" s="800">
        <f t="shared" si="367"/>
        <v>360.69178735455802</v>
      </c>
      <c r="L124" s="800">
        <f t="shared" si="367"/>
        <v>362.00864749202947</v>
      </c>
      <c r="M124" s="800">
        <f t="shared" si="367"/>
        <v>375.04314565856646</v>
      </c>
      <c r="N124" s="800">
        <f t="shared" si="367"/>
        <v>386.0980213897007</v>
      </c>
      <c r="O124" s="800">
        <f t="shared" si="367"/>
        <v>377.80383985840825</v>
      </c>
      <c r="P124" s="800">
        <f t="shared" si="367"/>
        <v>324.98590983577714</v>
      </c>
      <c r="Q124" s="800">
        <f t="shared" si="367"/>
        <v>314.90579588534604</v>
      </c>
      <c r="R124" s="800">
        <f t="shared" si="367"/>
        <v>283.52853726102535</v>
      </c>
      <c r="S124" s="800">
        <f t="shared" si="367"/>
        <v>240.67962854963724</v>
      </c>
      <c r="T124" s="800">
        <f t="shared" si="367"/>
        <v>218.79439804345628</v>
      </c>
      <c r="U124" s="800">
        <f t="shared" si="367"/>
        <v>202.85376326657769</v>
      </c>
      <c r="V124" s="800">
        <f t="shared" si="367"/>
        <v>200.38998981971272</v>
      </c>
      <c r="W124" s="800">
        <f t="shared" ref="W124:Z124" si="368">SUM(W120:W123)</f>
        <v>190.20289741019627</v>
      </c>
      <c r="X124" s="800">
        <f t="shared" si="368"/>
        <v>173.18887835841855</v>
      </c>
      <c r="Y124" s="800">
        <f t="shared" si="368"/>
        <v>168.50611619336297</v>
      </c>
      <c r="Z124" s="800">
        <f t="shared" si="368"/>
        <v>164.5091717110887</v>
      </c>
      <c r="AA124" s="800">
        <f t="shared" ref="AA124" si="369">SUM(AA120:AA123)</f>
        <v>164.20922870942462</v>
      </c>
      <c r="AB124" s="800">
        <f t="shared" ref="AB124" si="370">SUM(AB120:AB123)</f>
        <v>147.43881701497398</v>
      </c>
      <c r="AC124" s="800">
        <f t="shared" ref="AC124" si="371">SUM(AC120:AC123)</f>
        <v>135.15572648699643</v>
      </c>
      <c r="AD124" s="800">
        <f t="shared" ref="AD124:AE124" si="372">SUM(AD120:AD123)</f>
        <v>123.68309841540623</v>
      </c>
      <c r="AE124" s="800">
        <f t="shared" si="372"/>
        <v>109.94003167121519</v>
      </c>
      <c r="AF124" s="800">
        <f t="shared" ref="AF124:AG124" si="373">SUM(AF120:AF123)</f>
        <v>95.525281329340757</v>
      </c>
      <c r="AG124" s="800">
        <f t="shared" si="373"/>
        <v>79.027210196191973</v>
      </c>
      <c r="AH124" s="35">
        <f t="shared" ref="AH124" si="374">SUM(AH120:AH123)</f>
        <v>67.843285708778808</v>
      </c>
      <c r="BA124" s="442"/>
      <c r="BB124" s="443"/>
      <c r="BC124" s="443"/>
      <c r="BD124" s="443"/>
      <c r="BE124" s="443"/>
      <c r="BF124" s="443"/>
      <c r="BG124" s="443"/>
      <c r="BH124" s="443"/>
      <c r="BI124" s="443"/>
      <c r="BJ124" s="443"/>
      <c r="BK124" s="443"/>
      <c r="BL124" s="443"/>
      <c r="BM124" s="444"/>
      <c r="BO124" s="442"/>
      <c r="BP124" s="443"/>
      <c r="BQ124" s="443"/>
      <c r="BR124" s="443"/>
      <c r="BS124" s="443"/>
      <c r="BT124" s="443"/>
      <c r="BU124" s="443"/>
      <c r="BV124" s="443"/>
      <c r="BW124" s="443"/>
      <c r="BX124" s="443"/>
      <c r="BY124" s="443"/>
      <c r="BZ124" s="443"/>
      <c r="CA124" s="443"/>
      <c r="CB124" s="443"/>
      <c r="CC124" s="443"/>
      <c r="CD124" s="443"/>
      <c r="CE124" s="443"/>
      <c r="CF124" s="443"/>
      <c r="CG124" s="443"/>
      <c r="CH124" s="444"/>
      <c r="CJ124" s="442"/>
      <c r="CK124" s="443"/>
      <c r="CL124" s="443"/>
      <c r="CM124" s="443"/>
      <c r="CN124" s="443"/>
      <c r="CO124" s="443"/>
      <c r="CP124" s="443"/>
      <c r="CQ124" s="443"/>
      <c r="CR124" s="443"/>
      <c r="CS124" s="443"/>
      <c r="CT124" s="443"/>
      <c r="CU124" s="443"/>
      <c r="CV124" s="443"/>
      <c r="CW124" s="443"/>
      <c r="CX124" s="443"/>
      <c r="CY124" s="443"/>
      <c r="CZ124" s="443"/>
      <c r="DA124" s="444"/>
    </row>
    <row r="125" spans="1:105" ht="16" thickBot="1">
      <c r="A125" s="17"/>
      <c r="B125" s="8"/>
      <c r="C125" s="8"/>
      <c r="D125" s="8"/>
      <c r="E125" s="8"/>
      <c r="F125" s="8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620"/>
      <c r="BA125" s="442"/>
      <c r="BB125" s="443"/>
      <c r="BC125" s="443"/>
      <c r="BD125" s="443"/>
      <c r="BE125" s="443"/>
      <c r="BF125" s="443"/>
      <c r="BG125" s="443"/>
      <c r="BH125" s="443"/>
      <c r="BI125" s="443"/>
      <c r="BJ125" s="443"/>
      <c r="BK125" s="443"/>
      <c r="BL125" s="443"/>
      <c r="BM125" s="444"/>
      <c r="BO125" s="442"/>
      <c r="BP125" s="443"/>
      <c r="BQ125" s="443"/>
      <c r="BR125" s="443"/>
      <c r="BS125" s="443"/>
      <c r="BT125" s="443"/>
      <c r="BU125" s="443"/>
      <c r="BV125" s="443"/>
      <c r="BW125" s="443"/>
      <c r="BX125" s="443"/>
      <c r="BY125" s="443"/>
      <c r="BZ125" s="443"/>
      <c r="CA125" s="443"/>
      <c r="CB125" s="443"/>
      <c r="CC125" s="443"/>
      <c r="CD125" s="443"/>
      <c r="CE125" s="443"/>
      <c r="CF125" s="443"/>
      <c r="CG125" s="443"/>
      <c r="CH125" s="444"/>
      <c r="CJ125" s="446"/>
      <c r="CK125" s="447"/>
      <c r="CL125" s="447"/>
      <c r="CM125" s="447"/>
      <c r="CN125" s="447"/>
      <c r="CO125" s="447"/>
      <c r="CP125" s="447"/>
      <c r="CQ125" s="447"/>
      <c r="CR125" s="447"/>
      <c r="CS125" s="447"/>
      <c r="CT125" s="447"/>
      <c r="CU125" s="447"/>
      <c r="CV125" s="447"/>
      <c r="CW125" s="447"/>
      <c r="CX125" s="447"/>
      <c r="CY125" s="447"/>
      <c r="CZ125" s="447"/>
      <c r="DA125" s="448"/>
    </row>
    <row r="126" spans="1:105" ht="16" thickBot="1">
      <c r="A126" s="17" t="s">
        <v>368</v>
      </c>
      <c r="B126" s="8"/>
      <c r="C126" s="8"/>
      <c r="D126" s="8"/>
      <c r="E126" s="8"/>
      <c r="F126" s="8"/>
      <c r="G126" s="13">
        <f t="shared" ref="G126:V126" si="375">G113+G120</f>
        <v>57.407924107142854</v>
      </c>
      <c r="H126" s="13">
        <f t="shared" si="375"/>
        <v>68.059490217803585</v>
      </c>
      <c r="I126" s="13">
        <f t="shared" si="375"/>
        <v>91.24796180554749</v>
      </c>
      <c r="J126" s="13">
        <f t="shared" si="375"/>
        <v>105.7694126398266</v>
      </c>
      <c r="K126" s="13">
        <f t="shared" si="375"/>
        <v>173.86147505320508</v>
      </c>
      <c r="L126" s="13">
        <f t="shared" si="375"/>
        <v>220.37349952386714</v>
      </c>
      <c r="M126" s="13">
        <f t="shared" si="375"/>
        <v>239.38764281599052</v>
      </c>
      <c r="N126" s="13">
        <f t="shared" si="375"/>
        <v>279.50181018937138</v>
      </c>
      <c r="O126" s="13">
        <f t="shared" si="375"/>
        <v>266.51124173157086</v>
      </c>
      <c r="P126" s="13">
        <f t="shared" si="375"/>
        <v>221.16021231320752</v>
      </c>
      <c r="Q126" s="13">
        <f t="shared" si="375"/>
        <v>252.71462072823306</v>
      </c>
      <c r="R126" s="13">
        <f t="shared" si="375"/>
        <v>289.54936662993123</v>
      </c>
      <c r="S126" s="13">
        <f t="shared" si="375"/>
        <v>344.05634622542857</v>
      </c>
      <c r="T126" s="13">
        <f t="shared" si="375"/>
        <v>433.33522826665541</v>
      </c>
      <c r="U126" s="13">
        <f t="shared" si="375"/>
        <v>638.21568370390912</v>
      </c>
      <c r="V126" s="13">
        <f t="shared" si="375"/>
        <v>741.25468209517328</v>
      </c>
      <c r="W126" s="13">
        <f t="shared" ref="W126:Z126" si="376">W113+W120</f>
        <v>838.46298246914489</v>
      </c>
      <c r="X126" s="13">
        <f t="shared" si="376"/>
        <v>1146.1744152094273</v>
      </c>
      <c r="Y126" s="13">
        <f t="shared" si="376"/>
        <v>1646.0128882136248</v>
      </c>
      <c r="Z126" s="13">
        <f t="shared" si="376"/>
        <v>1554.7425270563465</v>
      </c>
      <c r="AA126" s="13">
        <f t="shared" ref="AA126" si="377">AA113+AA120</f>
        <v>1713.3252969377238</v>
      </c>
      <c r="AB126" s="13">
        <f t="shared" ref="AB126" si="378">AB113+AB120</f>
        <v>1898.8722834676446</v>
      </c>
      <c r="AC126" s="13">
        <f t="shared" ref="AC126" si="379">AC113+AC120</f>
        <v>2128.4120264382364</v>
      </c>
      <c r="AD126" s="13">
        <f t="shared" ref="AD126:AE126" si="380">AD113+AD120</f>
        <v>2409.4591911754915</v>
      </c>
      <c r="AE126" s="13">
        <f t="shared" si="380"/>
        <v>2654.4334699521423</v>
      </c>
      <c r="AF126" s="13">
        <f t="shared" ref="AF126:AG126" si="381">AF113+AF120</f>
        <v>2920.0151211171997</v>
      </c>
      <c r="AG126" s="13">
        <f t="shared" si="381"/>
        <v>3204.9141901267858</v>
      </c>
      <c r="AH126" s="19">
        <f t="shared" ref="AH126" si="382">AH113+AH120</f>
        <v>3411.248297722615</v>
      </c>
      <c r="BA126" s="442"/>
      <c r="BB126" s="443"/>
      <c r="BC126" s="443"/>
      <c r="BD126" s="443"/>
      <c r="BE126" s="443"/>
      <c r="BF126" s="443"/>
      <c r="BG126" s="443"/>
      <c r="BH126" s="443"/>
      <c r="BI126" s="443"/>
      <c r="BJ126" s="443"/>
      <c r="BK126" s="443"/>
      <c r="BL126" s="443"/>
      <c r="BM126" s="444"/>
      <c r="BO126" s="442"/>
      <c r="BP126" s="443"/>
      <c r="BQ126" s="443"/>
      <c r="BR126" s="443"/>
      <c r="BS126" s="443"/>
      <c r="BT126" s="443"/>
      <c r="BU126" s="443"/>
      <c r="BV126" s="443"/>
      <c r="BW126" s="443"/>
      <c r="BX126" s="443"/>
      <c r="BY126" s="443"/>
      <c r="BZ126" s="443"/>
      <c r="CA126" s="443"/>
      <c r="CB126" s="443"/>
      <c r="CC126" s="443"/>
      <c r="CD126" s="443"/>
      <c r="CE126" s="443"/>
      <c r="CF126" s="443"/>
      <c r="CG126" s="443"/>
      <c r="CH126" s="444"/>
    </row>
    <row r="127" spans="1:105">
      <c r="A127" s="17" t="s">
        <v>367</v>
      </c>
      <c r="B127" s="8"/>
      <c r="C127" s="8"/>
      <c r="D127" s="8"/>
      <c r="E127" s="8"/>
      <c r="F127" s="8"/>
      <c r="G127" s="13">
        <f t="shared" ref="G127:V127" si="383">G121+G114</f>
        <v>15.75520113939662</v>
      </c>
      <c r="H127" s="13">
        <f t="shared" si="383"/>
        <v>25.983801228573089</v>
      </c>
      <c r="I127" s="13">
        <f t="shared" si="383"/>
        <v>38.487376686474505</v>
      </c>
      <c r="J127" s="13">
        <f t="shared" si="383"/>
        <v>53.477994790662358</v>
      </c>
      <c r="K127" s="13">
        <f t="shared" si="383"/>
        <v>131.29484057887166</v>
      </c>
      <c r="L127" s="13">
        <f t="shared" si="383"/>
        <v>184.2056062723376</v>
      </c>
      <c r="M127" s="13">
        <f t="shared" si="383"/>
        <v>233.50219199549966</v>
      </c>
      <c r="N127" s="13">
        <f t="shared" si="383"/>
        <v>261.96411736072616</v>
      </c>
      <c r="O127" s="13">
        <f t="shared" si="383"/>
        <v>330.97494123668895</v>
      </c>
      <c r="P127" s="13">
        <f t="shared" si="383"/>
        <v>393.83434488941884</v>
      </c>
      <c r="Q127" s="13">
        <f t="shared" si="383"/>
        <v>468.7074767668696</v>
      </c>
      <c r="R127" s="13">
        <f t="shared" si="383"/>
        <v>452.10178538595818</v>
      </c>
      <c r="S127" s="13">
        <f t="shared" si="383"/>
        <v>444.92807513745504</v>
      </c>
      <c r="T127" s="13">
        <f t="shared" si="383"/>
        <v>521.92599999999993</v>
      </c>
      <c r="U127" s="13">
        <f t="shared" si="383"/>
        <v>687.32498978209969</v>
      </c>
      <c r="V127" s="13">
        <f t="shared" si="383"/>
        <v>819.92364340342283</v>
      </c>
      <c r="W127" s="13">
        <f t="shared" ref="W127:Z127" si="384">W121+W114</f>
        <v>934.6945833633871</v>
      </c>
      <c r="X127" s="13">
        <f t="shared" si="384"/>
        <v>1317.9409349184182</v>
      </c>
      <c r="Y127" s="13">
        <f t="shared" si="384"/>
        <v>1872.7322635533628</v>
      </c>
      <c r="Z127" s="13">
        <f t="shared" si="384"/>
        <v>2110.3249953115369</v>
      </c>
      <c r="AA127" s="13">
        <f t="shared" ref="AA127" si="385">AA121+AA114</f>
        <v>2463.76856072287</v>
      </c>
      <c r="AB127" s="13">
        <f t="shared" ref="AB127" si="386">AB121+AB114</f>
        <v>2874.7554097614975</v>
      </c>
      <c r="AC127" s="13">
        <f t="shared" ref="AC127" si="387">AC121+AC114</f>
        <v>3222.9073790192833</v>
      </c>
      <c r="AD127" s="13">
        <f t="shared" ref="AD127:AE127" si="388">AD121+AD114</f>
        <v>3568.3484954442047</v>
      </c>
      <c r="AE127" s="13">
        <f t="shared" si="388"/>
        <v>3908.9723620920195</v>
      </c>
      <c r="AF127" s="13">
        <f t="shared" ref="AF127:AG127" si="389">AF121+AF114</f>
        <v>4259.0948097769524</v>
      </c>
      <c r="AG127" s="13">
        <f t="shared" si="389"/>
        <v>4613.0380993715571</v>
      </c>
      <c r="AH127" s="19">
        <f t="shared" ref="AH127" si="390">AH121+AH114</f>
        <v>4970.627061945188</v>
      </c>
      <c r="BA127" s="442"/>
      <c r="BB127" s="443"/>
      <c r="BC127" s="443"/>
      <c r="BD127" s="443"/>
      <c r="BE127" s="443"/>
      <c r="BF127" s="443"/>
      <c r="BG127" s="443"/>
      <c r="BH127" s="443"/>
      <c r="BI127" s="443"/>
      <c r="BJ127" s="443"/>
      <c r="BK127" s="443"/>
      <c r="BL127" s="443"/>
      <c r="BM127" s="444"/>
      <c r="BO127" s="442"/>
      <c r="BP127" s="443"/>
      <c r="BQ127" s="443"/>
      <c r="BR127" s="443"/>
      <c r="BS127" s="443"/>
      <c r="BT127" s="443"/>
      <c r="BU127" s="443"/>
      <c r="BV127" s="443"/>
      <c r="BW127" s="443"/>
      <c r="BX127" s="443"/>
      <c r="BY127" s="443"/>
      <c r="BZ127" s="443"/>
      <c r="CA127" s="443"/>
      <c r="CB127" s="443"/>
      <c r="CC127" s="443"/>
      <c r="CD127" s="443"/>
      <c r="CE127" s="443"/>
      <c r="CF127" s="443"/>
      <c r="CG127" s="443"/>
      <c r="CH127" s="444"/>
      <c r="CJ127" s="439" t="s">
        <v>500</v>
      </c>
      <c r="CK127" s="440"/>
      <c r="CL127" s="440"/>
      <c r="CM127" s="440"/>
      <c r="CN127" s="440"/>
      <c r="CO127" s="440"/>
      <c r="CP127" s="440"/>
      <c r="CQ127" s="440"/>
      <c r="CR127" s="440"/>
      <c r="CS127" s="440"/>
      <c r="CT127" s="440"/>
      <c r="CU127" s="440"/>
      <c r="CV127" s="440"/>
      <c r="CW127" s="440"/>
      <c r="CX127" s="440"/>
      <c r="CY127" s="440"/>
      <c r="CZ127" s="440"/>
      <c r="DA127" s="441"/>
    </row>
    <row r="128" spans="1:105">
      <c r="A128" s="17" t="s">
        <v>208</v>
      </c>
      <c r="B128" s="8"/>
      <c r="C128" s="8"/>
      <c r="D128" s="8"/>
      <c r="E128" s="8"/>
      <c r="F128" s="8"/>
      <c r="G128" s="13">
        <f t="shared" ref="G128:V128" si="391">G122+G115</f>
        <v>2.9652430800027303</v>
      </c>
      <c r="H128" s="13">
        <f t="shared" si="391"/>
        <v>41.648409470632785</v>
      </c>
      <c r="I128" s="13">
        <f t="shared" si="391"/>
        <v>97.049643820750731</v>
      </c>
      <c r="J128" s="13">
        <f t="shared" si="391"/>
        <v>116.04440777404174</v>
      </c>
      <c r="K128" s="13">
        <f t="shared" si="391"/>
        <v>117.84872158783395</v>
      </c>
      <c r="L128" s="13">
        <f t="shared" si="391"/>
        <v>151.6995975598434</v>
      </c>
      <c r="M128" s="13">
        <f t="shared" si="391"/>
        <v>376.79489090541051</v>
      </c>
      <c r="N128" s="13">
        <f t="shared" si="391"/>
        <v>433.70174083090717</v>
      </c>
      <c r="O128" s="13">
        <f t="shared" si="391"/>
        <v>419.74000944762031</v>
      </c>
      <c r="P128" s="13">
        <f t="shared" si="391"/>
        <v>383.5734583965513</v>
      </c>
      <c r="Q128" s="13">
        <f t="shared" si="391"/>
        <v>256.06323530531057</v>
      </c>
      <c r="R128" s="13">
        <f t="shared" si="391"/>
        <v>208.28654576688314</v>
      </c>
      <c r="S128" s="13">
        <f t="shared" si="391"/>
        <v>213.03467801530712</v>
      </c>
      <c r="T128" s="13">
        <f t="shared" si="391"/>
        <v>208.94120619272189</v>
      </c>
      <c r="U128" s="13">
        <f t="shared" si="391"/>
        <v>169.66216761057689</v>
      </c>
      <c r="V128" s="13">
        <f t="shared" si="391"/>
        <v>161.04197427629947</v>
      </c>
      <c r="W128" s="13">
        <f t="shared" ref="W128:Z128" si="392">W122+W115</f>
        <v>150.63839400088915</v>
      </c>
      <c r="X128" s="13">
        <f t="shared" si="392"/>
        <v>224.26515331849498</v>
      </c>
      <c r="Y128" s="13">
        <f t="shared" si="392"/>
        <v>191.10353522</v>
      </c>
      <c r="Z128" s="13">
        <f t="shared" si="392"/>
        <v>182.35976807747195</v>
      </c>
      <c r="AA128" s="13">
        <f t="shared" ref="AA128" si="393">AA122+AA115</f>
        <v>188.73380781079305</v>
      </c>
      <c r="AB128" s="13">
        <f t="shared" ref="AB128" si="394">AB122+AB115</f>
        <v>186.67425390751802</v>
      </c>
      <c r="AC128" s="13">
        <f t="shared" ref="AC128" si="395">AC122+AC115</f>
        <v>188.60034811014444</v>
      </c>
      <c r="AD128" s="13">
        <f t="shared" ref="AD128:AE128" si="396">AD122+AD115</f>
        <v>188.91995743657372</v>
      </c>
      <c r="AE128" s="13">
        <f t="shared" si="396"/>
        <v>190.24826678749864</v>
      </c>
      <c r="AF128" s="13">
        <f t="shared" ref="AF128:AG128" si="397">AF122+AF115</f>
        <v>192.90571988833972</v>
      </c>
      <c r="AG128" s="13">
        <f t="shared" si="397"/>
        <v>196.40049096973851</v>
      </c>
      <c r="AH128" s="19">
        <f t="shared" ref="AH128" si="398">AH122+AH115</f>
        <v>200.50781938387144</v>
      </c>
      <c r="BA128" s="442"/>
      <c r="BB128" s="443"/>
      <c r="BC128" s="443"/>
      <c r="BD128" s="443"/>
      <c r="BE128" s="443"/>
      <c r="BF128" s="443"/>
      <c r="BG128" s="443"/>
      <c r="BH128" s="443"/>
      <c r="BI128" s="443"/>
      <c r="BJ128" s="443"/>
      <c r="BK128" s="443"/>
      <c r="BL128" s="443"/>
      <c r="BM128" s="444"/>
      <c r="BO128" s="442"/>
      <c r="BP128" s="443"/>
      <c r="BQ128" s="443"/>
      <c r="BR128" s="443"/>
      <c r="BS128" s="443"/>
      <c r="BT128" s="443"/>
      <c r="BU128" s="443"/>
      <c r="BV128" s="443"/>
      <c r="BW128" s="443"/>
      <c r="BX128" s="443"/>
      <c r="BY128" s="443"/>
      <c r="BZ128" s="443"/>
      <c r="CA128" s="443"/>
      <c r="CB128" s="443"/>
      <c r="CC128" s="443"/>
      <c r="CD128" s="443"/>
      <c r="CE128" s="443"/>
      <c r="CF128" s="443"/>
      <c r="CG128" s="443"/>
      <c r="CH128" s="444"/>
      <c r="CJ128" s="442"/>
      <c r="CK128" s="443"/>
      <c r="CL128" s="443"/>
      <c r="CM128" s="443"/>
      <c r="CN128" s="443"/>
      <c r="CO128" s="443"/>
      <c r="CP128" s="443"/>
      <c r="CQ128" s="443"/>
      <c r="CR128" s="443"/>
      <c r="CS128" s="443"/>
      <c r="CT128" s="443"/>
      <c r="CU128" s="443"/>
      <c r="CV128" s="443"/>
      <c r="CW128" s="443"/>
      <c r="CX128" s="443"/>
      <c r="CY128" s="443"/>
      <c r="CZ128" s="443"/>
      <c r="DA128" s="444"/>
    </row>
    <row r="129" spans="1:111">
      <c r="A129" s="17" t="s">
        <v>131</v>
      </c>
      <c r="B129" s="8"/>
      <c r="C129" s="8"/>
      <c r="D129" s="8"/>
      <c r="E129" s="8"/>
      <c r="F129" s="8"/>
      <c r="G129" s="13">
        <f t="shared" ref="G129:V129" si="399">G123+G116</f>
        <v>0.93683730792761677</v>
      </c>
      <c r="H129" s="13">
        <f t="shared" si="399"/>
        <v>3.0191761653237359</v>
      </c>
      <c r="I129" s="13">
        <f t="shared" si="399"/>
        <v>3.9167866783170253</v>
      </c>
      <c r="J129" s="13">
        <f t="shared" si="399"/>
        <v>6.0970979658249238</v>
      </c>
      <c r="K129" s="13">
        <f t="shared" si="399"/>
        <v>10.472493957684677</v>
      </c>
      <c r="L129" s="13">
        <f t="shared" si="399"/>
        <v>13.500580825007614</v>
      </c>
      <c r="M129" s="13">
        <f t="shared" si="399"/>
        <v>16.450889780558072</v>
      </c>
      <c r="N129" s="13">
        <f t="shared" si="399"/>
        <v>73.289952008696019</v>
      </c>
      <c r="O129" s="13">
        <f t="shared" si="399"/>
        <v>78.45849344252818</v>
      </c>
      <c r="P129" s="13">
        <f t="shared" si="399"/>
        <v>57.172042893803884</v>
      </c>
      <c r="Q129" s="13">
        <f t="shared" si="399"/>
        <v>50.620463084932844</v>
      </c>
      <c r="R129" s="13">
        <f t="shared" si="399"/>
        <v>44.590839478252803</v>
      </c>
      <c r="S129" s="13">
        <f t="shared" si="399"/>
        <v>42.660529171446527</v>
      </c>
      <c r="T129" s="13">
        <f t="shared" si="399"/>
        <v>44.591963584079011</v>
      </c>
      <c r="U129" s="13">
        <f t="shared" si="399"/>
        <v>46.530922169992017</v>
      </c>
      <c r="V129" s="13">
        <f t="shared" si="399"/>
        <v>51.09965675481709</v>
      </c>
      <c r="W129" s="13">
        <f t="shared" ref="W129:Z129" si="400">W123+W116</f>
        <v>55.509065537536088</v>
      </c>
      <c r="X129" s="13">
        <f t="shared" si="400"/>
        <v>79.128371130786007</v>
      </c>
      <c r="Y129" s="13">
        <f t="shared" si="400"/>
        <v>79.59888776599999</v>
      </c>
      <c r="Z129" s="13">
        <f t="shared" si="400"/>
        <v>76.469459830732788</v>
      </c>
      <c r="AA129" s="13">
        <f t="shared" ref="AA129" si="401">AA123+AA116</f>
        <v>81.223112369104854</v>
      </c>
      <c r="AB129" s="13">
        <f t="shared" ref="AB129" si="402">AB123+AB116</f>
        <v>85.355926050532332</v>
      </c>
      <c r="AC129" s="13">
        <f t="shared" ref="AC129" si="403">AC123+AC116</f>
        <v>84.848374569154473</v>
      </c>
      <c r="AD129" s="13">
        <f t="shared" ref="AD129:AE129" si="404">AD123+AD116</f>
        <v>92.590730273061681</v>
      </c>
      <c r="AE129" s="13">
        <f t="shared" si="404"/>
        <v>100.27322002956072</v>
      </c>
      <c r="AF129" s="13">
        <f t="shared" ref="AF129:AG129" si="405">AF123+AF116</f>
        <v>108.21745424857173</v>
      </c>
      <c r="AG129" s="13">
        <f t="shared" si="405"/>
        <v>116.33018234007876</v>
      </c>
      <c r="AH129" s="19">
        <f t="shared" ref="AH129" si="406">AH123+AH116</f>
        <v>124.57774238607026</v>
      </c>
      <c r="BA129" s="442"/>
      <c r="BB129" s="443"/>
      <c r="BC129" s="443"/>
      <c r="BD129" s="443"/>
      <c r="BE129" s="443"/>
      <c r="BF129" s="443"/>
      <c r="BG129" s="443"/>
      <c r="BH129" s="443"/>
      <c r="BI129" s="443"/>
      <c r="BJ129" s="443"/>
      <c r="BK129" s="443"/>
      <c r="BL129" s="443"/>
      <c r="BM129" s="444"/>
      <c r="BO129" s="442"/>
      <c r="BP129" s="443"/>
      <c r="BQ129" s="443"/>
      <c r="BR129" s="443"/>
      <c r="BS129" s="443"/>
      <c r="BT129" s="443"/>
      <c r="BU129" s="443"/>
      <c r="BV129" s="443"/>
      <c r="BW129" s="443"/>
      <c r="BX129" s="443"/>
      <c r="BY129" s="443"/>
      <c r="BZ129" s="443"/>
      <c r="CA129" s="443"/>
      <c r="CB129" s="443"/>
      <c r="CC129" s="443"/>
      <c r="CD129" s="443"/>
      <c r="CE129" s="443"/>
      <c r="CF129" s="443"/>
      <c r="CG129" s="443"/>
      <c r="CH129" s="444"/>
      <c r="CJ129" s="442"/>
      <c r="CK129" s="443"/>
      <c r="CL129" s="443"/>
      <c r="CM129" s="443"/>
      <c r="CN129" s="443"/>
      <c r="CO129" s="443"/>
      <c r="CP129" s="443"/>
      <c r="CQ129" s="443"/>
      <c r="CR129" s="443"/>
      <c r="CS129" s="443"/>
      <c r="CT129" s="443"/>
      <c r="CU129" s="443"/>
      <c r="CV129" s="443"/>
      <c r="CW129" s="443"/>
      <c r="CX129" s="443"/>
      <c r="CY129" s="443"/>
      <c r="CZ129" s="443"/>
      <c r="DA129" s="444"/>
    </row>
    <row r="130" spans="1:111">
      <c r="A130" s="17" t="s">
        <v>369</v>
      </c>
      <c r="B130" s="8"/>
      <c r="C130" s="8"/>
      <c r="D130" s="8"/>
      <c r="E130" s="8"/>
      <c r="F130" s="8"/>
      <c r="G130" s="95"/>
      <c r="H130" s="95"/>
      <c r="I130" s="95"/>
      <c r="J130" s="95"/>
      <c r="K130" s="13">
        <f t="shared" ref="K130:V130" si="407">K117</f>
        <v>0</v>
      </c>
      <c r="L130" s="13">
        <f t="shared" si="407"/>
        <v>0</v>
      </c>
      <c r="M130" s="13">
        <f t="shared" si="407"/>
        <v>3.8088797412717925</v>
      </c>
      <c r="N130" s="13">
        <f t="shared" si="407"/>
        <v>10.569165</v>
      </c>
      <c r="O130" s="13">
        <f t="shared" si="407"/>
        <v>7.5885309999999997</v>
      </c>
      <c r="P130" s="13">
        <f t="shared" si="407"/>
        <v>13</v>
      </c>
      <c r="Q130" s="13">
        <f t="shared" si="407"/>
        <v>12</v>
      </c>
      <c r="R130" s="13">
        <f t="shared" si="407"/>
        <v>17</v>
      </c>
      <c r="S130" s="13">
        <f t="shared" si="407"/>
        <v>18</v>
      </c>
      <c r="T130" s="13">
        <f t="shared" si="407"/>
        <v>30</v>
      </c>
      <c r="U130" s="13">
        <f t="shared" si="407"/>
        <v>37.899999999999977</v>
      </c>
      <c r="V130" s="13">
        <f t="shared" si="407"/>
        <v>48.789999999999992</v>
      </c>
      <c r="W130" s="13">
        <f t="shared" ref="W130:Z130" si="408">W117</f>
        <v>58.11</v>
      </c>
      <c r="X130" s="13">
        <f t="shared" si="408"/>
        <v>76.94</v>
      </c>
      <c r="Y130" s="13">
        <f t="shared" si="408"/>
        <v>96.47999999999999</v>
      </c>
      <c r="Z130" s="13">
        <f t="shared" si="408"/>
        <v>120.78</v>
      </c>
      <c r="AA130" s="13">
        <f t="shared" ref="AA130" si="409">AA117</f>
        <v>110.31177613261812</v>
      </c>
      <c r="AB130" s="13">
        <f t="shared" ref="AB130" si="410">AB117</f>
        <v>139.17966462248495</v>
      </c>
      <c r="AC130" s="13">
        <f t="shared" ref="AC130" si="411">AC117</f>
        <v>154.04980008042165</v>
      </c>
      <c r="AD130" s="13">
        <f t="shared" ref="AD130:AE130" si="412">AD117</f>
        <v>171.51988137961996</v>
      </c>
      <c r="AE130" s="13">
        <f t="shared" si="412"/>
        <v>192.58774743529293</v>
      </c>
      <c r="AF130" s="13">
        <f t="shared" ref="AF130:AG130" si="413">AF117</f>
        <v>216.94323380631619</v>
      </c>
      <c r="AG130" s="13">
        <f t="shared" si="413"/>
        <v>245.6305754426628</v>
      </c>
      <c r="AH130" s="19">
        <f t="shared" ref="AH130" si="414">AH117</f>
        <v>279.59047950574762</v>
      </c>
      <c r="BA130" s="442"/>
      <c r="BB130" s="443"/>
      <c r="BC130" s="443"/>
      <c r="BD130" s="443"/>
      <c r="BE130" s="443"/>
      <c r="BF130" s="443"/>
      <c r="BG130" s="443"/>
      <c r="BH130" s="443"/>
      <c r="BI130" s="443"/>
      <c r="BJ130" s="443"/>
      <c r="BK130" s="443"/>
      <c r="BL130" s="443"/>
      <c r="BM130" s="444"/>
      <c r="BO130" s="442"/>
      <c r="BP130" s="443"/>
      <c r="BQ130" s="443"/>
      <c r="BR130" s="443"/>
      <c r="BS130" s="443"/>
      <c r="BT130" s="443"/>
      <c r="BU130" s="443"/>
      <c r="BV130" s="443"/>
      <c r="BW130" s="443"/>
      <c r="BX130" s="443"/>
      <c r="BY130" s="443"/>
      <c r="BZ130" s="443"/>
      <c r="CA130" s="443"/>
      <c r="CB130" s="443"/>
      <c r="CC130" s="443"/>
      <c r="CD130" s="443"/>
      <c r="CE130" s="443"/>
      <c r="CF130" s="443"/>
      <c r="CG130" s="443"/>
      <c r="CH130" s="444"/>
      <c r="CJ130" s="442"/>
      <c r="CK130" s="443"/>
      <c r="CL130" s="443"/>
      <c r="CM130" s="443"/>
      <c r="CN130" s="443"/>
      <c r="CO130" s="443"/>
      <c r="CP130" s="443"/>
      <c r="CQ130" s="443"/>
      <c r="CR130" s="443"/>
      <c r="CS130" s="443"/>
      <c r="CT130" s="443"/>
      <c r="CU130" s="443"/>
      <c r="CV130" s="443"/>
      <c r="CW130" s="443"/>
      <c r="CX130" s="443"/>
      <c r="CY130" s="443"/>
      <c r="CZ130" s="443"/>
      <c r="DA130" s="444"/>
    </row>
    <row r="131" spans="1:111" ht="22" customHeight="1">
      <c r="A131" s="33" t="s">
        <v>218</v>
      </c>
      <c r="B131" s="800"/>
      <c r="C131" s="800"/>
      <c r="D131" s="800"/>
      <c r="E131" s="800"/>
      <c r="F131" s="800"/>
      <c r="G131" s="800">
        <f>SUM(G126:G130)</f>
        <v>77.065205634469834</v>
      </c>
      <c r="H131" s="800">
        <f t="shared" ref="H131:S131" si="415">SUM(H126:H130)</f>
        <v>138.71087708233318</v>
      </c>
      <c r="I131" s="800">
        <f t="shared" si="415"/>
        <v>230.70176899108975</v>
      </c>
      <c r="J131" s="800">
        <f t="shared" si="415"/>
        <v>281.38891317035558</v>
      </c>
      <c r="K131" s="800">
        <f t="shared" si="415"/>
        <v>433.47753117759532</v>
      </c>
      <c r="L131" s="800">
        <f t="shared" si="415"/>
        <v>569.7792841810558</v>
      </c>
      <c r="M131" s="800">
        <f t="shared" si="415"/>
        <v>869.9444952387305</v>
      </c>
      <c r="N131" s="800">
        <f t="shared" si="415"/>
        <v>1059.026785389701</v>
      </c>
      <c r="O131" s="800">
        <f t="shared" si="415"/>
        <v>1103.2732168584084</v>
      </c>
      <c r="P131" s="800">
        <f t="shared" si="415"/>
        <v>1068.7400584929815</v>
      </c>
      <c r="Q131" s="800">
        <f t="shared" si="415"/>
        <v>1040.1057958853462</v>
      </c>
      <c r="R131" s="800">
        <f t="shared" si="415"/>
        <v>1011.5285372610253</v>
      </c>
      <c r="S131" s="800">
        <f t="shared" si="415"/>
        <v>1062.6796285496373</v>
      </c>
      <c r="T131" s="800">
        <f t="shared" ref="T131:V131" si="416">SUM(T126:T130)</f>
        <v>1238.7943980434561</v>
      </c>
      <c r="U131" s="800">
        <f t="shared" si="416"/>
        <v>1579.6337632665777</v>
      </c>
      <c r="V131" s="800">
        <f t="shared" si="416"/>
        <v>1822.1099565297127</v>
      </c>
      <c r="W131" s="800">
        <f t="shared" ref="W131:Z131" si="417">SUM(W126:W130)</f>
        <v>2037.415025370957</v>
      </c>
      <c r="X131" s="800">
        <f t="shared" si="417"/>
        <v>2844.4488745771264</v>
      </c>
      <c r="Y131" s="800">
        <f t="shared" si="417"/>
        <v>3885.9275747529882</v>
      </c>
      <c r="Z131" s="800">
        <f t="shared" si="417"/>
        <v>4044.6767502760886</v>
      </c>
      <c r="AA131" s="800">
        <f t="shared" ref="AA131" si="418">SUM(AA126:AA130)</f>
        <v>4557.3625539731102</v>
      </c>
      <c r="AB131" s="800">
        <f t="shared" ref="AB131" si="419">SUM(AB126:AB130)</f>
        <v>5184.8375378096771</v>
      </c>
      <c r="AC131" s="800">
        <f t="shared" ref="AC131" si="420">SUM(AC126:AC130)</f>
        <v>5778.8179282172405</v>
      </c>
      <c r="AD131" s="800">
        <f t="shared" ref="AD131:AE131" si="421">SUM(AD126:AD130)</f>
        <v>6430.8382557089517</v>
      </c>
      <c r="AE131" s="800">
        <f t="shared" si="421"/>
        <v>7046.5150662965134</v>
      </c>
      <c r="AF131" s="800">
        <f t="shared" ref="AF131:AG131" si="422">SUM(AF126:AF130)</f>
        <v>7697.1763388373802</v>
      </c>
      <c r="AG131" s="800">
        <f t="shared" si="422"/>
        <v>8376.3135382508226</v>
      </c>
      <c r="AH131" s="35">
        <f t="shared" ref="AH131" si="423">SUM(AH126:AH130)</f>
        <v>8986.5514009434919</v>
      </c>
      <c r="BA131" s="442"/>
      <c r="BB131" s="443"/>
      <c r="BC131" s="443"/>
      <c r="BD131" s="443"/>
      <c r="BE131" s="443"/>
      <c r="BF131" s="443"/>
      <c r="BG131" s="443"/>
      <c r="BH131" s="443"/>
      <c r="BI131" s="443"/>
      <c r="BJ131" s="443"/>
      <c r="BK131" s="443"/>
      <c r="BL131" s="443"/>
      <c r="BM131" s="444"/>
      <c r="BO131" s="442"/>
      <c r="BP131" s="443"/>
      <c r="BQ131" s="443"/>
      <c r="BR131" s="443"/>
      <c r="BS131" s="443"/>
      <c r="BT131" s="443"/>
      <c r="BU131" s="443"/>
      <c r="BV131" s="443"/>
      <c r="BW131" s="443"/>
      <c r="BX131" s="443"/>
      <c r="BY131" s="443"/>
      <c r="BZ131" s="443"/>
      <c r="CA131" s="443"/>
      <c r="CB131" s="443"/>
      <c r="CC131" s="443"/>
      <c r="CD131" s="443"/>
      <c r="CE131" s="443"/>
      <c r="CF131" s="443"/>
      <c r="CG131" s="443"/>
      <c r="CH131" s="444"/>
      <c r="CJ131" s="442"/>
      <c r="CK131" s="443"/>
      <c r="CL131" s="443"/>
      <c r="CM131" s="443"/>
      <c r="CN131" s="443"/>
      <c r="CO131" s="443"/>
      <c r="CP131" s="443"/>
      <c r="CQ131" s="443"/>
      <c r="CR131" s="443"/>
      <c r="CS131" s="443"/>
      <c r="CT131" s="443"/>
      <c r="CU131" s="443"/>
      <c r="CV131" s="443"/>
      <c r="CW131" s="443"/>
      <c r="CX131" s="443"/>
      <c r="CY131" s="443"/>
      <c r="CZ131" s="443"/>
      <c r="DA131" s="444"/>
    </row>
    <row r="132" spans="1:111">
      <c r="A132" s="36"/>
      <c r="B132" s="801"/>
      <c r="C132" s="801"/>
      <c r="D132" s="801"/>
      <c r="E132" s="801"/>
      <c r="F132" s="801"/>
      <c r="G132" s="606"/>
      <c r="H132" s="606"/>
      <c r="I132" s="606"/>
      <c r="J132" s="606"/>
      <c r="K132" s="606"/>
      <c r="L132" s="606"/>
      <c r="M132" s="606"/>
      <c r="N132" s="606"/>
      <c r="O132" s="606"/>
      <c r="P132" s="606"/>
      <c r="Q132" s="606"/>
      <c r="R132" s="606"/>
      <c r="S132" s="606"/>
      <c r="T132" s="606"/>
      <c r="U132" s="606"/>
      <c r="V132" s="606"/>
      <c r="W132" s="606"/>
      <c r="X132" s="606"/>
      <c r="Y132" s="606"/>
      <c r="Z132" s="606"/>
      <c r="AA132" s="606"/>
      <c r="AB132" s="606"/>
      <c r="AC132" s="606"/>
      <c r="AD132" s="606"/>
      <c r="AE132" s="606"/>
      <c r="AF132" s="606"/>
      <c r="AG132" s="606"/>
      <c r="AH132" s="607"/>
      <c r="BA132" s="442"/>
      <c r="BB132" s="443"/>
      <c r="BC132" s="443"/>
      <c r="BD132" s="443"/>
      <c r="BE132" s="443"/>
      <c r="BF132" s="443"/>
      <c r="BG132" s="443"/>
      <c r="BH132" s="443"/>
      <c r="BI132" s="443"/>
      <c r="BJ132" s="443"/>
      <c r="BK132" s="443"/>
      <c r="BL132" s="443"/>
      <c r="BM132" s="444"/>
      <c r="BO132" s="442"/>
      <c r="BP132" s="443"/>
      <c r="BQ132" s="443"/>
      <c r="BR132" s="443"/>
      <c r="BS132" s="443"/>
      <c r="BT132" s="443"/>
      <c r="BU132" s="443"/>
      <c r="BV132" s="443"/>
      <c r="BW132" s="443"/>
      <c r="BX132" s="443"/>
      <c r="BY132" s="443"/>
      <c r="BZ132" s="443"/>
      <c r="CA132" s="443"/>
      <c r="CB132" s="443"/>
      <c r="CC132" s="443"/>
      <c r="CD132" s="443"/>
      <c r="CE132" s="443"/>
      <c r="CF132" s="443"/>
      <c r="CG132" s="443"/>
      <c r="CH132" s="444"/>
      <c r="CJ132" s="442"/>
      <c r="CK132" s="443"/>
      <c r="CL132" s="443"/>
      <c r="CM132" s="443"/>
      <c r="CN132" s="443"/>
      <c r="CO132" s="443"/>
      <c r="CP132" s="443"/>
      <c r="CQ132" s="443"/>
      <c r="CR132" s="443"/>
      <c r="CS132" s="443"/>
      <c r="CT132" s="443"/>
      <c r="CU132" s="443"/>
      <c r="CV132" s="443"/>
      <c r="CW132" s="443"/>
      <c r="CX132" s="443"/>
      <c r="CY132" s="443"/>
      <c r="CZ132" s="443"/>
      <c r="DA132" s="444"/>
    </row>
    <row r="133" spans="1:111">
      <c r="A133" s="36" t="s">
        <v>424</v>
      </c>
      <c r="B133" s="801"/>
      <c r="C133" s="801"/>
      <c r="D133" s="801"/>
      <c r="E133" s="801"/>
      <c r="F133" s="801"/>
      <c r="G133" s="606"/>
      <c r="H133" s="606"/>
      <c r="I133" s="606"/>
      <c r="J133" s="606"/>
      <c r="K133" s="606"/>
      <c r="L133" s="606">
        <v>3.4624952605750674</v>
      </c>
      <c r="M133" s="606">
        <v>7.4518919738463394</v>
      </c>
      <c r="N133" s="606">
        <v>17.086661394576961</v>
      </c>
      <c r="O133" s="606">
        <v>32.077520939484693</v>
      </c>
      <c r="P133" s="606">
        <v>39.835195736978648</v>
      </c>
      <c r="Q133" s="606">
        <v>58.336627511524135</v>
      </c>
      <c r="R133" s="606">
        <v>88.137066590640842</v>
      </c>
      <c r="S133" s="606">
        <v>114.21627500105205</v>
      </c>
      <c r="T133" s="606">
        <v>155.80370514474149</v>
      </c>
      <c r="U133" s="606">
        <v>247.06682112576183</v>
      </c>
      <c r="V133" s="606">
        <v>305.04688363183783</v>
      </c>
      <c r="W133" s="606">
        <v>365.51480105908161</v>
      </c>
      <c r="X133" s="606">
        <v>527.63096157362543</v>
      </c>
      <c r="Y133" s="606">
        <v>797.90057730371745</v>
      </c>
      <c r="Z133" s="606">
        <v>791.60342814928754</v>
      </c>
      <c r="AA133" s="606">
        <v>914.16287314938381</v>
      </c>
      <c r="AB133" s="606">
        <v>1059.5083876098076</v>
      </c>
      <c r="AC133" s="606">
        <v>1239.5312576766048</v>
      </c>
      <c r="AD133" s="606">
        <v>1462.0123706624192</v>
      </c>
      <c r="AE133" s="606">
        <v>1675.4435445296788</v>
      </c>
      <c r="AF133" s="606">
        <v>1914.3427385589723</v>
      </c>
      <c r="AG133" s="606">
        <v>2179.3416492862143</v>
      </c>
      <c r="AH133" s="607">
        <v>2319.6488424513782</v>
      </c>
      <c r="BA133" s="442"/>
      <c r="BB133" s="443"/>
      <c r="BC133" s="443"/>
      <c r="BD133" s="443"/>
      <c r="BE133" s="443"/>
      <c r="BF133" s="443"/>
      <c r="BG133" s="443"/>
      <c r="BH133" s="443"/>
      <c r="BI133" s="443"/>
      <c r="BJ133" s="443"/>
      <c r="BK133" s="443"/>
      <c r="BL133" s="443"/>
      <c r="BM133" s="444"/>
      <c r="BO133" s="442"/>
      <c r="BP133" s="443"/>
      <c r="BQ133" s="443"/>
      <c r="BR133" s="443"/>
      <c r="BS133" s="443"/>
      <c r="BT133" s="443"/>
      <c r="BU133" s="443"/>
      <c r="BV133" s="443"/>
      <c r="BW133" s="443"/>
      <c r="BX133" s="443"/>
      <c r="BY133" s="443"/>
      <c r="BZ133" s="443"/>
      <c r="CA133" s="443"/>
      <c r="CB133" s="443"/>
      <c r="CC133" s="443"/>
      <c r="CD133" s="443"/>
      <c r="CE133" s="443"/>
      <c r="CF133" s="443"/>
      <c r="CG133" s="443"/>
      <c r="CH133" s="444"/>
      <c r="CJ133" s="442">
        <f t="shared" ref="CJ133:DC133" si="424">BK50/BK21</f>
        <v>9.9028222888486186E-2</v>
      </c>
      <c r="CK133" s="443">
        <f t="shared" si="424"/>
        <v>0.14485512832433076</v>
      </c>
      <c r="CL133" s="443">
        <f t="shared" si="424"/>
        <v>0.1872120413483068</v>
      </c>
      <c r="CM133" s="443">
        <f t="shared" si="424"/>
        <v>0.22033022774327121</v>
      </c>
      <c r="CN133" s="443">
        <f t="shared" si="424"/>
        <v>0.22873461993428257</v>
      </c>
      <c r="CO133" s="443">
        <f t="shared" si="424"/>
        <v>0.24</v>
      </c>
      <c r="CP133" s="443">
        <f t="shared" si="424"/>
        <v>0.24552429667519182</v>
      </c>
      <c r="CQ133" s="443">
        <f t="shared" si="424"/>
        <v>0.26289926289926291</v>
      </c>
      <c r="CR133" s="443">
        <f t="shared" si="424"/>
        <v>0.34012738853503183</v>
      </c>
      <c r="CS133" s="443">
        <f t="shared" si="424"/>
        <v>0.37380191693290737</v>
      </c>
      <c r="CT133" s="443">
        <f t="shared" si="424"/>
        <v>0.41263940520446096</v>
      </c>
      <c r="CU133" s="443">
        <f t="shared" si="424"/>
        <v>0.43036985352585627</v>
      </c>
      <c r="CV133" s="443">
        <f t="shared" si="424"/>
        <v>0.45431789737171463</v>
      </c>
      <c r="CW133" s="443">
        <f t="shared" si="424"/>
        <v>0.63148080989873423</v>
      </c>
      <c r="CX133" s="443">
        <f t="shared" si="424"/>
        <v>0.78859886647895039</v>
      </c>
      <c r="CY133" s="443">
        <f t="shared" si="424"/>
        <v>0.61014996397291188</v>
      </c>
      <c r="CZ133" s="443">
        <f t="shared" si="424"/>
        <v>0.61353239624053901</v>
      </c>
      <c r="DA133" s="444">
        <f t="shared" si="424"/>
        <v>0.62970023412336207</v>
      </c>
      <c r="DB133" s="712">
        <f t="shared" si="424"/>
        <v>0.6305448070035955</v>
      </c>
      <c r="DC133" s="712">
        <f t="shared" si="424"/>
        <v>0.66782014047401728</v>
      </c>
      <c r="DD133" s="712">
        <f t="shared" ref="DD133" si="425">CE50/CE21</f>
        <v>0.68688009364934499</v>
      </c>
      <c r="DE133" s="712">
        <f t="shared" ref="DE133" si="426">CF50/CF21</f>
        <v>0.70594004682467237</v>
      </c>
      <c r="DF133" s="712">
        <f t="shared" ref="DF133:DG133" si="427">CG50/CG21</f>
        <v>0.72499999999999998</v>
      </c>
      <c r="DG133" s="712">
        <f t="shared" si="427"/>
        <v>0.72499999999999998</v>
      </c>
    </row>
    <row r="134" spans="1:111">
      <c r="A134" s="36" t="s">
        <v>425</v>
      </c>
      <c r="B134" s="801"/>
      <c r="C134" s="801"/>
      <c r="D134" s="801"/>
      <c r="E134" s="801"/>
      <c r="F134" s="801"/>
      <c r="G134" s="606"/>
      <c r="H134" s="606"/>
      <c r="I134" s="606"/>
      <c r="J134" s="606"/>
      <c r="K134" s="606"/>
      <c r="L134" s="606">
        <v>4.01</v>
      </c>
      <c r="M134" s="606">
        <v>8.3999993209874635</v>
      </c>
      <c r="N134" s="606">
        <v>19</v>
      </c>
      <c r="O134" s="606">
        <v>53.908899743463159</v>
      </c>
      <c r="P134" s="606">
        <v>77.810658302809259</v>
      </c>
      <c r="Q134" s="606">
        <v>93.341156946132813</v>
      </c>
      <c r="R134" s="606">
        <v>139.8039022695167</v>
      </c>
      <c r="S134" s="606">
        <v>158.79318997085588</v>
      </c>
      <c r="T134" s="606">
        <v>197.72809119434257</v>
      </c>
      <c r="U134" s="606">
        <v>255.9831987326796</v>
      </c>
      <c r="V134" s="606">
        <v>316.1991023163821</v>
      </c>
      <c r="W134" s="606">
        <v>375.82977282250317</v>
      </c>
      <c r="X134" s="606">
        <v>571.50210616838865</v>
      </c>
      <c r="Y134" s="606">
        <v>804.95731052036774</v>
      </c>
      <c r="Z134" s="606">
        <v>944.3504095379509</v>
      </c>
      <c r="AA134" s="606">
        <v>1152.7003511310786</v>
      </c>
      <c r="AB134" s="606">
        <v>1399.4257581897477</v>
      </c>
      <c r="AC134" s="606">
        <v>1635.50015715527</v>
      </c>
      <c r="AD134" s="606">
        <v>1889.6247385938964</v>
      </c>
      <c r="AE134" s="606">
        <v>2158.0626999681599</v>
      </c>
      <c r="AF134" s="606">
        <v>2448.577995786824</v>
      </c>
      <c r="AG134" s="606">
        <v>2758.4305127015696</v>
      </c>
      <c r="AH134" s="607">
        <v>2965.599069280473</v>
      </c>
      <c r="BA134" s="442"/>
      <c r="BB134" s="443"/>
      <c r="BC134" s="443"/>
      <c r="BD134" s="443"/>
      <c r="BE134" s="443"/>
      <c r="BF134" s="443"/>
      <c r="BG134" s="443"/>
      <c r="BH134" s="443"/>
      <c r="BI134" s="443"/>
      <c r="BJ134" s="443"/>
      <c r="BK134" s="443"/>
      <c r="BL134" s="443"/>
      <c r="BM134" s="444"/>
      <c r="BO134" s="442"/>
      <c r="BP134" s="443"/>
      <c r="BQ134" s="443"/>
      <c r="BR134" s="443"/>
      <c r="BS134" s="443"/>
      <c r="BT134" s="443"/>
      <c r="BU134" s="443"/>
      <c r="BV134" s="443"/>
      <c r="BW134" s="443"/>
      <c r="BX134" s="443"/>
      <c r="BY134" s="443"/>
      <c r="BZ134" s="443"/>
      <c r="CA134" s="443"/>
      <c r="CB134" s="443"/>
      <c r="CC134" s="443"/>
      <c r="CD134" s="443"/>
      <c r="CE134" s="443"/>
      <c r="CF134" s="443"/>
      <c r="CG134" s="443"/>
      <c r="CH134" s="444"/>
      <c r="CJ134" s="442"/>
      <c r="CK134" s="443"/>
      <c r="CL134" s="443"/>
      <c r="CM134" s="443"/>
      <c r="CN134" s="443"/>
      <c r="CO134" s="443"/>
      <c r="CP134" s="443"/>
      <c r="CQ134" s="443"/>
      <c r="CR134" s="443"/>
      <c r="CS134" s="443"/>
      <c r="CT134" s="443"/>
      <c r="CU134" s="443"/>
      <c r="CV134" s="443"/>
      <c r="CW134" s="443"/>
      <c r="CX134" s="443"/>
      <c r="CY134" s="443"/>
      <c r="CZ134" s="443"/>
      <c r="DA134" s="444"/>
    </row>
    <row r="135" spans="1:111">
      <c r="A135" s="36" t="s">
        <v>426</v>
      </c>
      <c r="B135" s="801"/>
      <c r="C135" s="801"/>
      <c r="D135" s="801"/>
      <c r="E135" s="801"/>
      <c r="F135" s="801"/>
      <c r="G135" s="606"/>
      <c r="H135" s="606"/>
      <c r="I135" s="606"/>
      <c r="J135" s="606"/>
      <c r="K135" s="606"/>
      <c r="L135" s="606">
        <v>0</v>
      </c>
      <c r="M135" s="606">
        <v>5.043304088621068E-2</v>
      </c>
      <c r="N135" s="606">
        <v>0.24106162731761777</v>
      </c>
      <c r="O135" s="606">
        <v>0.40580297403498061</v>
      </c>
      <c r="P135" s="606">
        <v>1.0604113750099804</v>
      </c>
      <c r="Q135" s="606">
        <v>1.3469707023972439</v>
      </c>
      <c r="R135" s="606">
        <v>2.6024975537755579</v>
      </c>
      <c r="S135" s="606">
        <v>3.1311374395273552</v>
      </c>
      <c r="T135" s="606">
        <v>5.8444820564676512</v>
      </c>
      <c r="U135" s="606">
        <v>8.174274165003439</v>
      </c>
      <c r="V135" s="606">
        <v>11.475735821494498</v>
      </c>
      <c r="W135" s="606">
        <v>14.802556766234611</v>
      </c>
      <c r="X135" s="606">
        <v>21.101567696346272</v>
      </c>
      <c r="Y135" s="606">
        <v>28.344541274222205</v>
      </c>
      <c r="Z135" s="606">
        <v>37.841988424678576</v>
      </c>
      <c r="AA135" s="606">
        <v>36.716174718711173</v>
      </c>
      <c r="AB135" s="606">
        <v>49.042277803523497</v>
      </c>
      <c r="AC135" s="606">
        <v>57.29009658456043</v>
      </c>
      <c r="AD135" s="606">
        <v>67.136314419090652</v>
      </c>
      <c r="AE135" s="606">
        <v>79.143294682942553</v>
      </c>
      <c r="AF135" s="606">
        <v>93.388278033441608</v>
      </c>
      <c r="AG135" s="606">
        <v>110.53375894919826</v>
      </c>
      <c r="AH135" s="607">
        <v>125.81571577758643</v>
      </c>
      <c r="BA135" s="442"/>
      <c r="BB135" s="443"/>
      <c r="BC135" s="443"/>
      <c r="BD135" s="443"/>
      <c r="BE135" s="443"/>
      <c r="BF135" s="443"/>
      <c r="BG135" s="443"/>
      <c r="BH135" s="443"/>
      <c r="BI135" s="443"/>
      <c r="BJ135" s="443"/>
      <c r="BK135" s="443"/>
      <c r="BL135" s="443"/>
      <c r="BM135" s="444"/>
      <c r="BO135" s="442"/>
      <c r="BP135" s="443"/>
      <c r="BQ135" s="443"/>
      <c r="BR135" s="443"/>
      <c r="BS135" s="443"/>
      <c r="BT135" s="443"/>
      <c r="BU135" s="443"/>
      <c r="BV135" s="443"/>
      <c r="BW135" s="443"/>
      <c r="BX135" s="443"/>
      <c r="BY135" s="443"/>
      <c r="BZ135" s="443"/>
      <c r="CA135" s="443"/>
      <c r="CB135" s="443"/>
      <c r="CC135" s="443"/>
      <c r="CD135" s="443"/>
      <c r="CE135" s="443"/>
      <c r="CF135" s="443"/>
      <c r="CG135" s="443"/>
      <c r="CH135" s="444"/>
      <c r="CJ135" s="442"/>
      <c r="CK135" s="443"/>
      <c r="CL135" s="443"/>
      <c r="CM135" s="443"/>
      <c r="CN135" s="443"/>
      <c r="CO135" s="443"/>
      <c r="CP135" s="443"/>
      <c r="CQ135" s="443"/>
      <c r="CR135" s="443"/>
      <c r="CS135" s="443"/>
      <c r="CT135" s="443"/>
      <c r="CU135" s="443"/>
      <c r="CV135" s="443"/>
      <c r="CW135" s="443"/>
      <c r="CX135" s="443"/>
      <c r="CY135" s="443"/>
      <c r="CZ135" s="443"/>
      <c r="DA135" s="444"/>
    </row>
    <row r="136" spans="1:111">
      <c r="A136" s="33" t="s">
        <v>427</v>
      </c>
      <c r="B136" s="800"/>
      <c r="C136" s="800"/>
      <c r="D136" s="800"/>
      <c r="E136" s="800"/>
      <c r="F136" s="800"/>
      <c r="G136" s="800"/>
      <c r="H136" s="800"/>
      <c r="I136" s="800"/>
      <c r="J136" s="800"/>
      <c r="K136" s="800"/>
      <c r="L136" s="800">
        <f>SUM(L133:L135)</f>
        <v>7.4724952605750676</v>
      </c>
      <c r="M136" s="800">
        <f t="shared" ref="M136:V136" si="428">SUM(M133:M135)</f>
        <v>15.902324335720012</v>
      </c>
      <c r="N136" s="800">
        <f t="shared" si="428"/>
        <v>36.327723021894585</v>
      </c>
      <c r="O136" s="800">
        <f t="shared" si="428"/>
        <v>86.392223656982836</v>
      </c>
      <c r="P136" s="800">
        <f t="shared" si="428"/>
        <v>118.70626541479788</v>
      </c>
      <c r="Q136" s="800">
        <f t="shared" si="428"/>
        <v>153.02475516005418</v>
      </c>
      <c r="R136" s="800">
        <f t="shared" si="428"/>
        <v>230.54346641393309</v>
      </c>
      <c r="S136" s="800">
        <f t="shared" si="428"/>
        <v>276.14060241143534</v>
      </c>
      <c r="T136" s="800">
        <f t="shared" si="428"/>
        <v>359.37627839555171</v>
      </c>
      <c r="U136" s="800">
        <f t="shared" si="428"/>
        <v>511.22429402344488</v>
      </c>
      <c r="V136" s="800">
        <f t="shared" si="428"/>
        <v>632.72172176971435</v>
      </c>
      <c r="W136" s="800">
        <f t="shared" ref="W136:X136" si="429">SUM(W133:W135)</f>
        <v>756.14713064781938</v>
      </c>
      <c r="X136" s="800">
        <f t="shared" si="429"/>
        <v>1120.2346354383606</v>
      </c>
      <c r="Y136" s="800">
        <f t="shared" ref="Y136:AA136" si="430">SUM(Y133:Y135)</f>
        <v>1631.2024290983072</v>
      </c>
      <c r="Z136" s="800">
        <f t="shared" si="430"/>
        <v>1773.795826111917</v>
      </c>
      <c r="AA136" s="800">
        <f t="shared" si="430"/>
        <v>2103.5793989991735</v>
      </c>
      <c r="AB136" s="800">
        <f t="shared" ref="AB136" si="431">SUM(AB133:AB135)</f>
        <v>2507.9764236030787</v>
      </c>
      <c r="AC136" s="800">
        <f t="shared" ref="AC136" si="432">SUM(AC133:AC135)</f>
        <v>2932.3215114164354</v>
      </c>
      <c r="AD136" s="800">
        <f t="shared" ref="AD136:AE136" si="433">SUM(AD133:AD135)</f>
        <v>3418.7734236754063</v>
      </c>
      <c r="AE136" s="800">
        <f t="shared" si="433"/>
        <v>3912.6495391807812</v>
      </c>
      <c r="AF136" s="800">
        <f t="shared" ref="AF136:AG136" si="434">SUM(AF133:AF135)</f>
        <v>4456.3090123792381</v>
      </c>
      <c r="AG136" s="800">
        <f t="shared" si="434"/>
        <v>5048.3059209369821</v>
      </c>
      <c r="AH136" s="35">
        <f t="shared" ref="AH136" si="435">SUM(AH133:AH135)</f>
        <v>5411.0636275094375</v>
      </c>
      <c r="BA136" s="442"/>
      <c r="BB136" s="443"/>
      <c r="BC136" s="443"/>
      <c r="BD136" s="443"/>
      <c r="BE136" s="443"/>
      <c r="BF136" s="443"/>
      <c r="BG136" s="443"/>
      <c r="BH136" s="443"/>
      <c r="BI136" s="443"/>
      <c r="BJ136" s="443"/>
      <c r="BK136" s="443"/>
      <c r="BL136" s="443"/>
      <c r="BM136" s="444"/>
      <c r="BO136" s="442"/>
      <c r="BP136" s="443"/>
      <c r="BQ136" s="443"/>
      <c r="BR136" s="443"/>
      <c r="BS136" s="443"/>
      <c r="BT136" s="443"/>
      <c r="BU136" s="443"/>
      <c r="BV136" s="443"/>
      <c r="BW136" s="443"/>
      <c r="BX136" s="443"/>
      <c r="BY136" s="443"/>
      <c r="BZ136" s="443"/>
      <c r="CA136" s="443"/>
      <c r="CB136" s="443"/>
      <c r="CC136" s="443"/>
      <c r="CD136" s="443"/>
      <c r="CE136" s="443"/>
      <c r="CF136" s="443"/>
      <c r="CG136" s="443"/>
      <c r="CH136" s="444"/>
      <c r="CJ136" s="442"/>
      <c r="CK136" s="443"/>
      <c r="CL136" s="443"/>
      <c r="CM136" s="443"/>
      <c r="CN136" s="443"/>
      <c r="CO136" s="443"/>
      <c r="CP136" s="443"/>
      <c r="CQ136" s="443"/>
      <c r="CR136" s="443"/>
      <c r="CS136" s="443"/>
      <c r="CT136" s="443"/>
      <c r="CU136" s="443"/>
      <c r="CV136" s="443"/>
      <c r="CW136" s="443"/>
      <c r="CX136" s="443"/>
      <c r="CY136" s="443"/>
      <c r="CZ136" s="443"/>
      <c r="DA136" s="444"/>
    </row>
    <row r="137" spans="1:111">
      <c r="A137" s="608" t="s">
        <v>428</v>
      </c>
      <c r="B137" s="802"/>
      <c r="C137" s="802"/>
      <c r="D137" s="802"/>
      <c r="E137" s="802"/>
      <c r="F137" s="802"/>
      <c r="G137" s="609"/>
      <c r="H137" s="609"/>
      <c r="I137" s="609"/>
      <c r="J137" s="609"/>
      <c r="K137" s="609"/>
      <c r="L137" s="609">
        <f>L136/L131</f>
        <v>1.311471909919521E-2</v>
      </c>
      <c r="M137" s="609">
        <f t="shared" ref="M137:V137" si="436">M136/M131</f>
        <v>1.82796999380473E-2</v>
      </c>
      <c r="N137" s="609">
        <f t="shared" si="436"/>
        <v>3.4302931260163261E-2</v>
      </c>
      <c r="O137" s="609">
        <f t="shared" si="436"/>
        <v>7.8305375619455664E-2</v>
      </c>
      <c r="P137" s="609">
        <f t="shared" si="436"/>
        <v>0.11107122304574629</v>
      </c>
      <c r="Q137" s="609">
        <f t="shared" si="436"/>
        <v>0.14712422117578752</v>
      </c>
      <c r="R137" s="609">
        <f t="shared" si="436"/>
        <v>0.2279159291325473</v>
      </c>
      <c r="S137" s="609">
        <f t="shared" si="436"/>
        <v>0.2598531062351469</v>
      </c>
      <c r="T137" s="609">
        <f t="shared" si="436"/>
        <v>0.29010163346165296</v>
      </c>
      <c r="U137" s="609">
        <f t="shared" si="436"/>
        <v>0.32363469679596302</v>
      </c>
      <c r="V137" s="609">
        <f t="shared" si="436"/>
        <v>0.3472467287181506</v>
      </c>
      <c r="W137" s="609">
        <f t="shared" ref="W137:Z137" si="437">W136/W131</f>
        <v>0.37113063427523602</v>
      </c>
      <c r="X137" s="609">
        <f t="shared" si="437"/>
        <v>0.39383187564054978</v>
      </c>
      <c r="Y137" s="609">
        <f t="shared" si="437"/>
        <v>0.41977170127829666</v>
      </c>
      <c r="Z137" s="609">
        <f t="shared" si="437"/>
        <v>0.43855070148457181</v>
      </c>
      <c r="AA137" s="609">
        <f t="shared" ref="AA137" si="438">AA136/AA131</f>
        <v>0.46157824269769193</v>
      </c>
      <c r="AB137" s="609">
        <f t="shared" ref="AB137" si="439">AB136/AB131</f>
        <v>0.4837135986063254</v>
      </c>
      <c r="AC137" s="609">
        <f t="shared" ref="AC137" si="440">AC136/AC131</f>
        <v>0.5074258348058136</v>
      </c>
      <c r="AD137" s="609">
        <f t="shared" ref="AD137:AE137" si="441">AD136/AD131</f>
        <v>0.53162174008037033</v>
      </c>
      <c r="AE137" s="609">
        <f t="shared" si="441"/>
        <v>0.55526022471661018</v>
      </c>
      <c r="AF137" s="609">
        <f t="shared" ref="AF137:AG137" si="442">AF136/AF131</f>
        <v>0.57895373786542892</v>
      </c>
      <c r="AG137" s="609">
        <f t="shared" si="442"/>
        <v>0.60268827066747921</v>
      </c>
      <c r="AH137" s="610">
        <f t="shared" ref="AH137" si="443">AH136/AH131</f>
        <v>0.60212904662642153</v>
      </c>
      <c r="BA137" s="442"/>
      <c r="BB137" s="443"/>
      <c r="BC137" s="443"/>
      <c r="BD137" s="443"/>
      <c r="BE137" s="443"/>
      <c r="BF137" s="443"/>
      <c r="BG137" s="443"/>
      <c r="BH137" s="443"/>
      <c r="BI137" s="443"/>
      <c r="BJ137" s="443"/>
      <c r="BK137" s="443"/>
      <c r="BL137" s="443"/>
      <c r="BM137" s="444"/>
      <c r="BO137" s="442"/>
      <c r="BP137" s="443"/>
      <c r="BQ137" s="443"/>
      <c r="BR137" s="443"/>
      <c r="BS137" s="443"/>
      <c r="BT137" s="443"/>
      <c r="BU137" s="443"/>
      <c r="BV137" s="443"/>
      <c r="BW137" s="443"/>
      <c r="BX137" s="443"/>
      <c r="BY137" s="443"/>
      <c r="BZ137" s="443"/>
      <c r="CA137" s="443"/>
      <c r="CB137" s="443"/>
      <c r="CC137" s="443"/>
      <c r="CD137" s="443"/>
      <c r="CE137" s="443"/>
      <c r="CF137" s="443"/>
      <c r="CG137" s="443"/>
      <c r="CH137" s="444"/>
      <c r="CJ137" s="442"/>
      <c r="CK137" s="443"/>
      <c r="CL137" s="443"/>
      <c r="CM137" s="443"/>
      <c r="CN137" s="443"/>
      <c r="CO137" s="443"/>
      <c r="CP137" s="443"/>
      <c r="CQ137" s="443"/>
      <c r="CR137" s="443"/>
      <c r="CS137" s="443"/>
      <c r="CT137" s="443"/>
      <c r="CU137" s="443"/>
      <c r="CV137" s="443"/>
      <c r="CW137" s="443"/>
      <c r="CX137" s="443"/>
      <c r="CY137" s="443"/>
      <c r="CZ137" s="443"/>
      <c r="DA137" s="444"/>
    </row>
    <row r="138" spans="1:111" ht="16" thickBot="1">
      <c r="A138" s="36"/>
      <c r="B138" s="801"/>
      <c r="C138" s="801"/>
      <c r="D138" s="801"/>
      <c r="E138" s="801"/>
      <c r="F138" s="801"/>
      <c r="G138" s="801"/>
      <c r="H138" s="801"/>
      <c r="I138" s="801"/>
      <c r="J138" s="801"/>
      <c r="K138" s="801"/>
      <c r="L138" s="801"/>
      <c r="M138" s="801"/>
      <c r="N138" s="801"/>
      <c r="O138" s="801"/>
      <c r="P138" s="801"/>
      <c r="Q138" s="801"/>
      <c r="R138" s="801"/>
      <c r="S138" s="801"/>
      <c r="T138" s="801"/>
      <c r="U138" s="801"/>
      <c r="V138" s="801"/>
      <c r="W138" s="801"/>
      <c r="X138" s="801"/>
      <c r="Y138" s="801"/>
      <c r="Z138" s="801"/>
      <c r="AA138" s="801"/>
      <c r="AB138" s="801"/>
      <c r="AC138" s="801"/>
      <c r="AD138" s="801"/>
      <c r="AE138" s="801"/>
      <c r="AF138" s="801"/>
      <c r="AG138" s="801"/>
      <c r="AH138" s="611"/>
      <c r="BA138" s="442"/>
      <c r="BB138" s="443"/>
      <c r="BC138" s="443"/>
      <c r="BD138" s="443"/>
      <c r="BE138" s="443"/>
      <c r="BF138" s="443"/>
      <c r="BG138" s="443"/>
      <c r="BH138" s="443"/>
      <c r="BI138" s="443"/>
      <c r="BJ138" s="443"/>
      <c r="BK138" s="443"/>
      <c r="BL138" s="443"/>
      <c r="BM138" s="444"/>
      <c r="BO138" s="442"/>
      <c r="BP138" s="443"/>
      <c r="BQ138" s="443"/>
      <c r="BR138" s="443"/>
      <c r="BS138" s="443"/>
      <c r="BT138" s="443"/>
      <c r="BU138" s="443"/>
      <c r="BV138" s="443"/>
      <c r="BW138" s="443"/>
      <c r="BX138" s="443"/>
      <c r="BY138" s="443"/>
      <c r="BZ138" s="443"/>
      <c r="CA138" s="443"/>
      <c r="CB138" s="443"/>
      <c r="CC138" s="443"/>
      <c r="CD138" s="443"/>
      <c r="CE138" s="443"/>
      <c r="CF138" s="443"/>
      <c r="CG138" s="443"/>
      <c r="CH138" s="444"/>
      <c r="CJ138" s="442"/>
      <c r="CK138" s="443"/>
      <c r="CL138" s="443"/>
      <c r="CM138" s="443"/>
      <c r="CN138" s="443"/>
      <c r="CO138" s="443"/>
      <c r="CP138" s="443"/>
      <c r="CQ138" s="443"/>
      <c r="CR138" s="443"/>
      <c r="CS138" s="443"/>
      <c r="CT138" s="443"/>
      <c r="CU138" s="443"/>
      <c r="CV138" s="443"/>
      <c r="CW138" s="443"/>
      <c r="CX138" s="443"/>
      <c r="CY138" s="443"/>
      <c r="CZ138" s="443"/>
      <c r="DA138" s="444"/>
    </row>
    <row r="139" spans="1:111" ht="18" customHeight="1" thickBot="1">
      <c r="A139" s="621" t="s">
        <v>382</v>
      </c>
      <c r="B139" s="622"/>
      <c r="C139" s="622"/>
      <c r="D139" s="622"/>
      <c r="E139" s="622"/>
      <c r="F139" s="622"/>
      <c r="G139" s="622">
        <f t="shared" ref="G139:V139" si="444">G124+BG42</f>
        <v>7392.0164385508833</v>
      </c>
      <c r="H139" s="622">
        <f t="shared" si="444"/>
        <v>10787.311307872034</v>
      </c>
      <c r="I139" s="622">
        <f t="shared" si="444"/>
        <v>10734.067976494858</v>
      </c>
      <c r="J139" s="622">
        <f t="shared" si="444"/>
        <v>12548.416017147903</v>
      </c>
      <c r="K139" s="622">
        <f t="shared" si="444"/>
        <v>14291.096787354556</v>
      </c>
      <c r="L139" s="622">
        <f t="shared" si="444"/>
        <v>15727.493893977513</v>
      </c>
      <c r="M139" s="622">
        <f t="shared" si="444"/>
        <v>16918.861163418984</v>
      </c>
      <c r="N139" s="622">
        <f t="shared" si="444"/>
        <v>17964.00481765057</v>
      </c>
      <c r="O139" s="622">
        <f t="shared" si="444"/>
        <v>19264.954857558409</v>
      </c>
      <c r="P139" s="622">
        <f t="shared" si="444"/>
        <v>18971.965909835781</v>
      </c>
      <c r="Q139" s="622">
        <f t="shared" si="444"/>
        <v>17810.905795885345</v>
      </c>
      <c r="R139" s="622">
        <f t="shared" si="444"/>
        <v>17477.156600507034</v>
      </c>
      <c r="S139" s="622">
        <f t="shared" si="444"/>
        <v>17642.679628549638</v>
      </c>
      <c r="T139" s="622">
        <f t="shared" si="444"/>
        <v>19613.098148679492</v>
      </c>
      <c r="U139" s="622">
        <f t="shared" si="444"/>
        <v>19480.022038130217</v>
      </c>
      <c r="V139" s="622">
        <f t="shared" si="444"/>
        <v>19428.439380499713</v>
      </c>
      <c r="W139" s="622">
        <f t="shared" ref="W139" si="445">W124+BW42</f>
        <v>19865.354896129924</v>
      </c>
      <c r="X139" s="622">
        <f t="shared" ref="X139" si="446">X124+BX42</f>
        <v>13288.298167236913</v>
      </c>
      <c r="Y139" s="622">
        <f t="shared" ref="Y139" si="447">Y124+BY42</f>
        <v>15726.897122403363</v>
      </c>
      <c r="Z139" s="622">
        <f t="shared" ref="Z139" si="448">Z124+BZ42</f>
        <v>20626.455981971088</v>
      </c>
      <c r="AA139" s="622">
        <f t="shared" ref="AA139:AH139" si="449">AA124+CA42</f>
        <v>20960.409656887692</v>
      </c>
      <c r="AB139" s="622">
        <f t="shared" si="449"/>
        <v>21790.812971580021</v>
      </c>
      <c r="AC139" s="622">
        <f t="shared" si="449"/>
        <v>22251.42626349437</v>
      </c>
      <c r="AD139" s="622">
        <f t="shared" si="449"/>
        <v>22776.958299808546</v>
      </c>
      <c r="AE139" s="622">
        <f t="shared" si="449"/>
        <v>23411.75818836207</v>
      </c>
      <c r="AF139" s="622">
        <f t="shared" si="449"/>
        <v>24160.571748371931</v>
      </c>
      <c r="AG139" s="622">
        <f t="shared" si="449"/>
        <v>25000.66360941924</v>
      </c>
      <c r="AH139" s="623">
        <f t="shared" si="449"/>
        <v>25926.063489449578</v>
      </c>
      <c r="BA139" s="442"/>
      <c r="BB139" s="443"/>
      <c r="BC139" s="443"/>
      <c r="BD139" s="443"/>
      <c r="BE139" s="443"/>
      <c r="BF139" s="443"/>
      <c r="BG139" s="443"/>
      <c r="BH139" s="443"/>
      <c r="BI139" s="443"/>
      <c r="BJ139" s="443"/>
      <c r="BK139" s="443"/>
      <c r="BL139" s="443"/>
      <c r="BM139" s="444"/>
      <c r="BO139" s="442"/>
      <c r="BP139" s="443"/>
      <c r="BQ139" s="443"/>
      <c r="BR139" s="443"/>
      <c r="BS139" s="443"/>
      <c r="BT139" s="443"/>
      <c r="BU139" s="443"/>
      <c r="BV139" s="443"/>
      <c r="BW139" s="443"/>
      <c r="BX139" s="443"/>
      <c r="BY139" s="443"/>
      <c r="BZ139" s="443"/>
      <c r="CA139" s="443"/>
      <c r="CB139" s="443"/>
      <c r="CC139" s="443"/>
      <c r="CD139" s="443"/>
      <c r="CE139" s="443"/>
      <c r="CF139" s="443"/>
      <c r="CG139" s="443"/>
      <c r="CH139" s="444"/>
      <c r="CJ139" s="442"/>
      <c r="CK139" s="443"/>
      <c r="CL139" s="443"/>
      <c r="CM139" s="443"/>
      <c r="CN139" s="443"/>
      <c r="CO139" s="443"/>
      <c r="CP139" s="443"/>
      <c r="CQ139" s="443"/>
      <c r="CR139" s="443"/>
      <c r="CS139" s="443"/>
      <c r="CT139" s="443"/>
      <c r="CU139" s="443"/>
      <c r="CV139" s="443"/>
      <c r="CW139" s="443"/>
      <c r="CX139" s="443"/>
      <c r="CY139" s="443"/>
      <c r="CZ139" s="443"/>
      <c r="DA139" s="444"/>
    </row>
    <row r="140" spans="1:111" ht="22" customHeight="1">
      <c r="A140" s="17"/>
      <c r="B140" s="8"/>
      <c r="C140" s="8"/>
      <c r="D140" s="8"/>
      <c r="E140" s="8"/>
      <c r="F140" s="8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620"/>
      <c r="BA140" s="442"/>
      <c r="BB140" s="443"/>
      <c r="BC140" s="443"/>
      <c r="BD140" s="443"/>
      <c r="BE140" s="443"/>
      <c r="BF140" s="443"/>
      <c r="BG140" s="443"/>
      <c r="BH140" s="443"/>
      <c r="BI140" s="443"/>
      <c r="BJ140" s="443"/>
      <c r="BK140" s="443"/>
      <c r="BL140" s="443"/>
      <c r="BM140" s="444"/>
      <c r="BO140" s="442"/>
      <c r="BP140" s="443"/>
      <c r="BQ140" s="443"/>
      <c r="BR140" s="443"/>
      <c r="BS140" s="443"/>
      <c r="BT140" s="443"/>
      <c r="BU140" s="443"/>
      <c r="BV140" s="443"/>
      <c r="BW140" s="443"/>
      <c r="BX140" s="443"/>
      <c r="BY140" s="443"/>
      <c r="BZ140" s="443"/>
      <c r="CA140" s="443"/>
      <c r="CB140" s="443"/>
      <c r="CC140" s="443"/>
      <c r="CD140" s="443"/>
      <c r="CE140" s="443"/>
      <c r="CF140" s="443"/>
      <c r="CG140" s="443"/>
      <c r="CH140" s="444"/>
      <c r="CJ140" s="442"/>
      <c r="CK140" s="443"/>
      <c r="CL140" s="443"/>
      <c r="CM140" s="443"/>
      <c r="CN140" s="443"/>
      <c r="CO140" s="443"/>
      <c r="CP140" s="443"/>
      <c r="CQ140" s="443"/>
      <c r="CR140" s="443"/>
      <c r="CS140" s="443"/>
      <c r="CT140" s="443"/>
      <c r="CU140" s="443"/>
      <c r="CV140" s="443"/>
      <c r="CW140" s="443"/>
      <c r="CX140" s="443"/>
      <c r="CY140" s="443"/>
      <c r="CZ140" s="443"/>
      <c r="DA140" s="444"/>
    </row>
    <row r="141" spans="1:111">
      <c r="A141" s="624" t="s">
        <v>506</v>
      </c>
      <c r="B141" s="625"/>
      <c r="C141" s="625"/>
      <c r="D141" s="625"/>
      <c r="E141" s="625"/>
      <c r="F141" s="625"/>
      <c r="G141" s="626">
        <f t="shared" ref="G141:AH141" si="450">G131/(BG42+G124)</f>
        <v>1.0425464590765649E-2</v>
      </c>
      <c r="H141" s="626">
        <f t="shared" si="450"/>
        <v>1.285870715357116E-2</v>
      </c>
      <c r="I141" s="626">
        <f t="shared" si="450"/>
        <v>2.149248257941664E-2</v>
      </c>
      <c r="J141" s="626">
        <f t="shared" si="450"/>
        <v>2.2424257594410846E-2</v>
      </c>
      <c r="K141" s="626">
        <f t="shared" si="450"/>
        <v>3.0331998840086014E-2</v>
      </c>
      <c r="L141" s="626">
        <f t="shared" si="450"/>
        <v>3.6228231148717205E-2</v>
      </c>
      <c r="M141" s="626">
        <f t="shared" si="450"/>
        <v>5.1418620132640834E-2</v>
      </c>
      <c r="N141" s="626">
        <f t="shared" si="450"/>
        <v>5.8952711054115953E-2</v>
      </c>
      <c r="O141" s="626">
        <f t="shared" si="450"/>
        <v>5.7268403949856668E-2</v>
      </c>
      <c r="P141" s="626">
        <f t="shared" si="450"/>
        <v>5.6332594290553012E-2</v>
      </c>
      <c r="Q141" s="626">
        <f t="shared" si="450"/>
        <v>5.8397130825633262E-2</v>
      </c>
      <c r="R141" s="626">
        <f t="shared" si="450"/>
        <v>5.7877179931641716E-2</v>
      </c>
      <c r="S141" s="626">
        <f t="shared" si="450"/>
        <v>6.0233459481404052E-2</v>
      </c>
      <c r="T141" s="626">
        <f t="shared" si="450"/>
        <v>6.3161586642386816E-2</v>
      </c>
      <c r="U141" s="626">
        <f t="shared" si="450"/>
        <v>8.1089937176385157E-2</v>
      </c>
      <c r="V141" s="626">
        <f t="shared" si="450"/>
        <v>9.378570871516119E-2</v>
      </c>
      <c r="W141" s="626">
        <f t="shared" si="450"/>
        <v>0.10256121957166126</v>
      </c>
      <c r="X141" s="626">
        <f t="shared" si="450"/>
        <v>0.2140566714246587</v>
      </c>
      <c r="Y141" s="626">
        <f t="shared" si="450"/>
        <v>0.24708800118094407</v>
      </c>
      <c r="Z141" s="626">
        <f t="shared" si="450"/>
        <v>0.19609169669338292</v>
      </c>
      <c r="AA141" s="626">
        <f t="shared" si="450"/>
        <v>0.21742717001122822</v>
      </c>
      <c r="AB141" s="626">
        <f t="shared" si="450"/>
        <v>0.23793685644366908</v>
      </c>
      <c r="AC141" s="626">
        <f t="shared" si="450"/>
        <v>0.25970550650490004</v>
      </c>
      <c r="AD141" s="626">
        <f t="shared" si="450"/>
        <v>0.28233964215331625</v>
      </c>
      <c r="AE141" s="626">
        <f t="shared" si="450"/>
        <v>0.30098188310347918</v>
      </c>
      <c r="AF141" s="626">
        <f t="shared" si="450"/>
        <v>0.31858419655801634</v>
      </c>
      <c r="AG141" s="626">
        <f t="shared" si="450"/>
        <v>0.33504364800520597</v>
      </c>
      <c r="AH141" s="627">
        <f t="shared" si="450"/>
        <v>0.346622286279616</v>
      </c>
      <c r="BA141" s="442"/>
      <c r="BB141" s="443"/>
      <c r="BC141" s="443"/>
      <c r="BD141" s="443"/>
      <c r="BE141" s="443"/>
      <c r="BF141" s="443"/>
      <c r="BG141" s="443"/>
      <c r="BH141" s="443"/>
      <c r="BI141" s="443"/>
      <c r="BJ141" s="443"/>
      <c r="BK141" s="443"/>
      <c r="BL141" s="443"/>
      <c r="BM141" s="444"/>
      <c r="BO141" s="442"/>
      <c r="BP141" s="443"/>
      <c r="BQ141" s="443"/>
      <c r="BR141" s="443"/>
      <c r="BS141" s="443"/>
      <c r="BT141" s="443"/>
      <c r="BU141" s="443"/>
      <c r="BV141" s="443"/>
      <c r="BW141" s="443"/>
      <c r="BX141" s="443"/>
      <c r="BY141" s="443"/>
      <c r="BZ141" s="443"/>
      <c r="CA141" s="443"/>
      <c r="CB141" s="443"/>
      <c r="CC141" s="443"/>
      <c r="CD141" s="443"/>
      <c r="CE141" s="443"/>
      <c r="CF141" s="443"/>
      <c r="CG141" s="443"/>
      <c r="CH141" s="444"/>
      <c r="CJ141" s="442"/>
      <c r="CK141" s="443"/>
      <c r="CL141" s="443"/>
      <c r="CM141" s="443"/>
      <c r="CN141" s="443"/>
      <c r="CO141" s="443"/>
      <c r="CP141" s="443"/>
      <c r="CQ141" s="443"/>
      <c r="CR141" s="443"/>
      <c r="CS141" s="443"/>
      <c r="CT141" s="443"/>
      <c r="CU141" s="443"/>
      <c r="CV141" s="443"/>
      <c r="CW141" s="443"/>
      <c r="CX141" s="443"/>
      <c r="CY141" s="443"/>
      <c r="CZ141" s="443"/>
      <c r="DA141" s="444"/>
    </row>
    <row r="142" spans="1:111">
      <c r="A142" s="628" t="s">
        <v>134</v>
      </c>
      <c r="B142" s="629"/>
      <c r="C142" s="629"/>
      <c r="D142" s="629"/>
      <c r="E142" s="629"/>
      <c r="F142" s="629"/>
      <c r="G142" s="630">
        <f t="shared" ref="G142:X142" si="451">G118/G131</f>
        <v>0</v>
      </c>
      <c r="H142" s="630">
        <f t="shared" si="451"/>
        <v>0</v>
      </c>
      <c r="I142" s="630">
        <f t="shared" si="451"/>
        <v>0</v>
      </c>
      <c r="J142" s="630">
        <f t="shared" si="451"/>
        <v>0</v>
      </c>
      <c r="K142" s="630">
        <f t="shared" si="451"/>
        <v>0.16791122627580229</v>
      </c>
      <c r="L142" s="630">
        <f t="shared" si="451"/>
        <v>0.36465108939096508</v>
      </c>
      <c r="M142" s="630">
        <f t="shared" si="451"/>
        <v>0.56888842022542263</v>
      </c>
      <c r="N142" s="630">
        <f t="shared" si="451"/>
        <v>0.63542185455901901</v>
      </c>
      <c r="O142" s="630">
        <f t="shared" si="451"/>
        <v>0.65756094312321645</v>
      </c>
      <c r="P142" s="630">
        <f t="shared" si="451"/>
        <v>0.69591678794744904</v>
      </c>
      <c r="Q142" s="630">
        <f t="shared" si="451"/>
        <v>0.69723676463383621</v>
      </c>
      <c r="R142" s="630">
        <f t="shared" si="451"/>
        <v>0.71970287854779458</v>
      </c>
      <c r="S142" s="630">
        <f t="shared" si="451"/>
        <v>0.77351628648596493</v>
      </c>
      <c r="T142" s="630">
        <f t="shared" si="451"/>
        <v>0.82338118545820149</v>
      </c>
      <c r="U142" s="630">
        <f t="shared" si="451"/>
        <v>0.87158177548250837</v>
      </c>
      <c r="V142" s="630">
        <f t="shared" si="451"/>
        <v>0.8900231080448272</v>
      </c>
      <c r="W142" s="630">
        <f t="shared" si="451"/>
        <v>0.90664499130432907</v>
      </c>
      <c r="X142" s="630">
        <f t="shared" si="451"/>
        <v>0.93911337978111276</v>
      </c>
      <c r="Y142" s="630">
        <f t="shared" ref="Y142" si="452">Y118/Y131</f>
        <v>0.95663683561985202</v>
      </c>
      <c r="Z142" s="630">
        <f t="shared" ref="Z142:AA142" si="453">Z118/Z131</f>
        <v>0.95932699153279455</v>
      </c>
      <c r="AA142" s="630">
        <f t="shared" si="453"/>
        <v>0.96396836399020591</v>
      </c>
      <c r="AB142" s="630">
        <f t="shared" ref="AB142" si="454">AB118/AB131</f>
        <v>0.97156346444034203</v>
      </c>
      <c r="AC142" s="630">
        <f t="shared" ref="AC142" si="455">AC118/AC131</f>
        <v>0.97661187319520004</v>
      </c>
      <c r="AD142" s="630">
        <f t="shared" ref="AD142:AE142" si="456">AD118/AD131</f>
        <v>0.98076718874003599</v>
      </c>
      <c r="AE142" s="630">
        <f t="shared" si="456"/>
        <v>0.98439795691389953</v>
      </c>
      <c r="AF142" s="630">
        <f t="shared" ref="AF142:AG142" si="457">AF118/AF131</f>
        <v>0.98758956828787292</v>
      </c>
      <c r="AG142" s="630">
        <f t="shared" si="457"/>
        <v>0.99056539492757623</v>
      </c>
      <c r="AH142" s="631">
        <f t="shared" ref="AH142" si="458">AH118/AH131</f>
        <v>0.9924505761240453</v>
      </c>
      <c r="BA142" s="442"/>
      <c r="BB142" s="443"/>
      <c r="BC142" s="443"/>
      <c r="BD142" s="443"/>
      <c r="BE142" s="443"/>
      <c r="BF142" s="443"/>
      <c r="BG142" s="443"/>
      <c r="BH142" s="443"/>
      <c r="BI142" s="443"/>
      <c r="BJ142" s="443"/>
      <c r="BK142" s="443"/>
      <c r="BL142" s="443" t="s">
        <v>429</v>
      </c>
      <c r="BM142" s="444"/>
      <c r="BO142" s="442"/>
      <c r="BP142" s="443"/>
      <c r="BQ142" s="443"/>
      <c r="BR142" s="443"/>
      <c r="BS142" s="443"/>
      <c r="BT142" s="443"/>
      <c r="BU142" s="443"/>
      <c r="BV142" s="443"/>
      <c r="BW142" s="443"/>
      <c r="BX142" s="443"/>
      <c r="BY142" s="443"/>
      <c r="BZ142" s="443"/>
      <c r="CA142" s="443"/>
      <c r="CB142" s="443"/>
      <c r="CC142" s="443"/>
      <c r="CD142" s="443"/>
      <c r="CE142" s="443"/>
      <c r="CF142" s="443"/>
      <c r="CG142" s="443"/>
      <c r="CH142" s="444"/>
      <c r="CJ142" s="442"/>
      <c r="CK142" s="443"/>
      <c r="CL142" s="443"/>
      <c r="CM142" s="443"/>
      <c r="CN142" s="443"/>
      <c r="CO142" s="443"/>
      <c r="CP142" s="443"/>
      <c r="CQ142" s="443"/>
      <c r="CR142" s="443"/>
      <c r="CS142" s="443"/>
      <c r="CT142" s="443"/>
      <c r="CU142" s="443"/>
      <c r="CV142" s="443"/>
      <c r="CW142" s="443"/>
      <c r="CX142" s="443"/>
      <c r="CY142" s="443"/>
      <c r="CZ142" s="443"/>
      <c r="DA142" s="444"/>
    </row>
    <row r="143" spans="1:111">
      <c r="A143" s="17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18"/>
      <c r="BA143" s="442"/>
      <c r="BB143" s="443"/>
      <c r="BC143" s="443"/>
      <c r="BD143" s="443"/>
      <c r="BE143" s="443"/>
      <c r="BF143" s="443"/>
      <c r="BG143" s="443"/>
      <c r="BH143" s="443"/>
      <c r="BI143" s="443"/>
      <c r="BJ143" s="443"/>
      <c r="BK143" s="443"/>
      <c r="BL143" s="443" t="s">
        <v>401</v>
      </c>
      <c r="BM143" s="444"/>
      <c r="BO143" s="442"/>
      <c r="BP143" s="443"/>
      <c r="BQ143" s="443"/>
      <c r="BR143" s="443"/>
      <c r="BS143" s="443"/>
      <c r="BT143" s="443"/>
      <c r="BU143" s="443"/>
      <c r="BV143" s="443"/>
      <c r="BW143" s="443"/>
      <c r="BX143" s="443"/>
      <c r="BY143" s="443"/>
      <c r="BZ143" s="443"/>
      <c r="CA143" s="443"/>
      <c r="CB143" s="443"/>
      <c r="CC143" s="443"/>
      <c r="CD143" s="443"/>
      <c r="CE143" s="443"/>
      <c r="CF143" s="443"/>
      <c r="CG143" s="443"/>
      <c r="CH143" s="444"/>
      <c r="CJ143" s="442"/>
      <c r="CK143" s="443"/>
      <c r="CL143" s="443"/>
      <c r="CM143" s="443"/>
      <c r="CN143" s="443"/>
      <c r="CO143" s="443"/>
      <c r="CP143" s="443"/>
      <c r="CQ143" s="443"/>
      <c r="CR143" s="443"/>
      <c r="CS143" s="443"/>
      <c r="CT143" s="443"/>
      <c r="CU143" s="443"/>
      <c r="CV143" s="443"/>
      <c r="CW143" s="443"/>
      <c r="CX143" s="443"/>
      <c r="CY143" s="443"/>
      <c r="CZ143" s="443"/>
      <c r="DA143" s="444"/>
    </row>
    <row r="144" spans="1:111">
      <c r="A144" s="624" t="s">
        <v>420</v>
      </c>
      <c r="B144" s="625"/>
      <c r="C144" s="625"/>
      <c r="D144" s="632">
        <f t="shared" ref="D144:AH144" si="459">(BD42+D124)/D147</f>
        <v>147.17844753938104</v>
      </c>
      <c r="E144" s="632">
        <f t="shared" si="459"/>
        <v>150.37994129567375</v>
      </c>
      <c r="F144" s="632">
        <f t="shared" si="459"/>
        <v>158.58705616688303</v>
      </c>
      <c r="G144" s="632">
        <f t="shared" si="459"/>
        <v>155.72454148197255</v>
      </c>
      <c r="H144" s="632">
        <f t="shared" si="459"/>
        <v>225.56596716787828</v>
      </c>
      <c r="I144" s="632">
        <f t="shared" si="459"/>
        <v>223.28149545263514</v>
      </c>
      <c r="J144" s="632">
        <f t="shared" si="459"/>
        <v>260.24919036641677</v>
      </c>
      <c r="K144" s="632">
        <f t="shared" si="459"/>
        <v>294.89798482076986</v>
      </c>
      <c r="L144" s="632">
        <f t="shared" si="459"/>
        <v>322.36487264564215</v>
      </c>
      <c r="M144" s="632">
        <f t="shared" si="459"/>
        <v>345.1773967856135</v>
      </c>
      <c r="N144" s="632">
        <f t="shared" si="459"/>
        <v>365.23376003259102</v>
      </c>
      <c r="O144" s="632">
        <f t="shared" si="459"/>
        <v>390.70775028435867</v>
      </c>
      <c r="P144" s="632">
        <f t="shared" si="459"/>
        <v>383.37912553701284</v>
      </c>
      <c r="Q144" s="632">
        <f t="shared" si="459"/>
        <v>355.38623396398566</v>
      </c>
      <c r="R144" s="632">
        <f t="shared" si="459"/>
        <v>345.11461249281825</v>
      </c>
      <c r="S144" s="632">
        <f t="shared" si="459"/>
        <v>348.25230450948595</v>
      </c>
      <c r="T144" s="632">
        <f t="shared" si="459"/>
        <v>387.19590652292192</v>
      </c>
      <c r="U144" s="632">
        <f t="shared" si="459"/>
        <v>384.48248806425744</v>
      </c>
      <c r="V144" s="632">
        <f t="shared" si="459"/>
        <v>383.42661479560962</v>
      </c>
      <c r="W144" s="632">
        <f t="shared" si="459"/>
        <v>395.67976359340724</v>
      </c>
      <c r="X144" s="632">
        <f t="shared" si="459"/>
        <v>265.3307589347811</v>
      </c>
      <c r="Y144" s="632">
        <f t="shared" si="459"/>
        <v>314.87402119228659</v>
      </c>
      <c r="Z144" s="632">
        <f t="shared" si="459"/>
        <v>413.29434982682625</v>
      </c>
      <c r="AA144" s="632">
        <f t="shared" si="459"/>
        <v>420.18931677339543</v>
      </c>
      <c r="AB144" s="632">
        <f t="shared" si="459"/>
        <v>437.17952538083114</v>
      </c>
      <c r="AC144" s="632">
        <f t="shared" si="459"/>
        <v>446.81015026250748</v>
      </c>
      <c r="AD144" s="632">
        <f t="shared" si="459"/>
        <v>457.83708968829558</v>
      </c>
      <c r="AE144" s="632">
        <f t="shared" si="459"/>
        <v>471.14192809425577</v>
      </c>
      <c r="AF144" s="632">
        <f t="shared" si="459"/>
        <v>486.87502952282955</v>
      </c>
      <c r="AG144" s="632">
        <f t="shared" si="459"/>
        <v>504.58884652382005</v>
      </c>
      <c r="AH144" s="633">
        <f t="shared" si="459"/>
        <v>524.20173970016458</v>
      </c>
      <c r="BA144" s="442"/>
      <c r="BB144" s="443"/>
      <c r="BC144" s="443"/>
      <c r="BD144" s="443"/>
      <c r="BE144" s="443"/>
      <c r="BF144" s="443"/>
      <c r="BG144" s="443"/>
      <c r="BH144" s="443"/>
      <c r="BI144" s="443"/>
      <c r="BJ144" s="443"/>
      <c r="BK144" s="443"/>
      <c r="BL144" s="443"/>
      <c r="BM144" s="444"/>
      <c r="BO144" s="442"/>
      <c r="BP144" s="443"/>
      <c r="BQ144" s="443"/>
      <c r="BR144" s="443"/>
      <c r="BS144" s="443"/>
      <c r="BT144" s="443"/>
      <c r="BU144" s="443"/>
      <c r="BV144" s="443"/>
      <c r="BW144" s="443"/>
      <c r="BX144" s="443"/>
      <c r="BY144" s="443"/>
      <c r="BZ144" s="443"/>
      <c r="CA144" s="443"/>
      <c r="CB144" s="443"/>
      <c r="CC144" s="443"/>
      <c r="CD144" s="443"/>
      <c r="CE144" s="443"/>
      <c r="CF144" s="443"/>
      <c r="CG144" s="443"/>
      <c r="CH144" s="444"/>
      <c r="CJ144" s="442"/>
      <c r="CK144" s="443"/>
      <c r="CL144" s="443"/>
      <c r="CM144" s="443"/>
      <c r="CN144" s="443"/>
      <c r="CO144" s="443"/>
      <c r="CP144" s="443"/>
      <c r="CQ144" s="443"/>
      <c r="CR144" s="443"/>
      <c r="CS144" s="443"/>
      <c r="CT144" s="443"/>
      <c r="CU144" s="443"/>
      <c r="CV144" s="443"/>
      <c r="CW144" s="443"/>
      <c r="CX144" s="443"/>
      <c r="CY144" s="443"/>
      <c r="CZ144" s="443"/>
      <c r="DA144" s="444"/>
    </row>
    <row r="145" spans="1:105" ht="16" thickBot="1">
      <c r="A145" s="628" t="s">
        <v>83</v>
      </c>
      <c r="B145" s="629"/>
      <c r="C145" s="629"/>
      <c r="D145" s="634">
        <f t="shared" ref="D145:AH145" si="460">(BD42+D124)/(D149*1000)</f>
        <v>5.565669711980515E-3</v>
      </c>
      <c r="E145" s="634">
        <f t="shared" si="460"/>
        <v>5.4266716683973046E-3</v>
      </c>
      <c r="F145" s="634">
        <f t="shared" si="460"/>
        <v>5.5424622061534022E-3</v>
      </c>
      <c r="G145" s="634">
        <f t="shared" si="460"/>
        <v>5.2823284201434654E-3</v>
      </c>
      <c r="H145" s="634">
        <f t="shared" si="460"/>
        <v>7.4019689807453045E-3</v>
      </c>
      <c r="I145" s="634">
        <f t="shared" si="460"/>
        <v>7.1604704884250855E-3</v>
      </c>
      <c r="J145" s="634">
        <f t="shared" si="460"/>
        <v>8.0445577416671608E-3</v>
      </c>
      <c r="K145" s="634">
        <f t="shared" si="460"/>
        <v>8.8123410091758194E-3</v>
      </c>
      <c r="L145" s="634">
        <f t="shared" si="460"/>
        <v>9.5682433933177782E-3</v>
      </c>
      <c r="M145" s="634">
        <f t="shared" si="460"/>
        <v>1.0680377754418725E-2</v>
      </c>
      <c r="N145" s="634">
        <f t="shared" si="460"/>
        <v>1.1102983056057917E-2</v>
      </c>
      <c r="O145" s="634">
        <f t="shared" si="460"/>
        <v>1.1623866637197189E-2</v>
      </c>
      <c r="P145" s="634">
        <f t="shared" si="460"/>
        <v>1.1618578926091437E-2</v>
      </c>
      <c r="Q145" s="634">
        <f t="shared" si="460"/>
        <v>1.0985828197962663E-2</v>
      </c>
      <c r="R145" s="634">
        <f t="shared" si="460"/>
        <v>1.0683707507630211E-2</v>
      </c>
      <c r="S145" s="634">
        <f t="shared" si="460"/>
        <v>1.0607174283883776E-2</v>
      </c>
      <c r="T145" s="634">
        <f t="shared" si="460"/>
        <v>1.1504254992022489E-2</v>
      </c>
      <c r="U145" s="634">
        <f t="shared" si="460"/>
        <v>1.1166574398152253E-2</v>
      </c>
      <c r="V145" s="634">
        <f t="shared" si="460"/>
        <v>1.092870479692223E-2</v>
      </c>
      <c r="W145" s="634">
        <f t="shared" si="460"/>
        <v>1.1011422460866178E-2</v>
      </c>
      <c r="X145" s="634">
        <f t="shared" si="460"/>
        <v>7.9570028300599543E-3</v>
      </c>
      <c r="Y145" s="634">
        <f t="shared" si="460"/>
        <v>8.5355969461192623E-3</v>
      </c>
      <c r="Z145" s="634">
        <f t="shared" si="460"/>
        <v>1.0323179536058304E-2</v>
      </c>
      <c r="AA145" s="634">
        <f t="shared" si="460"/>
        <v>9.8341457090171131E-3</v>
      </c>
      <c r="AB145" s="634">
        <f t="shared" si="460"/>
        <v>9.9402435161968922E-3</v>
      </c>
      <c r="AC145" s="634">
        <f t="shared" si="460"/>
        <v>9.8902524646237774E-3</v>
      </c>
      <c r="AD145" s="634">
        <f t="shared" si="460"/>
        <v>9.8470342547067359E-3</v>
      </c>
      <c r="AE145" s="634">
        <f t="shared" si="460"/>
        <v>9.8668925872210655E-3</v>
      </c>
      <c r="AF145" s="634">
        <f t="shared" si="460"/>
        <v>9.9153976195285754E-3</v>
      </c>
      <c r="AG145" s="634">
        <f t="shared" si="460"/>
        <v>9.9890657033011553E-3</v>
      </c>
      <c r="AH145" s="635">
        <f t="shared" si="460"/>
        <v>1.0085101731629268E-2</v>
      </c>
      <c r="BA145" s="446"/>
      <c r="BB145" s="447"/>
      <c r="BC145" s="447"/>
      <c r="BD145" s="447"/>
      <c r="BE145" s="447"/>
      <c r="BF145" s="447"/>
      <c r="BG145" s="447"/>
      <c r="BH145" s="447"/>
      <c r="BI145" s="447"/>
      <c r="BJ145" s="447"/>
      <c r="BK145" s="447"/>
      <c r="BL145" s="447"/>
      <c r="BM145" s="448"/>
      <c r="BO145" s="446"/>
      <c r="BP145" s="447"/>
      <c r="BQ145" s="447"/>
      <c r="BR145" s="447"/>
      <c r="BS145" s="447"/>
      <c r="BT145" s="447"/>
      <c r="BU145" s="447"/>
      <c r="BV145" s="447"/>
      <c r="BW145" s="447"/>
      <c r="BX145" s="447"/>
      <c r="BY145" s="447"/>
      <c r="BZ145" s="447"/>
      <c r="CA145" s="447"/>
      <c r="CB145" s="447"/>
      <c r="CC145" s="447"/>
      <c r="CD145" s="447"/>
      <c r="CE145" s="447"/>
      <c r="CF145" s="447"/>
      <c r="CG145" s="447"/>
      <c r="CH145" s="448"/>
      <c r="CJ145" s="442"/>
      <c r="CK145" s="443"/>
      <c r="CL145" s="443"/>
      <c r="CM145" s="443"/>
      <c r="CN145" s="443"/>
      <c r="CO145" s="443"/>
      <c r="CP145" s="443"/>
      <c r="CQ145" s="443"/>
      <c r="CR145" s="443"/>
      <c r="CS145" s="443"/>
      <c r="CT145" s="443"/>
      <c r="CU145" s="443"/>
      <c r="CV145" s="443"/>
      <c r="CW145" s="443"/>
      <c r="CX145" s="443"/>
      <c r="CY145" s="443"/>
      <c r="CZ145" s="443"/>
      <c r="DA145" s="444"/>
    </row>
    <row r="146" spans="1:105">
      <c r="A146" s="17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636"/>
      <c r="BK146" s="196"/>
      <c r="BL146" s="196"/>
      <c r="BO146" s="196"/>
      <c r="BP146" s="196"/>
      <c r="BQ146" s="196"/>
      <c r="BR146" s="196"/>
      <c r="BS146" s="196"/>
      <c r="BT146" s="196"/>
      <c r="BU146" s="196"/>
      <c r="BV146" s="196"/>
      <c r="BW146" s="196"/>
      <c r="BX146" s="196"/>
      <c r="BY146" s="196"/>
      <c r="BZ146" s="196"/>
      <c r="CA146" s="196"/>
      <c r="CB146" s="196"/>
      <c r="CC146" s="196"/>
      <c r="CD146" s="196"/>
      <c r="CE146" s="196"/>
      <c r="CF146" s="196"/>
      <c r="CG146" s="196"/>
      <c r="CH146" s="196"/>
      <c r="CJ146" s="442"/>
      <c r="CK146" s="443"/>
      <c r="CL146" s="443"/>
      <c r="CM146" s="443"/>
      <c r="CN146" s="443"/>
      <c r="CO146" s="443"/>
      <c r="CP146" s="443"/>
      <c r="CQ146" s="443"/>
      <c r="CR146" s="443"/>
      <c r="CS146" s="443"/>
      <c r="CT146" s="443"/>
      <c r="CU146" s="443"/>
      <c r="CV146" s="443"/>
      <c r="CW146" s="443"/>
      <c r="CX146" s="443"/>
      <c r="CY146" s="443"/>
      <c r="CZ146" s="443"/>
      <c r="DA146" s="444"/>
    </row>
    <row r="147" spans="1:105">
      <c r="A147" s="803" t="s">
        <v>135</v>
      </c>
      <c r="B147" s="768">
        <v>46.714015263286065</v>
      </c>
      <c r="C147" s="768">
        <v>46.837760423992485</v>
      </c>
      <c r="D147" s="768">
        <v>46.948760847687723</v>
      </c>
      <c r="E147" s="768">
        <v>47.061617717310924</v>
      </c>
      <c r="F147" s="768">
        <v>47.190228868005711</v>
      </c>
      <c r="G147" s="768">
        <v>47.468538794231222</v>
      </c>
      <c r="H147" s="768">
        <v>47.823310596511838</v>
      </c>
      <c r="I147" s="768">
        <v>48.074149426197671</v>
      </c>
      <c r="J147" s="768">
        <v>48.216926244728803</v>
      </c>
      <c r="K147" s="768">
        <v>48.461154443087345</v>
      </c>
      <c r="L147" s="768">
        <v>48.787865020472857</v>
      </c>
      <c r="M147" s="768">
        <v>49.014974100193278</v>
      </c>
      <c r="N147" s="768">
        <v>49.184951621250953</v>
      </c>
      <c r="O147" s="768">
        <v>49.307839026836035</v>
      </c>
      <c r="P147" s="768">
        <v>49.486173466698453</v>
      </c>
      <c r="Q147" s="768">
        <v>50.117039135765388</v>
      </c>
      <c r="R147" s="768">
        <v>50.641601276360703</v>
      </c>
      <c r="S147" s="768">
        <v>50.660625644385576</v>
      </c>
      <c r="T147" s="768">
        <v>50.654198090078211</v>
      </c>
      <c r="U147" s="768">
        <v>50.665563823740598</v>
      </c>
      <c r="V147" s="768">
        <v>50.670555018347606</v>
      </c>
      <c r="W147" s="768">
        <v>50.205637800934326</v>
      </c>
      <c r="X147" s="768">
        <v>50.082011676992209</v>
      </c>
      <c r="Y147" s="768">
        <v>49.946632824304345</v>
      </c>
      <c r="Z147" s="768">
        <v>49.90742310078457</v>
      </c>
      <c r="AA147" s="768">
        <v>49.883252191753044</v>
      </c>
      <c r="AB147" s="768">
        <v>49.844083966644689</v>
      </c>
      <c r="AC147" s="768">
        <v>49.800628411018266</v>
      </c>
      <c r="AD147" s="768">
        <v>49.749045703823477</v>
      </c>
      <c r="AE147" s="768">
        <v>49.691519247844056</v>
      </c>
      <c r="AF147" s="768">
        <v>49.623764381695494</v>
      </c>
      <c r="AG147" s="768">
        <v>49.54660369854021</v>
      </c>
      <c r="AH147" s="814">
        <v>49.458179029086949</v>
      </c>
      <c r="BK147" s="196"/>
      <c r="BL147" s="196"/>
      <c r="BN147" s="196"/>
      <c r="BO147" s="196"/>
      <c r="BP147" s="196"/>
      <c r="BQ147" s="196"/>
      <c r="BR147" s="196"/>
      <c r="BS147" s="196"/>
      <c r="BT147" s="196"/>
      <c r="BU147" s="196"/>
      <c r="BV147" s="196"/>
      <c r="BW147" s="196"/>
      <c r="BX147" s="196"/>
      <c r="BY147" s="196"/>
      <c r="BZ147" s="196"/>
      <c r="CA147" s="196"/>
      <c r="CB147" s="196"/>
      <c r="CC147" s="196"/>
      <c r="CD147" s="196"/>
      <c r="CE147" s="196"/>
      <c r="CF147" s="196"/>
      <c r="CG147" s="196"/>
      <c r="CH147" s="196"/>
      <c r="CJ147" s="442"/>
      <c r="CK147" s="443"/>
      <c r="CL147" s="443"/>
      <c r="CM147" s="443"/>
      <c r="CN147" s="443"/>
      <c r="CO147" s="443"/>
      <c r="CP147" s="443"/>
      <c r="CQ147" s="443"/>
      <c r="CR147" s="443"/>
      <c r="CS147" s="443"/>
      <c r="CT147" s="443"/>
      <c r="CU147" s="443"/>
      <c r="CV147" s="443"/>
      <c r="CW147" s="443"/>
      <c r="CX147" s="443"/>
      <c r="CY147" s="443"/>
      <c r="CZ147" s="443"/>
      <c r="DA147" s="444"/>
    </row>
    <row r="148" spans="1:105">
      <c r="A148" s="608" t="s">
        <v>390</v>
      </c>
      <c r="B148" s="802"/>
      <c r="C148" s="802"/>
      <c r="D148" s="804">
        <f>D149/D147</f>
        <v>26.443978021650931</v>
      </c>
      <c r="E148" s="804">
        <f t="shared" ref="E148:X148" si="461">E149/E147</f>
        <v>27.711265852221061</v>
      </c>
      <c r="F148" s="804">
        <f t="shared" si="461"/>
        <v>28.613105559982905</v>
      </c>
      <c r="G148" s="804">
        <f t="shared" si="461"/>
        <v>29.480283900587754</v>
      </c>
      <c r="H148" s="804">
        <f t="shared" si="461"/>
        <v>30.473779038339881</v>
      </c>
      <c r="I148" s="804">
        <f t="shared" si="461"/>
        <v>31.182517379768569</v>
      </c>
      <c r="J148" s="804">
        <f t="shared" si="461"/>
        <v>32.350963063941229</v>
      </c>
      <c r="K148" s="804">
        <f t="shared" si="461"/>
        <v>33.464204859265926</v>
      </c>
      <c r="L148" s="804">
        <f t="shared" si="461"/>
        <v>33.691123792981031</v>
      </c>
      <c r="M148" s="804">
        <f t="shared" si="461"/>
        <v>32.318837846611316</v>
      </c>
      <c r="N148" s="804">
        <f t="shared" si="461"/>
        <v>32.895101990929838</v>
      </c>
      <c r="O148" s="804">
        <f t="shared" si="461"/>
        <v>33.612545848905945</v>
      </c>
      <c r="P148" s="804">
        <f t="shared" si="461"/>
        <v>32.997075457831741</v>
      </c>
      <c r="Q148" s="804">
        <f t="shared" si="461"/>
        <v>32.349516810202118</v>
      </c>
      <c r="R148" s="804">
        <f t="shared" si="461"/>
        <v>32.30288851003646</v>
      </c>
      <c r="S148" s="804">
        <f t="shared" si="461"/>
        <v>32.831769818151301</v>
      </c>
      <c r="T148" s="804">
        <f t="shared" si="461"/>
        <v>33.656756286384393</v>
      </c>
      <c r="U148" s="804">
        <f t="shared" si="461"/>
        <v>34.431552090664276</v>
      </c>
      <c r="V148" s="804">
        <f t="shared" si="461"/>
        <v>35.084360125052626</v>
      </c>
      <c r="W148" s="804">
        <f t="shared" si="461"/>
        <v>35.933573977351728</v>
      </c>
      <c r="X148" s="804">
        <f t="shared" si="461"/>
        <v>33.34556548508629</v>
      </c>
      <c r="Y148" s="804">
        <f t="shared" ref="Y148:Z148" si="462">Y149/Y147</f>
        <v>36.889513783267979</v>
      </c>
      <c r="Z148" s="804">
        <f t="shared" si="462"/>
        <v>40.035567373715779</v>
      </c>
      <c r="AA148" s="804">
        <f t="shared" ref="AA148:AB148" si="463">AA149/AA147</f>
        <v>42.727587042778509</v>
      </c>
      <c r="AB148" s="804">
        <f t="shared" si="463"/>
        <v>43.980766131984531</v>
      </c>
      <c r="AC148" s="804">
        <f t="shared" ref="AC148" si="464">AC149/AC147</f>
        <v>45.176819485720173</v>
      </c>
      <c r="AD148" s="804">
        <f t="shared" ref="AD148:AE148" si="465">AD149/AD147</f>
        <v>46.494922008568857</v>
      </c>
      <c r="AE148" s="804">
        <f t="shared" si="465"/>
        <v>47.749777747094058</v>
      </c>
      <c r="AF148" s="804">
        <f t="shared" ref="AF148:AG148" si="466">AF149/AF147</f>
        <v>49.102925389892526</v>
      </c>
      <c r="AG148" s="804">
        <f t="shared" si="466"/>
        <v>50.514118288066229</v>
      </c>
      <c r="AH148" s="805">
        <f t="shared" ref="AH148" si="467">AH149/AH147</f>
        <v>51.977833605400697</v>
      </c>
      <c r="BK148" s="196"/>
      <c r="BL148" s="196"/>
      <c r="BM148" s="196"/>
      <c r="BN148" s="196"/>
      <c r="BO148" s="196"/>
      <c r="BP148" s="196"/>
      <c r="BQ148" s="196"/>
      <c r="BR148" s="196"/>
      <c r="BS148" s="196"/>
      <c r="BT148" s="196"/>
      <c r="BU148" s="196"/>
      <c r="BV148" s="196"/>
      <c r="BW148" s="196"/>
      <c r="BX148" s="196"/>
      <c r="BY148" s="196"/>
      <c r="BZ148" s="196"/>
      <c r="CA148" s="196"/>
      <c r="CB148" s="196"/>
      <c r="CC148" s="196"/>
      <c r="CD148" s="196"/>
      <c r="CE148" s="196"/>
      <c r="CF148" s="196"/>
      <c r="CG148" s="196"/>
      <c r="CH148" s="196"/>
      <c r="CJ148" s="442"/>
      <c r="CK148" s="443"/>
      <c r="CL148" s="443"/>
      <c r="CM148" s="443"/>
      <c r="CN148" s="443"/>
      <c r="CO148" s="443"/>
      <c r="CP148" s="443"/>
      <c r="CQ148" s="443"/>
      <c r="CR148" s="443"/>
      <c r="CS148" s="443"/>
      <c r="CT148" s="443"/>
      <c r="CU148" s="443"/>
      <c r="CV148" s="443"/>
      <c r="CW148" s="443"/>
      <c r="CX148" s="443"/>
      <c r="CY148" s="443"/>
      <c r="CZ148" s="443"/>
      <c r="DA148" s="444"/>
    </row>
    <row r="149" spans="1:105">
      <c r="A149" s="806" t="s">
        <v>254</v>
      </c>
      <c r="B149" s="807">
        <v>1138.856</v>
      </c>
      <c r="C149" s="807">
        <v>1175.1489999999999</v>
      </c>
      <c r="D149" s="807">
        <v>1241.5119999999999</v>
      </c>
      <c r="E149" s="807">
        <v>1304.1369999999999</v>
      </c>
      <c r="F149" s="807">
        <v>1350.259</v>
      </c>
      <c r="G149" s="807">
        <v>1399.386</v>
      </c>
      <c r="H149" s="807">
        <v>1457.357</v>
      </c>
      <c r="I149" s="807">
        <v>1499.0730000000001</v>
      </c>
      <c r="J149" s="807">
        <v>1559.864</v>
      </c>
      <c r="K149" s="807">
        <v>1621.7139999999999</v>
      </c>
      <c r="L149" s="807">
        <v>1643.7180000000001</v>
      </c>
      <c r="M149" s="807">
        <v>1584.107</v>
      </c>
      <c r="N149" s="807">
        <v>1617.944</v>
      </c>
      <c r="O149" s="807">
        <v>1657.3620000000001</v>
      </c>
      <c r="P149" s="807">
        <v>1632.8989999999999</v>
      </c>
      <c r="Q149" s="807">
        <v>1621.2619999999999</v>
      </c>
      <c r="R149" s="807">
        <v>1635.87</v>
      </c>
      <c r="S149" s="807">
        <v>1663.278</v>
      </c>
      <c r="T149" s="807">
        <v>1704.856</v>
      </c>
      <c r="U149" s="807">
        <v>1744.4939999999999</v>
      </c>
      <c r="V149" s="807">
        <v>1777.7439999999999</v>
      </c>
      <c r="W149" s="807">
        <v>1804.068</v>
      </c>
      <c r="X149" s="807">
        <v>1670.0129999999999</v>
      </c>
      <c r="Y149" s="807">
        <v>1842.5070000000001</v>
      </c>
      <c r="Z149" s="807">
        <v>1998.0719999999999</v>
      </c>
      <c r="AA149" s="807">
        <v>2131.3910000000001</v>
      </c>
      <c r="AB149" s="807">
        <v>2192.181</v>
      </c>
      <c r="AC149" s="807">
        <v>2249.8339999999998</v>
      </c>
      <c r="AD149" s="807">
        <v>2313.078</v>
      </c>
      <c r="AE149" s="807">
        <v>2372.759</v>
      </c>
      <c r="AF149" s="807">
        <v>2436.672</v>
      </c>
      <c r="AG149" s="807">
        <v>2502.8029999999999</v>
      </c>
      <c r="AH149" s="808">
        <v>2570.7289999999998</v>
      </c>
      <c r="BK149" s="196"/>
      <c r="BL149" s="196"/>
      <c r="BM149" s="196"/>
      <c r="BN149" s="196"/>
      <c r="BO149" s="196"/>
      <c r="BP149" s="196"/>
      <c r="BQ149" s="196"/>
      <c r="BR149" s="196"/>
      <c r="BS149" s="196"/>
      <c r="BT149" s="196"/>
      <c r="BU149" s="196"/>
      <c r="BV149" s="196"/>
      <c r="BW149" s="196"/>
      <c r="BX149" s="196"/>
      <c r="BY149" s="196"/>
      <c r="BZ149" s="196"/>
      <c r="CA149" s="196"/>
      <c r="CB149" s="196"/>
      <c r="CC149" s="196"/>
      <c r="CD149" s="196"/>
      <c r="CE149" s="196"/>
      <c r="CF149" s="196"/>
      <c r="CG149" s="196"/>
      <c r="CH149" s="196"/>
      <c r="CJ149" s="442"/>
      <c r="CK149" s="443"/>
      <c r="CL149" s="443"/>
      <c r="CM149" s="443"/>
      <c r="CN149" s="443"/>
      <c r="CO149" s="443"/>
      <c r="CP149" s="443"/>
      <c r="CQ149" s="443"/>
      <c r="CR149" s="443"/>
      <c r="CS149" s="443"/>
      <c r="CT149" s="443"/>
      <c r="CU149" s="443"/>
      <c r="CV149" s="443"/>
      <c r="CW149" s="443"/>
      <c r="CX149" s="443"/>
      <c r="CY149" s="443"/>
      <c r="CZ149" s="443"/>
      <c r="DA149" s="444"/>
    </row>
    <row r="150" spans="1:105">
      <c r="A150" s="809" t="s">
        <v>295</v>
      </c>
      <c r="B150" s="637"/>
      <c r="C150" s="638">
        <f>C149/B149-1</f>
        <v>3.1867944674304649E-2</v>
      </c>
      <c r="D150" s="638">
        <f t="shared" ref="D150:AH150" si="468">D149/C149-1</f>
        <v>5.647198780750351E-2</v>
      </c>
      <c r="E150" s="638">
        <f t="shared" si="468"/>
        <v>5.0442524921225029E-2</v>
      </c>
      <c r="F150" s="638">
        <f t="shared" si="468"/>
        <v>3.5365916310939882E-2</v>
      </c>
      <c r="G150" s="638">
        <f t="shared" si="468"/>
        <v>3.6383390149593575E-2</v>
      </c>
      <c r="H150" s="638">
        <f t="shared" si="468"/>
        <v>4.1426025414003087E-2</v>
      </c>
      <c r="I150" s="638">
        <f t="shared" si="468"/>
        <v>2.8624420783651683E-2</v>
      </c>
      <c r="J150" s="638">
        <f t="shared" si="468"/>
        <v>4.0552394713265993E-2</v>
      </c>
      <c r="K150" s="638">
        <f t="shared" si="468"/>
        <v>3.9650892641922564E-2</v>
      </c>
      <c r="L150" s="638">
        <f t="shared" si="468"/>
        <v>1.3568360389069944E-2</v>
      </c>
      <c r="M150" s="638">
        <f t="shared" si="468"/>
        <v>-3.6265953162282205E-2</v>
      </c>
      <c r="N150" s="638">
        <f t="shared" si="468"/>
        <v>2.136029952522156E-2</v>
      </c>
      <c r="O150" s="638">
        <f t="shared" si="468"/>
        <v>2.436301874477742E-2</v>
      </c>
      <c r="P150" s="638">
        <f t="shared" si="468"/>
        <v>-1.4760203262775495E-2</v>
      </c>
      <c r="Q150" s="638">
        <f t="shared" si="468"/>
        <v>-7.126588968454195E-3</v>
      </c>
      <c r="R150" s="638">
        <f t="shared" si="468"/>
        <v>9.0102648430667731E-3</v>
      </c>
      <c r="S150" s="638">
        <f t="shared" si="468"/>
        <v>1.6754387573584717E-2</v>
      </c>
      <c r="T150" s="638">
        <f t="shared" si="468"/>
        <v>2.4997625171498727E-2</v>
      </c>
      <c r="U150" s="638">
        <f t="shared" si="468"/>
        <v>2.3250057482860687E-2</v>
      </c>
      <c r="V150" s="638">
        <f t="shared" si="468"/>
        <v>1.90599681053647E-2</v>
      </c>
      <c r="W150" s="638">
        <f t="shared" si="468"/>
        <v>1.4807531343095537E-2</v>
      </c>
      <c r="X150" s="638">
        <f t="shared" si="468"/>
        <v>-7.430706603077053E-2</v>
      </c>
      <c r="Y150" s="638">
        <f t="shared" si="468"/>
        <v>0.10328901631304666</v>
      </c>
      <c r="Z150" s="638">
        <f t="shared" si="468"/>
        <v>8.4431158199127498E-2</v>
      </c>
      <c r="AA150" s="638">
        <f t="shared" si="468"/>
        <v>6.6723821764180791E-2</v>
      </c>
      <c r="AB150" s="638">
        <f t="shared" si="468"/>
        <v>2.8521280234363289E-2</v>
      </c>
      <c r="AC150" s="638">
        <f t="shared" si="468"/>
        <v>2.6299379476420803E-2</v>
      </c>
      <c r="AD150" s="638">
        <f t="shared" si="468"/>
        <v>2.8110518376022409E-2</v>
      </c>
      <c r="AE150" s="638">
        <f t="shared" si="468"/>
        <v>2.5801551006926715E-2</v>
      </c>
      <c r="AF150" s="638">
        <f t="shared" si="468"/>
        <v>2.6936153229215387E-2</v>
      </c>
      <c r="AG150" s="638">
        <f t="shared" si="468"/>
        <v>2.7139885877130787E-2</v>
      </c>
      <c r="AH150" s="810">
        <f t="shared" si="468"/>
        <v>2.7139970664890489E-2</v>
      </c>
      <c r="BK150" s="196"/>
      <c r="BL150" s="196"/>
      <c r="BM150" s="196"/>
      <c r="BN150" s="196"/>
      <c r="BO150" s="196"/>
      <c r="BP150" s="196"/>
      <c r="BQ150" s="196"/>
      <c r="BR150" s="196"/>
      <c r="BS150" s="196"/>
      <c r="BT150" s="196"/>
      <c r="BU150" s="196"/>
      <c r="BV150" s="196"/>
      <c r="BW150" s="196"/>
      <c r="BX150" s="196"/>
      <c r="BY150" s="196"/>
      <c r="BZ150" s="196"/>
      <c r="CA150" s="196"/>
      <c r="CB150" s="196"/>
      <c r="CC150" s="196"/>
      <c r="CD150" s="196"/>
      <c r="CE150" s="196"/>
      <c r="CF150" s="196"/>
      <c r="CG150" s="196"/>
      <c r="CH150" s="196"/>
      <c r="CJ150" s="442"/>
      <c r="CK150" s="443"/>
      <c r="CL150" s="443"/>
      <c r="CM150" s="443"/>
      <c r="CN150" s="443"/>
      <c r="CO150" s="443"/>
      <c r="CP150" s="443"/>
      <c r="CQ150" s="443"/>
      <c r="CR150" s="443"/>
      <c r="CS150" s="443"/>
      <c r="CT150" s="443"/>
      <c r="CU150" s="443"/>
      <c r="CV150" s="443"/>
      <c r="CW150" s="443"/>
      <c r="CX150" s="443"/>
      <c r="CY150" s="443"/>
      <c r="CZ150" s="443"/>
      <c r="DA150" s="444"/>
    </row>
    <row r="151" spans="1:105" ht="16" thickBot="1">
      <c r="A151" s="449"/>
      <c r="B151" s="612"/>
      <c r="C151" s="612"/>
      <c r="D151" s="612"/>
      <c r="E151" s="612"/>
      <c r="F151" s="612"/>
      <c r="G151" s="612"/>
      <c r="H151" s="612"/>
      <c r="I151" s="612"/>
      <c r="J151" s="612"/>
      <c r="K151" s="612"/>
      <c r="L151" s="612"/>
      <c r="M151" s="612"/>
      <c r="N151" s="612"/>
      <c r="O151" s="612"/>
      <c r="P151" s="612"/>
      <c r="Q151" s="612"/>
      <c r="R151" s="612"/>
      <c r="S151" s="612"/>
      <c r="T151" s="612"/>
      <c r="U151" s="612"/>
      <c r="V151" s="612"/>
      <c r="W151" s="612"/>
      <c r="X151" s="612"/>
      <c r="Y151" s="612"/>
      <c r="Z151" s="612"/>
      <c r="AA151" s="612"/>
      <c r="AB151" s="612"/>
      <c r="AC151" s="612"/>
      <c r="AD151" s="612"/>
      <c r="AE151" s="612"/>
      <c r="AF151" s="612"/>
      <c r="AG151" s="612"/>
      <c r="AH151" s="613"/>
      <c r="BB151" s="438"/>
      <c r="BC151" s="438"/>
      <c r="BD151" s="438"/>
      <c r="BE151" s="438"/>
      <c r="BK151" s="196"/>
      <c r="BM151" s="196"/>
      <c r="BN151" s="196"/>
      <c r="BO151" s="196"/>
      <c r="BP151" s="196"/>
      <c r="BQ151" s="196"/>
      <c r="BR151" s="196"/>
      <c r="BS151" s="196"/>
      <c r="BT151" s="196"/>
      <c r="BU151" s="196"/>
      <c r="BV151" s="196"/>
      <c r="BW151" s="196"/>
      <c r="BX151" s="196"/>
      <c r="BY151" s="196"/>
      <c r="BZ151" s="196"/>
      <c r="CA151" s="196"/>
      <c r="CB151" s="196"/>
      <c r="CC151" s="196"/>
      <c r="CD151" s="196"/>
      <c r="CE151" s="196"/>
      <c r="CF151" s="196"/>
      <c r="CG151" s="196"/>
      <c r="CH151" s="196"/>
      <c r="CJ151" s="442"/>
      <c r="CK151" s="443"/>
      <c r="CL151" s="443"/>
      <c r="CM151" s="443"/>
      <c r="CN151" s="443"/>
      <c r="CO151" s="443"/>
      <c r="CP151" s="443"/>
      <c r="CQ151" s="443"/>
      <c r="CR151" s="443"/>
      <c r="CS151" s="443"/>
      <c r="CT151" s="443"/>
      <c r="CU151" s="443"/>
      <c r="CV151" s="443"/>
      <c r="CW151" s="443"/>
      <c r="CX151" s="443"/>
      <c r="CY151" s="443"/>
      <c r="CZ151" s="443"/>
      <c r="DA151" s="444"/>
    </row>
    <row r="152" spans="1:105" ht="16" thickBot="1"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J152" s="442"/>
      <c r="CK152" s="443"/>
      <c r="CL152" s="443"/>
      <c r="CM152" s="443"/>
      <c r="CN152" s="443"/>
      <c r="CO152" s="443"/>
      <c r="CP152" s="443"/>
      <c r="CQ152" s="443"/>
      <c r="CR152" s="443"/>
      <c r="CS152" s="443"/>
      <c r="CT152" s="443"/>
      <c r="CU152" s="443"/>
      <c r="CV152" s="443"/>
      <c r="CW152" s="443"/>
      <c r="CX152" s="443"/>
      <c r="CY152" s="443"/>
      <c r="CZ152" s="443"/>
      <c r="DA152" s="444"/>
    </row>
    <row r="153" spans="1:105">
      <c r="A153" s="62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BA153" s="9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J153" s="442"/>
      <c r="CK153" s="443"/>
      <c r="CL153" s="443"/>
      <c r="CM153" s="443"/>
      <c r="CN153" s="443"/>
      <c r="CO153" s="443"/>
      <c r="CP153" s="443"/>
      <c r="CQ153" s="443"/>
      <c r="CR153" s="443"/>
      <c r="CS153" s="443"/>
      <c r="CT153" s="443"/>
      <c r="CU153" s="443"/>
      <c r="CV153" s="443"/>
      <c r="CW153" s="443"/>
      <c r="CX153" s="443"/>
      <c r="CY153" s="443"/>
      <c r="CZ153" s="443"/>
      <c r="DA153" s="444"/>
    </row>
    <row r="154" spans="1:105" ht="16" thickBot="1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J154" s="442"/>
      <c r="CK154" s="443"/>
      <c r="CL154" s="443"/>
      <c r="CM154" s="443"/>
      <c r="CN154" s="443"/>
      <c r="CO154" s="443"/>
      <c r="CP154" s="443"/>
      <c r="CQ154" s="443"/>
      <c r="CR154" s="443"/>
      <c r="CS154" s="443"/>
      <c r="CT154" s="443"/>
      <c r="CU154" s="443"/>
      <c r="CV154" s="443"/>
      <c r="CW154" s="443"/>
      <c r="CX154" s="443"/>
      <c r="CY154" s="443"/>
      <c r="CZ154" s="443"/>
      <c r="DA154" s="444"/>
    </row>
    <row r="155" spans="1:105"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J155" s="442"/>
      <c r="CK155" s="443"/>
      <c r="CL155" s="443"/>
      <c r="CM155" s="443"/>
      <c r="CN155" s="443"/>
      <c r="CO155" s="443"/>
      <c r="CP155" s="443"/>
      <c r="CQ155" s="443"/>
      <c r="CR155" s="443"/>
      <c r="CS155" s="443"/>
      <c r="CT155" s="443"/>
      <c r="CU155" s="443"/>
      <c r="CV155" s="443"/>
      <c r="CW155" s="443"/>
      <c r="CX155" s="443"/>
      <c r="CY155" s="443"/>
      <c r="CZ155" s="443"/>
      <c r="DA155" s="444"/>
    </row>
    <row r="156" spans="1:105" ht="21">
      <c r="A156" s="12" t="s">
        <v>385</v>
      </c>
      <c r="CJ156" s="442"/>
      <c r="CK156" s="443"/>
      <c r="CL156" s="443"/>
      <c r="CM156" s="443"/>
      <c r="CN156" s="443"/>
      <c r="CO156" s="443"/>
      <c r="CP156" s="443"/>
      <c r="CQ156" s="443"/>
      <c r="CR156" s="443"/>
      <c r="CS156" s="443"/>
      <c r="CT156" s="443"/>
      <c r="CU156" s="443"/>
      <c r="CV156" s="443"/>
      <c r="CW156" s="443"/>
      <c r="CX156" s="443"/>
      <c r="CY156" s="443"/>
      <c r="CZ156" s="443"/>
      <c r="DA156" s="444"/>
    </row>
    <row r="157" spans="1:105" ht="16" thickBo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CJ157" s="442"/>
      <c r="CK157" s="443"/>
      <c r="CL157" s="443"/>
      <c r="CM157" s="443"/>
      <c r="CN157" s="443"/>
      <c r="CO157" s="443"/>
      <c r="CP157" s="443"/>
      <c r="CQ157" s="443"/>
      <c r="CR157" s="443"/>
      <c r="CS157" s="443"/>
      <c r="CT157" s="443"/>
      <c r="CU157" s="443"/>
      <c r="CV157" s="443"/>
      <c r="CW157" s="443"/>
      <c r="CX157" s="443"/>
      <c r="CY157" s="443"/>
      <c r="CZ157" s="443"/>
      <c r="DA157" s="444"/>
    </row>
    <row r="158" spans="1:105" ht="19" customHeight="1">
      <c r="A158" s="14" t="s">
        <v>150</v>
      </c>
      <c r="B158" s="15">
        <v>1998</v>
      </c>
      <c r="C158" s="15">
        <v>1999</v>
      </c>
      <c r="D158" s="15">
        <v>2000</v>
      </c>
      <c r="E158" s="15">
        <v>2001</v>
      </c>
      <c r="F158" s="15">
        <v>2002</v>
      </c>
      <c r="G158" s="15">
        <v>2003</v>
      </c>
      <c r="H158" s="15">
        <v>2004</v>
      </c>
      <c r="I158" s="15">
        <v>2005</v>
      </c>
      <c r="J158" s="15">
        <v>2006</v>
      </c>
      <c r="K158" s="15">
        <v>2007</v>
      </c>
      <c r="L158" s="15">
        <v>2008</v>
      </c>
      <c r="M158" s="15">
        <v>2009</v>
      </c>
      <c r="N158" s="15">
        <v>2010</v>
      </c>
      <c r="O158" s="15">
        <v>2011</v>
      </c>
      <c r="P158" s="15">
        <v>2012</v>
      </c>
      <c r="Q158" s="15">
        <v>2013</v>
      </c>
      <c r="R158" s="15">
        <v>2014</v>
      </c>
      <c r="S158" s="15">
        <v>2015</v>
      </c>
      <c r="T158" s="15">
        <v>2016</v>
      </c>
      <c r="U158" s="15">
        <v>2017</v>
      </c>
      <c r="V158" s="15">
        <v>2018</v>
      </c>
      <c r="W158" s="15">
        <v>2019</v>
      </c>
      <c r="X158" s="15">
        <v>2020</v>
      </c>
      <c r="Y158" s="15">
        <v>2021</v>
      </c>
      <c r="Z158" s="15">
        <v>2022</v>
      </c>
      <c r="AA158" s="15">
        <v>2023</v>
      </c>
      <c r="AB158" s="15" t="s">
        <v>495</v>
      </c>
      <c r="AC158" s="15" t="s">
        <v>499</v>
      </c>
      <c r="AD158" s="15" t="s">
        <v>508</v>
      </c>
      <c r="AE158" s="15" t="s">
        <v>517</v>
      </c>
      <c r="AF158" s="15" t="s">
        <v>821</v>
      </c>
      <c r="AG158" s="15" t="str">
        <f>AG12</f>
        <v>2029e</v>
      </c>
      <c r="AH158" s="16" t="str">
        <f>AH12</f>
        <v>2030e</v>
      </c>
      <c r="BA158" s="287" t="s">
        <v>243</v>
      </c>
      <c r="BB158" s="285"/>
      <c r="BC158" s="285"/>
      <c r="BD158" s="285"/>
      <c r="BE158" s="285"/>
      <c r="BF158" s="285"/>
      <c r="BG158" s="285"/>
      <c r="BH158" s="285"/>
      <c r="BI158" s="285"/>
      <c r="BJ158" s="285"/>
      <c r="BK158" s="285"/>
      <c r="BL158" s="285"/>
      <c r="BM158" s="285"/>
      <c r="BN158" s="286"/>
      <c r="CJ158" s="442"/>
      <c r="CK158" s="443"/>
      <c r="CL158" s="443"/>
      <c r="CM158" s="443"/>
      <c r="CN158" s="443"/>
      <c r="CO158" s="443"/>
      <c r="CP158" s="443"/>
      <c r="CQ158" s="443"/>
      <c r="CR158" s="443"/>
      <c r="CS158" s="443"/>
      <c r="CT158" s="443"/>
      <c r="CU158" s="443"/>
      <c r="CV158" s="443"/>
      <c r="CW158" s="443"/>
      <c r="CX158" s="443"/>
      <c r="CY158" s="443"/>
      <c r="CZ158" s="443"/>
      <c r="DA158" s="444"/>
    </row>
    <row r="159" spans="1:105">
      <c r="A159" s="17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18"/>
      <c r="BA159" s="450" t="s">
        <v>865</v>
      </c>
      <c r="BB159" s="451"/>
      <c r="BC159" s="451"/>
      <c r="BD159" s="451"/>
      <c r="BE159" s="451"/>
      <c r="BF159" s="451"/>
      <c r="BG159" s="451"/>
      <c r="BH159" s="451"/>
      <c r="BI159" s="451"/>
      <c r="BJ159" s="451"/>
      <c r="BK159" s="451"/>
      <c r="BL159" s="451"/>
      <c r="BM159" s="451"/>
      <c r="BN159" s="452"/>
      <c r="CJ159" s="442"/>
      <c r="CK159" s="443"/>
      <c r="CL159" s="443"/>
      <c r="CM159" s="443"/>
      <c r="CN159" s="443"/>
      <c r="CO159" s="443"/>
      <c r="CP159" s="443"/>
      <c r="CQ159" s="443"/>
      <c r="CR159" s="443"/>
      <c r="CS159" s="443"/>
      <c r="CT159" s="443"/>
      <c r="CU159" s="443"/>
      <c r="CV159" s="443"/>
      <c r="CW159" s="443"/>
      <c r="CX159" s="443"/>
      <c r="CY159" s="443"/>
      <c r="CZ159" s="443"/>
      <c r="DA159" s="444"/>
    </row>
    <row r="160" spans="1:105">
      <c r="A160" s="17" t="s">
        <v>184</v>
      </c>
      <c r="B160" s="8"/>
      <c r="C160" s="8"/>
      <c r="D160" s="8"/>
      <c r="E160" s="8"/>
      <c r="F160" s="8"/>
      <c r="G160" s="95"/>
      <c r="H160" s="95"/>
      <c r="I160" s="95"/>
      <c r="J160" s="95"/>
      <c r="K160" s="13">
        <f t="shared" ref="K160:Z160" si="469">K53</f>
        <v>333.87955882127227</v>
      </c>
      <c r="L160" s="13">
        <f t="shared" si="469"/>
        <v>1172.8076470000001</v>
      </c>
      <c r="M160" s="13">
        <f t="shared" si="469"/>
        <v>1337.392278</v>
      </c>
      <c r="N160" s="13">
        <f t="shared" si="469"/>
        <v>1454.8452360000003</v>
      </c>
      <c r="O160" s="13">
        <f t="shared" si="469"/>
        <v>1195.8458620000001</v>
      </c>
      <c r="P160" s="13">
        <f t="shared" si="469"/>
        <v>1314.4517425025351</v>
      </c>
      <c r="Q160" s="13">
        <f t="shared" si="469"/>
        <v>1336.3999999999999</v>
      </c>
      <c r="R160" s="13">
        <f t="shared" si="469"/>
        <v>1919</v>
      </c>
      <c r="S160" s="13">
        <f t="shared" si="469"/>
        <v>3531</v>
      </c>
      <c r="T160" s="13">
        <f t="shared" si="469"/>
        <v>4977</v>
      </c>
      <c r="U160" s="13">
        <f>U53</f>
        <v>6926</v>
      </c>
      <c r="V160" s="13">
        <f t="shared" si="469"/>
        <v>8176</v>
      </c>
      <c r="W160" s="13">
        <f t="shared" si="469"/>
        <v>8854.5249097199994</v>
      </c>
      <c r="X160" s="13">
        <f t="shared" si="469"/>
        <v>11859.85911063708</v>
      </c>
      <c r="Y160" s="13">
        <f t="shared" si="469"/>
        <v>16976.285698217267</v>
      </c>
      <c r="Z160" s="13">
        <f t="shared" si="469"/>
        <v>15872.430599180001</v>
      </c>
      <c r="AA160" s="13">
        <f t="shared" ref="AA160:AB160" si="470">AA53</f>
        <v>17707.808138543656</v>
      </c>
      <c r="AB160" s="13">
        <f t="shared" si="470"/>
        <v>19124.304199702765</v>
      </c>
      <c r="AC160" s="13">
        <f t="shared" ref="AC160" si="471">AC53</f>
        <v>21407.30612398839</v>
      </c>
      <c r="AD160" s="13">
        <f>AD53</f>
        <v>23172.407804785467</v>
      </c>
      <c r="AE160" s="13">
        <f>AE53</f>
        <v>24932.480992584962</v>
      </c>
      <c r="AF160" s="13">
        <f>AF53</f>
        <v>26769.019203006366</v>
      </c>
      <c r="AG160" s="13">
        <f>AG53</f>
        <v>28670.291354840185</v>
      </c>
      <c r="AH160" s="19">
        <f>AH53</f>
        <v>30426.471913430611</v>
      </c>
      <c r="BA160" s="450" t="s">
        <v>930</v>
      </c>
      <c r="BB160" s="451"/>
      <c r="BC160" s="451"/>
      <c r="BD160" s="451"/>
      <c r="BE160" s="451"/>
      <c r="BF160" s="451"/>
      <c r="BG160" s="451"/>
      <c r="BH160" s="451"/>
      <c r="BI160" s="451"/>
      <c r="BJ160" s="451"/>
      <c r="BK160" s="451"/>
      <c r="BL160" s="451"/>
      <c r="BM160" s="451"/>
      <c r="BN160" s="452"/>
      <c r="CJ160" s="442"/>
      <c r="CK160" s="443"/>
      <c r="CL160" s="443"/>
      <c r="CM160" s="443"/>
      <c r="CN160" s="443"/>
      <c r="CO160" s="443"/>
      <c r="CP160" s="443"/>
      <c r="CQ160" s="443"/>
      <c r="CR160" s="443"/>
      <c r="CS160" s="443"/>
      <c r="CT160" s="443"/>
      <c r="CU160" s="443"/>
      <c r="CV160" s="443"/>
      <c r="CW160" s="443"/>
      <c r="CX160" s="443"/>
      <c r="CY160" s="443"/>
      <c r="CZ160" s="443"/>
      <c r="DA160" s="444"/>
    </row>
    <row r="161" spans="1:105">
      <c r="A161" s="17" t="s">
        <v>222</v>
      </c>
      <c r="B161" s="8"/>
      <c r="C161" s="8"/>
      <c r="D161" s="8"/>
      <c r="E161" s="8"/>
      <c r="F161" s="8"/>
      <c r="G161" s="95"/>
      <c r="H161" s="95"/>
      <c r="I161" s="95"/>
      <c r="J161" s="95"/>
      <c r="K161" s="95"/>
      <c r="L161" s="95"/>
      <c r="M161" s="95"/>
      <c r="N161" s="95"/>
      <c r="O161" s="13">
        <f t="shared" ref="O161:Z161" si="472">O54</f>
        <v>1557.378747</v>
      </c>
      <c r="P161" s="13">
        <f t="shared" si="472"/>
        <v>5530.3592014474834</v>
      </c>
      <c r="Q161" s="13">
        <f t="shared" si="472"/>
        <v>8070.9175654591927</v>
      </c>
      <c r="R161" s="13">
        <f t="shared" si="472"/>
        <v>8133.507629770771</v>
      </c>
      <c r="S161" s="13">
        <f t="shared" si="472"/>
        <v>10275.200508468046</v>
      </c>
      <c r="T161" s="13">
        <f t="shared" si="472"/>
        <v>10378</v>
      </c>
      <c r="U161" s="13">
        <f t="shared" si="472"/>
        <v>16310</v>
      </c>
      <c r="V161" s="13">
        <f t="shared" si="472"/>
        <v>19759</v>
      </c>
      <c r="W161" s="13">
        <f t="shared" si="472"/>
        <v>23315</v>
      </c>
      <c r="X161" s="13">
        <f t="shared" si="472"/>
        <v>34151.153815068639</v>
      </c>
      <c r="Y161" s="13">
        <f t="shared" si="472"/>
        <v>49919.762666457093</v>
      </c>
      <c r="Z161" s="13">
        <f t="shared" si="472"/>
        <v>56274.002763198565</v>
      </c>
      <c r="AA161" s="13">
        <f t="shared" ref="AA161:AB161" si="473">AA54</f>
        <v>66201.140999359835</v>
      </c>
      <c r="AB161" s="13">
        <f t="shared" si="473"/>
        <v>78201.571795715485</v>
      </c>
      <c r="AC161" s="13">
        <f t="shared" ref="AC161" si="474">AC54</f>
        <v>88239.276482041038</v>
      </c>
      <c r="AD161" s="13">
        <f t="shared" ref="AD161:AE161" si="475">AD54</f>
        <v>98110.409625497225</v>
      </c>
      <c r="AE161" s="13">
        <f t="shared" si="475"/>
        <v>108001.11110893534</v>
      </c>
      <c r="AF161" s="13">
        <f t="shared" ref="AF161:AG161" si="476">AF54</f>
        <v>118165.47267360627</v>
      </c>
      <c r="AG161" s="13">
        <f t="shared" si="476"/>
        <v>128481.53528637228</v>
      </c>
      <c r="AH161" s="19">
        <f t="shared" ref="AH161" si="477">AH54</f>
        <v>138891.01689724659</v>
      </c>
      <c r="BA161" s="450" t="s">
        <v>931</v>
      </c>
      <c r="BB161" s="451"/>
      <c r="BC161" s="451"/>
      <c r="BD161" s="451"/>
      <c r="BE161" s="451"/>
      <c r="BF161" s="451"/>
      <c r="BG161" s="451"/>
      <c r="BH161" s="451"/>
      <c r="BI161" s="451"/>
      <c r="BJ161" s="451"/>
      <c r="BK161" s="451"/>
      <c r="BL161" s="451"/>
      <c r="BM161" s="451"/>
      <c r="BN161" s="452"/>
      <c r="CJ161" s="442"/>
      <c r="CK161" s="443"/>
      <c r="CL161" s="443"/>
      <c r="CM161" s="443"/>
      <c r="CN161" s="443"/>
      <c r="CO161" s="443"/>
      <c r="CP161" s="443"/>
      <c r="CQ161" s="443"/>
      <c r="CR161" s="443"/>
      <c r="CS161" s="443"/>
      <c r="CT161" s="443"/>
      <c r="CU161" s="443"/>
      <c r="CV161" s="443"/>
      <c r="CW161" s="443"/>
      <c r="CX161" s="443"/>
      <c r="CY161" s="443"/>
      <c r="CZ161" s="443"/>
      <c r="DA161" s="444"/>
    </row>
    <row r="162" spans="1:105" ht="16" thickBot="1">
      <c r="A162" s="17" t="s">
        <v>223</v>
      </c>
      <c r="B162" s="8"/>
      <c r="C162" s="8"/>
      <c r="D162" s="8"/>
      <c r="E162" s="8"/>
      <c r="F162" s="8"/>
      <c r="G162" s="95"/>
      <c r="H162" s="95"/>
      <c r="I162" s="95"/>
      <c r="J162" s="95"/>
      <c r="K162" s="95"/>
      <c r="L162" s="13">
        <f t="shared" ref="L162:Z162" si="478">L55+L56</f>
        <v>242.422236</v>
      </c>
      <c r="M162" s="13">
        <f t="shared" si="478"/>
        <v>2347.5192439999996</v>
      </c>
      <c r="N162" s="13">
        <f t="shared" si="478"/>
        <v>3145.8448280000007</v>
      </c>
      <c r="O162" s="13">
        <f t="shared" si="478"/>
        <v>6860.548490000001</v>
      </c>
      <c r="P162" s="13">
        <f t="shared" si="478"/>
        <v>8441.6407985525166</v>
      </c>
      <c r="Q162" s="13">
        <f t="shared" si="478"/>
        <v>5209.6824345408077</v>
      </c>
      <c r="R162" s="13">
        <f t="shared" si="478"/>
        <v>4184.492370229229</v>
      </c>
      <c r="S162" s="13">
        <f t="shared" si="478"/>
        <v>5484</v>
      </c>
      <c r="T162" s="13">
        <f t="shared" si="478"/>
        <v>5784</v>
      </c>
      <c r="U162" s="13">
        <f t="shared" si="478"/>
        <v>3444</v>
      </c>
      <c r="V162" s="13">
        <f t="shared" si="478"/>
        <v>3207</v>
      </c>
      <c r="W162" s="13">
        <f t="shared" si="478"/>
        <v>3014</v>
      </c>
      <c r="X162" s="13">
        <f t="shared" si="478"/>
        <v>4345.4964356647279</v>
      </c>
      <c r="Y162" s="13">
        <f t="shared" si="478"/>
        <v>2630.2165477014987</v>
      </c>
      <c r="Z162" s="13">
        <f t="shared" si="478"/>
        <v>3866.4643673379192</v>
      </c>
      <c r="AA162" s="13">
        <f t="shared" ref="AA162:AB162" si="479">AA55+AA56</f>
        <v>3922.3273700204791</v>
      </c>
      <c r="AB162" s="13">
        <f t="shared" si="479"/>
        <v>3761.3869741256526</v>
      </c>
      <c r="AC162" s="13">
        <f t="shared" ref="AC162" si="480">AC55+AC56</f>
        <v>3782.4661810040561</v>
      </c>
      <c r="AD162" s="13">
        <f t="shared" ref="AD162:AE162" si="481">AD55+AD56</f>
        <v>3770.2483451959461</v>
      </c>
      <c r="AE162" s="13">
        <f t="shared" si="481"/>
        <v>3782.7058666459234</v>
      </c>
      <c r="AF162" s="13">
        <f t="shared" ref="AF162:AG162" si="482">AF55+AF56</f>
        <v>3822.4912925870367</v>
      </c>
      <c r="AG162" s="13">
        <f t="shared" si="482"/>
        <v>3879.7147116789215</v>
      </c>
      <c r="AH162" s="19">
        <f t="shared" ref="AH162" si="483">AH55+AH56</f>
        <v>3949.5427824421849</v>
      </c>
      <c r="BA162" s="450" t="s">
        <v>511</v>
      </c>
      <c r="BB162" s="451"/>
      <c r="BC162" s="451"/>
      <c r="BD162" s="451"/>
      <c r="BE162" s="451"/>
      <c r="BF162" s="451"/>
      <c r="BG162" s="451"/>
      <c r="BH162" s="451"/>
      <c r="BI162" s="451"/>
      <c r="BJ162" s="451"/>
      <c r="BK162" s="451"/>
      <c r="BL162" s="451"/>
      <c r="BM162" s="451"/>
      <c r="BN162" s="452"/>
      <c r="CJ162" s="446"/>
      <c r="CK162" s="447"/>
      <c r="CL162" s="447"/>
      <c r="CM162" s="447"/>
      <c r="CN162" s="447"/>
      <c r="CO162" s="447"/>
      <c r="CP162" s="447"/>
      <c r="CQ162" s="447"/>
      <c r="CR162" s="447"/>
      <c r="CS162" s="447"/>
      <c r="CT162" s="447"/>
      <c r="CU162" s="447"/>
      <c r="CV162" s="447"/>
      <c r="CW162" s="447"/>
      <c r="CX162" s="447"/>
      <c r="CY162" s="447"/>
      <c r="CZ162" s="447"/>
      <c r="DA162" s="448"/>
    </row>
    <row r="163" spans="1:105">
      <c r="A163" s="17" t="s">
        <v>142</v>
      </c>
      <c r="B163" s="8"/>
      <c r="C163" s="8"/>
      <c r="D163" s="8"/>
      <c r="E163" s="8"/>
      <c r="F163" s="8"/>
      <c r="G163" s="95"/>
      <c r="H163" s="95"/>
      <c r="I163" s="95"/>
      <c r="J163" s="95"/>
      <c r="K163" s="95"/>
      <c r="L163" s="95"/>
      <c r="M163" s="13">
        <f t="shared" ref="M163:Z163" si="484">M58</f>
        <v>7.6193999999999998E-2</v>
      </c>
      <c r="N163" s="13">
        <f t="shared" si="484"/>
        <v>146.14103299999999</v>
      </c>
      <c r="O163" s="13">
        <f t="shared" si="484"/>
        <v>183.50724500000001</v>
      </c>
      <c r="P163" s="13">
        <f t="shared" si="484"/>
        <v>146</v>
      </c>
      <c r="Q163" s="13">
        <f t="shared" si="484"/>
        <v>109.90000000000009</v>
      </c>
      <c r="R163" s="13">
        <f t="shared" si="484"/>
        <v>97</v>
      </c>
      <c r="S163" s="13">
        <f t="shared" si="484"/>
        <v>91</v>
      </c>
      <c r="T163" s="13">
        <f t="shared" si="484"/>
        <v>100</v>
      </c>
      <c r="U163" s="13">
        <f t="shared" si="484"/>
        <v>116</v>
      </c>
      <c r="V163" s="13">
        <f t="shared" si="484"/>
        <v>128</v>
      </c>
      <c r="W163" s="13">
        <f t="shared" si="484"/>
        <v>173.25694806312771</v>
      </c>
      <c r="X163" s="13">
        <f t="shared" si="484"/>
        <v>172.93146818224963</v>
      </c>
      <c r="Y163" s="13">
        <f t="shared" si="484"/>
        <v>305.65228242639876</v>
      </c>
      <c r="Z163" s="13">
        <f t="shared" si="484"/>
        <v>280.51862576757532</v>
      </c>
      <c r="AA163" s="13">
        <f t="shared" ref="AA163:AB163" si="485">AA58</f>
        <v>292.89442387374453</v>
      </c>
      <c r="AB163" s="13">
        <f t="shared" si="485"/>
        <v>308.58637511621237</v>
      </c>
      <c r="AC163" s="13">
        <f t="shared" ref="AC163" si="486">AC58</f>
        <v>303.81520619273653</v>
      </c>
      <c r="AD163" s="13">
        <f t="shared" ref="AD163:AE163" si="487">AD58</f>
        <v>335.21951219512192</v>
      </c>
      <c r="AE163" s="13">
        <f t="shared" si="487"/>
        <v>366.7971305595409</v>
      </c>
      <c r="AF163" s="13">
        <f t="shared" ref="AF163:AG163" si="488">AF58</f>
        <v>399.48120516499284</v>
      </c>
      <c r="AG163" s="13">
        <f t="shared" si="488"/>
        <v>432.89526542324251</v>
      </c>
      <c r="AH163" s="19">
        <f t="shared" ref="AH163" si="489">AH58</f>
        <v>466.87403156384505</v>
      </c>
      <c r="BA163" s="450" t="s">
        <v>966</v>
      </c>
      <c r="BB163" s="451"/>
      <c r="BC163" s="451"/>
      <c r="BD163" s="451"/>
      <c r="BE163" s="451"/>
      <c r="BF163" s="451"/>
      <c r="BG163" s="451"/>
      <c r="BH163" s="451"/>
      <c r="BI163" s="451"/>
      <c r="BJ163" s="451"/>
      <c r="BK163" s="451"/>
      <c r="BL163" s="451"/>
      <c r="BM163" s="451"/>
      <c r="BN163" s="452"/>
    </row>
    <row r="164" spans="1:105">
      <c r="A164" s="17" t="s">
        <v>278</v>
      </c>
      <c r="B164" s="8"/>
      <c r="C164" s="8"/>
      <c r="D164" s="8"/>
      <c r="E164" s="8"/>
      <c r="F164" s="8"/>
      <c r="G164" s="95"/>
      <c r="H164" s="95"/>
      <c r="I164" s="95"/>
      <c r="J164" s="95"/>
      <c r="K164" s="95"/>
      <c r="L164" s="13">
        <f t="shared" ref="L164:Z164" si="490">L63</f>
        <v>0</v>
      </c>
      <c r="M164" s="13">
        <f t="shared" si="490"/>
        <v>5.7087712893541465</v>
      </c>
      <c r="N164" s="13">
        <f t="shared" si="490"/>
        <v>16.449715901694365</v>
      </c>
      <c r="O164" s="13">
        <f t="shared" si="490"/>
        <v>12.528500340209531</v>
      </c>
      <c r="P164" s="13">
        <f t="shared" si="490"/>
        <v>34</v>
      </c>
      <c r="Q164" s="13">
        <f t="shared" si="490"/>
        <v>40.100000000000591</v>
      </c>
      <c r="R164" s="13">
        <f t="shared" si="490"/>
        <v>51</v>
      </c>
      <c r="S164" s="13">
        <f t="shared" si="490"/>
        <v>63</v>
      </c>
      <c r="T164" s="13">
        <f t="shared" si="490"/>
        <v>92</v>
      </c>
      <c r="U164" s="13">
        <f t="shared" si="490"/>
        <v>136.27999999999997</v>
      </c>
      <c r="V164" s="13">
        <f t="shared" si="490"/>
        <v>169.01999999999998</v>
      </c>
      <c r="W164" s="13">
        <f t="shared" si="490"/>
        <v>199.04999999999998</v>
      </c>
      <c r="X164" s="13">
        <f t="shared" si="490"/>
        <v>263.11</v>
      </c>
      <c r="Y164" s="13">
        <f t="shared" si="490"/>
        <v>353.77</v>
      </c>
      <c r="Z164" s="13">
        <f t="shared" si="490"/>
        <v>426.71</v>
      </c>
      <c r="AA164" s="13">
        <f>AA63</f>
        <v>394.54334671252366</v>
      </c>
      <c r="AB164" s="13">
        <f t="shared" ref="AB164" si="491">AB63</f>
        <v>438.62037229035445</v>
      </c>
      <c r="AC164" s="13">
        <f t="shared" ref="AC164" si="492">AC63</f>
        <v>516.86128157116889</v>
      </c>
      <c r="AD164" s="13">
        <f t="shared" ref="AD164:AE164" si="493">AD63</f>
        <v>560.13057827996818</v>
      </c>
      <c r="AE164" s="13">
        <f t="shared" si="493"/>
        <v>635.45811134483347</v>
      </c>
      <c r="AF164" s="13">
        <f t="shared" ref="AF164:AG164" si="494">AF63</f>
        <v>728.51789374426812</v>
      </c>
      <c r="AG164" s="13">
        <f t="shared" si="494"/>
        <v>824.6892337920815</v>
      </c>
      <c r="AH164" s="19">
        <f t="shared" ref="AH164" si="495">AH63</f>
        <v>948.28168598398975</v>
      </c>
      <c r="BA164" s="450"/>
      <c r="BB164" s="451"/>
      <c r="BC164" s="451"/>
      <c r="BD164" s="451"/>
      <c r="BE164" s="451"/>
      <c r="BF164" s="451"/>
      <c r="BG164" s="451"/>
      <c r="BH164" s="451"/>
      <c r="BI164" s="451"/>
      <c r="BJ164" s="451"/>
      <c r="BK164" s="451"/>
      <c r="BL164" s="451"/>
      <c r="BM164" s="451"/>
      <c r="BN164" s="452"/>
    </row>
    <row r="165" spans="1:105" ht="16" thickBot="1">
      <c r="A165" s="33" t="s">
        <v>271</v>
      </c>
      <c r="B165" s="34"/>
      <c r="C165" s="34"/>
      <c r="D165" s="34"/>
      <c r="E165" s="34"/>
      <c r="F165" s="34"/>
      <c r="G165" s="34"/>
      <c r="H165" s="34"/>
      <c r="I165" s="34"/>
      <c r="J165" s="34"/>
      <c r="K165" s="34">
        <f t="shared" ref="K165:P165" si="496">SUM(K160:K164)</f>
        <v>333.87955882127227</v>
      </c>
      <c r="L165" s="34">
        <f t="shared" si="496"/>
        <v>1415.229883</v>
      </c>
      <c r="M165" s="34">
        <f>SUM(M160:M164)</f>
        <v>3690.6964872893536</v>
      </c>
      <c r="N165" s="34">
        <f t="shared" si="496"/>
        <v>4763.2808129016958</v>
      </c>
      <c r="O165" s="34">
        <f t="shared" si="496"/>
        <v>9809.8088443402121</v>
      </c>
      <c r="P165" s="34">
        <f t="shared" si="496"/>
        <v>15466.451742502535</v>
      </c>
      <c r="Q165" s="34">
        <f>SUM(Q160:Q164)</f>
        <v>14767</v>
      </c>
      <c r="R165" s="34">
        <f>SUM(R160:R164)</f>
        <v>14385</v>
      </c>
      <c r="S165" s="34">
        <f>SUM(S160:S164)</f>
        <v>19444.200508468046</v>
      </c>
      <c r="T165" s="34">
        <f t="shared" ref="T165:V165" si="497">SUM(T160:T164)</f>
        <v>21331</v>
      </c>
      <c r="U165" s="34">
        <f t="shared" si="497"/>
        <v>26932.28</v>
      </c>
      <c r="V165" s="34">
        <f t="shared" si="497"/>
        <v>31439.02</v>
      </c>
      <c r="W165" s="34">
        <f t="shared" ref="W165:X165" si="498">SUM(W160:W164)</f>
        <v>35555.831857783131</v>
      </c>
      <c r="X165" s="34">
        <f t="shared" si="498"/>
        <v>50792.550829552696</v>
      </c>
      <c r="Y165" s="34">
        <f t="shared" ref="Y165:AD165" si="499">SUM(Y160:Y164)</f>
        <v>70185.687194802245</v>
      </c>
      <c r="Z165" s="34">
        <f t="shared" si="499"/>
        <v>76720.12635548407</v>
      </c>
      <c r="AA165" s="34">
        <f t="shared" si="499"/>
        <v>88518.714278510233</v>
      </c>
      <c r="AB165" s="34">
        <f t="shared" si="499"/>
        <v>101834.46971695047</v>
      </c>
      <c r="AC165" s="34">
        <f t="shared" si="499"/>
        <v>114249.7252747974</v>
      </c>
      <c r="AD165" s="34">
        <f t="shared" si="499"/>
        <v>125948.41586595372</v>
      </c>
      <c r="AE165" s="34">
        <f t="shared" ref="AE165:AF165" si="500">SUM(AE160:AE164)</f>
        <v>137718.55321007062</v>
      </c>
      <c r="AF165" s="34">
        <f t="shared" si="500"/>
        <v>149884.98226810893</v>
      </c>
      <c r="AG165" s="34">
        <f t="shared" ref="AG165:AH165" si="501">SUM(AG160:AG164)</f>
        <v>162289.12585210669</v>
      </c>
      <c r="AH165" s="35">
        <f t="shared" si="501"/>
        <v>174682.18731066721</v>
      </c>
      <c r="BA165" s="453"/>
      <c r="BB165" s="454"/>
      <c r="BC165" s="454"/>
      <c r="BD165" s="454"/>
      <c r="BE165" s="454"/>
      <c r="BF165" s="454"/>
      <c r="BG165" s="454"/>
      <c r="BH165" s="454"/>
      <c r="BI165" s="454"/>
      <c r="BJ165" s="454"/>
      <c r="BK165" s="454"/>
      <c r="BL165" s="454"/>
      <c r="BM165" s="454"/>
      <c r="BN165" s="455"/>
    </row>
    <row r="166" spans="1:105">
      <c r="A166" s="639"/>
      <c r="B166" s="640"/>
      <c r="C166" s="640"/>
      <c r="D166" s="640"/>
      <c r="E166" s="640"/>
      <c r="F166" s="640"/>
      <c r="G166" s="640"/>
      <c r="H166" s="640"/>
      <c r="I166" s="640"/>
      <c r="J166" s="640"/>
      <c r="K166" s="640"/>
      <c r="L166" s="640"/>
      <c r="M166" s="640"/>
      <c r="N166" s="641"/>
      <c r="O166" s="640"/>
      <c r="P166" s="640"/>
      <c r="Q166" s="640"/>
      <c r="R166" s="640"/>
      <c r="S166" s="640"/>
      <c r="T166" s="640"/>
      <c r="U166" s="640"/>
      <c r="V166" s="640"/>
      <c r="W166" s="640"/>
      <c r="X166" s="640"/>
      <c r="Y166" s="640"/>
      <c r="Z166" s="640"/>
      <c r="AA166" s="640"/>
      <c r="AB166" s="640"/>
      <c r="AC166" s="640"/>
      <c r="AD166" s="640"/>
      <c r="AE166" s="640"/>
      <c r="AF166" s="640"/>
      <c r="AG166" s="640"/>
      <c r="AH166" s="642"/>
    </row>
    <row r="167" spans="1:105">
      <c r="A167" s="17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18"/>
      <c r="BA167" s="209"/>
      <c r="BB167" s="209"/>
      <c r="BC167" s="209"/>
      <c r="BD167" s="209"/>
      <c r="BE167" s="209"/>
      <c r="BF167" s="209"/>
      <c r="BG167" s="209"/>
      <c r="BH167" s="209"/>
      <c r="BI167" s="209"/>
      <c r="BJ167" s="209"/>
      <c r="BK167" s="209"/>
      <c r="BL167" s="209"/>
      <c r="BM167" s="209"/>
      <c r="BN167" s="209"/>
      <c r="BO167" s="209"/>
      <c r="BP167" s="209"/>
      <c r="BQ167" s="209"/>
      <c r="BR167" s="209"/>
    </row>
    <row r="168" spans="1:105">
      <c r="A168" s="17" t="s">
        <v>184</v>
      </c>
      <c r="B168" s="8"/>
      <c r="C168" s="8"/>
      <c r="D168" s="8"/>
      <c r="E168" s="8"/>
      <c r="F168" s="8"/>
      <c r="G168" s="13">
        <f t="shared" ref="G168:X168" si="502">G120/0.08</f>
        <v>717.59905133928567</v>
      </c>
      <c r="H168" s="13">
        <f t="shared" si="502"/>
        <v>850.74362772254483</v>
      </c>
      <c r="I168" s="13">
        <f t="shared" si="502"/>
        <v>1140.5995225693437</v>
      </c>
      <c r="J168" s="13">
        <f t="shared" si="502"/>
        <v>1322.1176579978323</v>
      </c>
      <c r="K168" s="13">
        <f t="shared" si="502"/>
        <v>1263.4466403770964</v>
      </c>
      <c r="L168" s="13">
        <f t="shared" si="502"/>
        <v>528.02636650403838</v>
      </c>
      <c r="M168" s="13">
        <f t="shared" si="502"/>
        <v>441.66488421898464</v>
      </c>
      <c r="N168" s="13">
        <f t="shared" si="502"/>
        <v>472.90661486714242</v>
      </c>
      <c r="O168" s="13">
        <f t="shared" si="502"/>
        <v>463.67672164463613</v>
      </c>
      <c r="P168" s="13">
        <f t="shared" si="502"/>
        <v>452.00265391509396</v>
      </c>
      <c r="Q168" s="13">
        <f t="shared" si="502"/>
        <v>568.93275910291322</v>
      </c>
      <c r="R168" s="13">
        <f t="shared" si="502"/>
        <v>619.36708287414058</v>
      </c>
      <c r="S168" s="13">
        <f t="shared" si="502"/>
        <v>625.70432781785723</v>
      </c>
      <c r="T168" s="13">
        <f t="shared" si="502"/>
        <v>641.69035333319243</v>
      </c>
      <c r="U168" s="13">
        <f t="shared" si="502"/>
        <v>615.19604629886408</v>
      </c>
      <c r="V168" s="13">
        <f t="shared" si="502"/>
        <v>705.42462743966666</v>
      </c>
      <c r="W168" s="13">
        <f t="shared" si="502"/>
        <v>696.41243336431171</v>
      </c>
      <c r="X168" s="13">
        <f t="shared" si="502"/>
        <v>435.4375</v>
      </c>
      <c r="Y168" s="13">
        <f t="shared" ref="Y168:Z168" si="503">Y120/0.08</f>
        <v>530.44999999999993</v>
      </c>
      <c r="Z168" s="13">
        <f t="shared" si="503"/>
        <v>492.51488745433477</v>
      </c>
      <c r="AA168" s="13">
        <f t="shared" ref="AA168:AB168" si="504">AA120/0.08</f>
        <v>500.98305053132634</v>
      </c>
      <c r="AB168" s="13">
        <f t="shared" si="504"/>
        <v>504.88195231782686</v>
      </c>
      <c r="AC168" s="13">
        <f t="shared" ref="AC168" si="505">AC120/0.08</f>
        <v>474.56316556177921</v>
      </c>
      <c r="AD168" s="13">
        <f t="shared" ref="AD168:AE168" si="506">AD120/0.08</f>
        <v>407.77394076957785</v>
      </c>
      <c r="AE168" s="13">
        <f t="shared" si="506"/>
        <v>384.05228452670411</v>
      </c>
      <c r="AF168" s="13">
        <f t="shared" ref="AF168:AG168" si="507">AF120/0.08</f>
        <v>354.22871769345397</v>
      </c>
      <c r="AG168" s="13">
        <f t="shared" si="507"/>
        <v>317.70546893521822</v>
      </c>
      <c r="AH168" s="19">
        <f t="shared" ref="AH168" si="508">AH120/0.08</f>
        <v>343.10827492061208</v>
      </c>
    </row>
    <row r="169" spans="1:105" ht="16" thickBot="1">
      <c r="A169" s="17" t="s">
        <v>272</v>
      </c>
      <c r="B169" s="8"/>
      <c r="C169" s="8"/>
      <c r="D169" s="8"/>
      <c r="E169" s="8"/>
      <c r="F169" s="8"/>
      <c r="G169" s="13">
        <f t="shared" ref="G169:X169" si="509">G121/0.05</f>
        <v>315.10402278793237</v>
      </c>
      <c r="H169" s="13">
        <f t="shared" si="509"/>
        <v>519.67602457146177</v>
      </c>
      <c r="I169" s="13">
        <f t="shared" si="509"/>
        <v>769.7475337294901</v>
      </c>
      <c r="J169" s="13">
        <f t="shared" si="509"/>
        <v>1069.5598958132471</v>
      </c>
      <c r="K169" s="13">
        <f t="shared" si="509"/>
        <v>2625.8968115774328</v>
      </c>
      <c r="L169" s="13">
        <f t="shared" si="509"/>
        <v>3684.1121254467521</v>
      </c>
      <c r="M169" s="13">
        <f t="shared" si="509"/>
        <v>4670.043839909993</v>
      </c>
      <c r="N169" s="13">
        <f t="shared" si="509"/>
        <v>5239.2823472145228</v>
      </c>
      <c r="O169" s="13">
        <f t="shared" si="509"/>
        <v>5636.3185247337788</v>
      </c>
      <c r="P169" s="13">
        <f t="shared" si="509"/>
        <v>4941.1855369872619</v>
      </c>
      <c r="Q169" s="13">
        <f t="shared" si="509"/>
        <v>4489.1164812526995</v>
      </c>
      <c r="R169" s="13">
        <f t="shared" si="509"/>
        <v>3932.8918976096529</v>
      </c>
      <c r="S169" s="13">
        <f t="shared" si="509"/>
        <v>3138.5615027491008</v>
      </c>
      <c r="T169" s="13">
        <f t="shared" si="509"/>
        <v>2678.5199999999995</v>
      </c>
      <c r="U169" s="13">
        <f t="shared" si="509"/>
        <v>2366.4997956419929</v>
      </c>
      <c r="V169" s="13">
        <f t="shared" si="509"/>
        <v>2197.7156098684563</v>
      </c>
      <c r="W169" s="13">
        <f t="shared" si="509"/>
        <v>2070.49744164309</v>
      </c>
      <c r="X169" s="13">
        <f t="shared" si="509"/>
        <v>2001.3775671683716</v>
      </c>
      <c r="Y169" s="13">
        <f t="shared" ref="Y169:Z169" si="510">Y121/0.05</f>
        <v>1982.5223238672597</v>
      </c>
      <c r="Z169" s="13">
        <f t="shared" si="510"/>
        <v>1943.2298984307424</v>
      </c>
      <c r="AA169" s="13">
        <f t="shared" ref="AA169:AB169" si="511">AA121/0.05</f>
        <v>1909.3712144573931</v>
      </c>
      <c r="AB169" s="13">
        <f t="shared" si="511"/>
        <v>1542.966075629949</v>
      </c>
      <c r="AC169" s="13">
        <f t="shared" ref="AC169" si="512">AC121/0.05</f>
        <v>1324.1667040020882</v>
      </c>
      <c r="AD169" s="13">
        <f t="shared" ref="AD169:AE169" si="513">AD121/0.05</f>
        <v>1170.3299088840918</v>
      </c>
      <c r="AE169" s="13">
        <f t="shared" si="513"/>
        <v>906.14724184039005</v>
      </c>
      <c r="AF169" s="13">
        <f t="shared" ref="AF169:AG169" si="514">AF121/0.05</f>
        <v>636.13619553905971</v>
      </c>
      <c r="AG169" s="13">
        <f t="shared" si="514"/>
        <v>334.00198743114515</v>
      </c>
      <c r="AH169" s="19">
        <f t="shared" ref="AH169" si="515">AH121/0.05</f>
        <v>37.941238903762979</v>
      </c>
    </row>
    <row r="170" spans="1:105">
      <c r="A170" s="17" t="s">
        <v>223</v>
      </c>
      <c r="B170" s="8"/>
      <c r="C170" s="8"/>
      <c r="D170" s="8"/>
      <c r="E170" s="8"/>
      <c r="F170" s="8"/>
      <c r="G170" s="13">
        <f t="shared" ref="G170:X170" si="516">G122/0.04</f>
        <v>74.13107700006826</v>
      </c>
      <c r="H170" s="13">
        <f t="shared" si="516"/>
        <v>1041.2102367658197</v>
      </c>
      <c r="I170" s="13">
        <f t="shared" si="516"/>
        <v>2426.2410955187684</v>
      </c>
      <c r="J170" s="13">
        <f t="shared" si="516"/>
        <v>2901.1101943510434</v>
      </c>
      <c r="K170" s="13">
        <f t="shared" si="516"/>
        <v>2946.2180396958488</v>
      </c>
      <c r="L170" s="13">
        <f t="shared" si="516"/>
        <v>3051.5087768590297</v>
      </c>
      <c r="M170" s="13">
        <f t="shared" si="516"/>
        <v>2244.509293315904</v>
      </c>
      <c r="N170" s="13">
        <f t="shared" si="516"/>
        <v>1430.441595772679</v>
      </c>
      <c r="O170" s="13">
        <f t="shared" si="516"/>
        <v>884.24271119050684</v>
      </c>
      <c r="P170" s="13">
        <f t="shared" si="516"/>
        <v>683.71316091517713</v>
      </c>
      <c r="Q170" s="13">
        <f t="shared" si="516"/>
        <v>657.87220023862881</v>
      </c>
      <c r="R170" s="13">
        <f t="shared" si="516"/>
        <v>493.59340680896639</v>
      </c>
      <c r="S170" s="13">
        <f t="shared" si="516"/>
        <v>400.86695038267823</v>
      </c>
      <c r="T170" s="13">
        <f t="shared" si="516"/>
        <v>398.53015481804732</v>
      </c>
      <c r="U170" s="13">
        <f t="shared" si="516"/>
        <v>416.55419026442189</v>
      </c>
      <c r="V170" s="13">
        <f t="shared" si="516"/>
        <v>351.14513765748666</v>
      </c>
      <c r="W170" s="13">
        <f t="shared" si="516"/>
        <v>321.9501111098287</v>
      </c>
      <c r="X170" s="13">
        <f t="shared" si="516"/>
        <v>433.24999999999994</v>
      </c>
      <c r="Y170" s="13">
        <f t="shared" ref="Y170:Z170" si="517">Y122/0.04</f>
        <v>348</v>
      </c>
      <c r="Z170" s="13">
        <f t="shared" si="517"/>
        <v>314.43722843679984</v>
      </c>
      <c r="AA170" s="13">
        <f t="shared" ref="AA170:AB170" si="518">AA122/0.04</f>
        <v>280.87445687359968</v>
      </c>
      <c r="AB170" s="13">
        <f t="shared" si="518"/>
        <v>293.95002068795111</v>
      </c>
      <c r="AC170" s="13">
        <f t="shared" ref="AC170" si="519">AC122/0.04</f>
        <v>307.71782679126591</v>
      </c>
      <c r="AD170" s="13">
        <f t="shared" ref="AD170:AE170" si="520">AD122/0.04</f>
        <v>324.2239359143432</v>
      </c>
      <c r="AE170" s="13">
        <f t="shared" si="520"/>
        <v>338.2066696874661</v>
      </c>
      <c r="AF170" s="13">
        <f t="shared" ref="AF170:AG170" si="521">AF122/0.04</f>
        <v>354.36799720849297</v>
      </c>
      <c r="AG170" s="13">
        <f t="shared" si="521"/>
        <v>371.76227424346251</v>
      </c>
      <c r="AH170" s="19">
        <f t="shared" ref="AH170" si="522">AH122/0.04</f>
        <v>390.27048459678576</v>
      </c>
      <c r="BA170" s="69"/>
      <c r="BB170" s="70">
        <v>1998</v>
      </c>
      <c r="BC170" s="70">
        <v>1999</v>
      </c>
      <c r="BD170" s="70">
        <v>2000</v>
      </c>
      <c r="BE170" s="70">
        <v>2001</v>
      </c>
      <c r="BF170" s="70">
        <v>2002</v>
      </c>
      <c r="BG170" s="70">
        <v>2003</v>
      </c>
      <c r="BH170" s="70">
        <v>2004</v>
      </c>
      <c r="BI170" s="70">
        <v>2005</v>
      </c>
      <c r="BJ170" s="70">
        <v>2006</v>
      </c>
      <c r="BK170" s="70">
        <v>2007</v>
      </c>
      <c r="BL170" s="70">
        <v>2008</v>
      </c>
      <c r="BM170" s="70">
        <v>2009</v>
      </c>
      <c r="BN170" s="70">
        <v>2010</v>
      </c>
      <c r="BO170" s="70">
        <v>2011</v>
      </c>
      <c r="BP170" s="70">
        <v>2012</v>
      </c>
      <c r="BQ170" s="15">
        <v>2013</v>
      </c>
      <c r="BR170" s="15">
        <v>2014</v>
      </c>
      <c r="BS170" s="15">
        <v>2015</v>
      </c>
      <c r="BT170" s="15">
        <v>2016</v>
      </c>
      <c r="BU170" s="15">
        <v>2017</v>
      </c>
      <c r="BV170" s="15">
        <v>2018</v>
      </c>
      <c r="BW170" s="15">
        <v>2019</v>
      </c>
      <c r="BX170" s="15">
        <v>2020</v>
      </c>
      <c r="BY170" s="15">
        <v>2021</v>
      </c>
      <c r="BZ170" s="15">
        <v>2022</v>
      </c>
      <c r="CA170" s="15">
        <v>2023</v>
      </c>
      <c r="CB170" s="15">
        <v>2024</v>
      </c>
      <c r="CC170" s="15">
        <v>2025</v>
      </c>
      <c r="CD170" s="15">
        <v>2026</v>
      </c>
      <c r="CE170" s="15">
        <v>2027</v>
      </c>
      <c r="CF170" s="15">
        <v>2028</v>
      </c>
      <c r="CG170" s="15">
        <v>2029</v>
      </c>
      <c r="CH170" s="16">
        <v>2030</v>
      </c>
    </row>
    <row r="171" spans="1:105">
      <c r="A171" s="17" t="s">
        <v>273</v>
      </c>
      <c r="B171" s="8"/>
      <c r="C171" s="8"/>
      <c r="D171" s="8"/>
      <c r="E171" s="8"/>
      <c r="F171" s="8"/>
      <c r="G171" s="13">
        <f t="shared" ref="G171:X171" si="523">G123/0.09</f>
        <v>10.409303421417965</v>
      </c>
      <c r="H171" s="13">
        <f t="shared" si="523"/>
        <v>33.5464018369304</v>
      </c>
      <c r="I171" s="13">
        <f t="shared" si="523"/>
        <v>43.519851981300285</v>
      </c>
      <c r="J171" s="13">
        <f t="shared" si="523"/>
        <v>67.745532953610265</v>
      </c>
      <c r="K171" s="13">
        <f t="shared" si="523"/>
        <v>116.36104397427418</v>
      </c>
      <c r="L171" s="13">
        <f t="shared" si="523"/>
        <v>150.00645361119572</v>
      </c>
      <c r="M171" s="13">
        <f t="shared" si="523"/>
        <v>182.52656881013186</v>
      </c>
      <c r="N171" s="13">
        <f t="shared" si="523"/>
        <v>323.15234454106684</v>
      </c>
      <c r="O171" s="13">
        <f t="shared" si="523"/>
        <v>261.37852713920205</v>
      </c>
      <c r="P171" s="13">
        <f t="shared" si="523"/>
        <v>160.19882485110429</v>
      </c>
      <c r="Q171" s="13">
        <f t="shared" si="523"/>
        <v>206.89403427703161</v>
      </c>
      <c r="R171" s="13">
        <f t="shared" si="523"/>
        <v>195.45377198058668</v>
      </c>
      <c r="S171" s="13">
        <f t="shared" si="523"/>
        <v>196.22810190496142</v>
      </c>
      <c r="T171" s="13">
        <f t="shared" si="523"/>
        <v>195.46626204532234</v>
      </c>
      <c r="U171" s="13">
        <f t="shared" si="523"/>
        <v>207.23246855546688</v>
      </c>
      <c r="V171" s="13">
        <f t="shared" si="523"/>
        <v>222.49370694241208</v>
      </c>
      <c r="W171" s="13">
        <f t="shared" si="523"/>
        <v>200.96695793892991</v>
      </c>
      <c r="X171" s="13">
        <f t="shared" si="523"/>
        <v>232.83333333333331</v>
      </c>
      <c r="Y171" s="13">
        <f t="shared" ref="Y171:Z171" si="524">Y123/0.09</f>
        <v>144.71111111111111</v>
      </c>
      <c r="Z171" s="13">
        <f t="shared" si="524"/>
        <v>170.76662950814202</v>
      </c>
      <c r="AA171" s="13">
        <f t="shared" ref="AA171:AB171" si="525">AA123/0.09</f>
        <v>193.63384076783191</v>
      </c>
      <c r="AB171" s="13">
        <f t="shared" si="525"/>
        <v>201.57729133924806</v>
      </c>
      <c r="AC171" s="13">
        <f t="shared" ref="AC171" si="526">AC123/0.09</f>
        <v>207.48472189221158</v>
      </c>
      <c r="AD171" s="13">
        <f t="shared" ref="AD171:AE171" si="527">AD123/0.09</f>
        <v>217.50811414512975</v>
      </c>
      <c r="AE171" s="13">
        <f t="shared" si="527"/>
        <v>226.44688921734135</v>
      </c>
      <c r="AF171" s="13">
        <f t="shared" ref="AF171:AG171" si="528">AF123/0.09</f>
        <v>235.61615831746363</v>
      </c>
      <c r="AG171" s="13">
        <f t="shared" si="528"/>
        <v>244.89091488976399</v>
      </c>
      <c r="AH171" s="19">
        <f t="shared" ref="AH171" si="529">AH123/0.09</f>
        <v>254.29713762300281</v>
      </c>
      <c r="BA171" s="6"/>
      <c r="CH171" s="116"/>
    </row>
    <row r="172" spans="1:105">
      <c r="A172" s="33" t="s">
        <v>363</v>
      </c>
      <c r="B172" s="34"/>
      <c r="C172" s="34"/>
      <c r="D172" s="34"/>
      <c r="E172" s="34"/>
      <c r="F172" s="34"/>
      <c r="G172" s="34">
        <f>SUM(G168:G171)</f>
        <v>1117.2434545487042</v>
      </c>
      <c r="H172" s="34">
        <f t="shared" ref="H172:P172" si="530">SUM(H168:H171)</f>
        <v>2445.1762908967567</v>
      </c>
      <c r="I172" s="34">
        <f t="shared" si="530"/>
        <v>4380.1080037989022</v>
      </c>
      <c r="J172" s="34">
        <f t="shared" si="530"/>
        <v>5360.5332811157341</v>
      </c>
      <c r="K172" s="34">
        <f t="shared" si="530"/>
        <v>6951.9225356246525</v>
      </c>
      <c r="L172" s="34">
        <f t="shared" si="530"/>
        <v>7413.653722421016</v>
      </c>
      <c r="M172" s="34">
        <f t="shared" si="530"/>
        <v>7538.744586255013</v>
      </c>
      <c r="N172" s="34">
        <f t="shared" si="530"/>
        <v>7465.7829023954109</v>
      </c>
      <c r="O172" s="34">
        <f t="shared" si="530"/>
        <v>7245.6164847081236</v>
      </c>
      <c r="P172" s="34">
        <f t="shared" si="530"/>
        <v>6237.1001766686377</v>
      </c>
      <c r="Q172" s="34">
        <f>SUM(Q168:Q171)</f>
        <v>5922.8154748712732</v>
      </c>
      <c r="R172" s="34">
        <f>SUM(R168:R171)</f>
        <v>5241.3061592733466</v>
      </c>
      <c r="S172" s="34">
        <f>SUM(S168:S171)</f>
        <v>4361.3608828545975</v>
      </c>
      <c r="T172" s="34">
        <f t="shared" ref="T172:V172" si="531">SUM(T168:T171)</f>
        <v>3914.2067701965616</v>
      </c>
      <c r="U172" s="34">
        <f t="shared" si="531"/>
        <v>3605.4825007607456</v>
      </c>
      <c r="V172" s="34">
        <f t="shared" si="531"/>
        <v>3476.7790819080219</v>
      </c>
      <c r="W172" s="34">
        <f t="shared" ref="W172:X172" si="532">SUM(W168:W171)</f>
        <v>3289.8269440561608</v>
      </c>
      <c r="X172" s="34">
        <f t="shared" si="532"/>
        <v>3102.8984005017051</v>
      </c>
      <c r="Y172" s="34">
        <f t="shared" ref="Y172:Z172" si="533">SUM(Y168:Y171)</f>
        <v>3005.6834349783708</v>
      </c>
      <c r="Z172" s="34">
        <f t="shared" si="533"/>
        <v>2920.9486438300196</v>
      </c>
      <c r="AA172" s="34">
        <f t="shared" ref="AA172:AB172" si="534">SUM(AA168:AA171)</f>
        <v>2884.8625626301509</v>
      </c>
      <c r="AB172" s="34">
        <f t="shared" si="534"/>
        <v>2543.3753399749748</v>
      </c>
      <c r="AC172" s="34">
        <f t="shared" ref="AC172" si="535">SUM(AC168:AC171)</f>
        <v>2313.9324182473447</v>
      </c>
      <c r="AD172" s="34">
        <f t="shared" ref="AD172:AE172" si="536">SUM(AD168:AD171)</f>
        <v>2119.8358997131427</v>
      </c>
      <c r="AE172" s="34">
        <f t="shared" si="536"/>
        <v>1854.8530852719016</v>
      </c>
      <c r="AF172" s="34">
        <f t="shared" ref="AF172:AG172" si="537">SUM(AF168:AF171)</f>
        <v>1580.3490687584704</v>
      </c>
      <c r="AG172" s="34">
        <f t="shared" si="537"/>
        <v>1268.36064549959</v>
      </c>
      <c r="AH172" s="35">
        <f t="shared" ref="AH172" si="538">SUM(AH168:AH171)</f>
        <v>1025.6171360441635</v>
      </c>
      <c r="BA172" s="6" t="s">
        <v>438</v>
      </c>
      <c r="BQ172" s="99">
        <v>398</v>
      </c>
      <c r="BR172" s="99">
        <v>296</v>
      </c>
      <c r="BS172" s="99">
        <v>278</v>
      </c>
      <c r="CH172" s="116"/>
    </row>
    <row r="173" spans="1:105">
      <c r="A173" s="17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18"/>
      <c r="BA173" s="6" t="s">
        <v>439</v>
      </c>
      <c r="BQ173" s="99">
        <v>144</v>
      </c>
      <c r="BR173" s="99">
        <v>107</v>
      </c>
      <c r="BS173" s="99">
        <v>104</v>
      </c>
      <c r="CH173" s="116"/>
    </row>
    <row r="174" spans="1:105">
      <c r="A174" s="17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18"/>
      <c r="BA174" s="6" t="s">
        <v>397</v>
      </c>
      <c r="BQ174" s="99">
        <v>1</v>
      </c>
      <c r="BR174" s="99">
        <v>1</v>
      </c>
      <c r="BS174" s="99">
        <v>1</v>
      </c>
      <c r="CH174" s="116"/>
    </row>
    <row r="175" spans="1:105">
      <c r="A175" s="17" t="s">
        <v>184</v>
      </c>
      <c r="B175" s="8"/>
      <c r="C175" s="8"/>
      <c r="D175" s="8"/>
      <c r="E175" s="8"/>
      <c r="F175" s="8"/>
      <c r="G175" s="13">
        <f>G160+G168</f>
        <v>717.59905133928567</v>
      </c>
      <c r="H175" s="13">
        <f t="shared" ref="H175:P175" si="539">H160+H168</f>
        <v>850.74362772254483</v>
      </c>
      <c r="I175" s="13">
        <f t="shared" si="539"/>
        <v>1140.5995225693437</v>
      </c>
      <c r="J175" s="13">
        <f t="shared" si="539"/>
        <v>1322.1176579978323</v>
      </c>
      <c r="K175" s="13">
        <f t="shared" si="539"/>
        <v>1597.3261991983686</v>
      </c>
      <c r="L175" s="13">
        <f t="shared" si="539"/>
        <v>1700.8340135040385</v>
      </c>
      <c r="M175" s="13">
        <f t="shared" si="539"/>
        <v>1779.0571622189846</v>
      </c>
      <c r="N175" s="13">
        <f t="shared" si="539"/>
        <v>1927.7518508671428</v>
      </c>
      <c r="O175" s="13">
        <f t="shared" si="539"/>
        <v>1659.5225836446361</v>
      </c>
      <c r="P175" s="13">
        <f t="shared" si="539"/>
        <v>1766.4543964176291</v>
      </c>
      <c r="Q175" s="13">
        <f t="shared" ref="Q175:S178" si="540">Q160+Q168</f>
        <v>1905.3327591029131</v>
      </c>
      <c r="R175" s="13">
        <f t="shared" si="540"/>
        <v>2538.3670828741406</v>
      </c>
      <c r="S175" s="13">
        <f t="shared" si="540"/>
        <v>4156.7043278178571</v>
      </c>
      <c r="T175" s="13">
        <f t="shared" ref="T175:V175" si="541">T160+T168</f>
        <v>5618.6903533331924</v>
      </c>
      <c r="U175" s="13">
        <f t="shared" si="541"/>
        <v>7541.1960462988645</v>
      </c>
      <c r="V175" s="13">
        <f t="shared" si="541"/>
        <v>8881.4246274396664</v>
      </c>
      <c r="W175" s="13">
        <f t="shared" ref="W175:X175" si="542">W160+W168</f>
        <v>9550.9373430843116</v>
      </c>
      <c r="X175" s="13">
        <f t="shared" si="542"/>
        <v>12295.29661063708</v>
      </c>
      <c r="Y175" s="13">
        <f t="shared" ref="Y175:Z175" si="543">Y160+Y168</f>
        <v>17506.735698217268</v>
      </c>
      <c r="Z175" s="13">
        <f t="shared" si="543"/>
        <v>16364.945486634337</v>
      </c>
      <c r="AA175" s="13">
        <f t="shared" ref="AA175:AB175" si="544">AA160+AA168</f>
        <v>18208.791189074982</v>
      </c>
      <c r="AB175" s="13">
        <f t="shared" si="544"/>
        <v>19629.186152020593</v>
      </c>
      <c r="AC175" s="13">
        <f t="shared" ref="AC175" si="545">AC160+AC168</f>
        <v>21881.86928955017</v>
      </c>
      <c r="AD175" s="13">
        <f t="shared" ref="AD175:AE175" si="546">AD160+AD168</f>
        <v>23580.181745555044</v>
      </c>
      <c r="AE175" s="13">
        <f t="shared" si="546"/>
        <v>25316.533277111666</v>
      </c>
      <c r="AF175" s="13">
        <f t="shared" ref="AF175:AG175" si="547">AF160+AF168</f>
        <v>27123.247920699821</v>
      </c>
      <c r="AG175" s="13">
        <f t="shared" si="547"/>
        <v>28987.996823775404</v>
      </c>
      <c r="AH175" s="19">
        <f t="shared" ref="AH175" si="548">AH160+AH168</f>
        <v>30769.580188351221</v>
      </c>
      <c r="BA175" s="6" t="s">
        <v>284</v>
      </c>
      <c r="BQ175" s="99">
        <v>1</v>
      </c>
      <c r="BR175" s="99">
        <v>1</v>
      </c>
      <c r="BS175" s="99">
        <v>1</v>
      </c>
      <c r="CH175" s="116"/>
    </row>
    <row r="176" spans="1:105">
      <c r="A176" s="17" t="s">
        <v>185</v>
      </c>
      <c r="B176" s="8"/>
      <c r="C176" s="8"/>
      <c r="D176" s="8"/>
      <c r="E176" s="8"/>
      <c r="F176" s="8"/>
      <c r="G176" s="13">
        <f t="shared" ref="G176:P178" si="549">G161+G169</f>
        <v>315.10402278793237</v>
      </c>
      <c r="H176" s="13">
        <f t="shared" si="549"/>
        <v>519.67602457146177</v>
      </c>
      <c r="I176" s="13">
        <f t="shared" si="549"/>
        <v>769.7475337294901</v>
      </c>
      <c r="J176" s="13">
        <f t="shared" si="549"/>
        <v>1069.5598958132471</v>
      </c>
      <c r="K176" s="13">
        <f t="shared" si="549"/>
        <v>2625.8968115774328</v>
      </c>
      <c r="L176" s="13">
        <f t="shared" si="549"/>
        <v>3684.1121254467521</v>
      </c>
      <c r="M176" s="13">
        <f t="shared" si="549"/>
        <v>4670.043839909993</v>
      </c>
      <c r="N176" s="13">
        <f>N161+N169</f>
        <v>5239.2823472145228</v>
      </c>
      <c r="O176" s="13">
        <f t="shared" si="549"/>
        <v>7193.6972717337785</v>
      </c>
      <c r="P176" s="13">
        <f>P161+P169</f>
        <v>10471.544738434746</v>
      </c>
      <c r="Q176" s="13">
        <f t="shared" si="540"/>
        <v>12560.034046711891</v>
      </c>
      <c r="R176" s="13">
        <f t="shared" si="540"/>
        <v>12066.399527380425</v>
      </c>
      <c r="S176" s="13">
        <f t="shared" si="540"/>
        <v>13413.762011217146</v>
      </c>
      <c r="T176" s="13">
        <f t="shared" ref="T176:V176" si="550">T161+T169</f>
        <v>13056.52</v>
      </c>
      <c r="U176" s="13">
        <f t="shared" si="550"/>
        <v>18676.499795641994</v>
      </c>
      <c r="V176" s="13">
        <f t="shared" si="550"/>
        <v>21956.715609868457</v>
      </c>
      <c r="W176" s="13">
        <f t="shared" ref="W176:X176" si="551">W161+W169</f>
        <v>25385.497441643089</v>
      </c>
      <c r="X176" s="13">
        <f t="shared" si="551"/>
        <v>36152.531382237008</v>
      </c>
      <c r="Y176" s="13">
        <f t="shared" ref="Y176:Z176" si="552">Y161+Y169</f>
        <v>51902.284990324355</v>
      </c>
      <c r="Z176" s="13">
        <f t="shared" si="552"/>
        <v>58217.232661629307</v>
      </c>
      <c r="AA176" s="13">
        <f t="shared" ref="AA176:AB176" si="553">AA161+AA169</f>
        <v>68110.51221381723</v>
      </c>
      <c r="AB176" s="13">
        <f t="shared" si="553"/>
        <v>79744.537871345441</v>
      </c>
      <c r="AC176" s="13">
        <f t="shared" ref="AC176" si="554">AC161+AC169</f>
        <v>89563.443186043121</v>
      </c>
      <c r="AD176" s="13">
        <f t="shared" ref="AD176:AE176" si="555">AD161+AD169</f>
        <v>99280.739534381311</v>
      </c>
      <c r="AE176" s="13">
        <f t="shared" si="555"/>
        <v>108907.25835077572</v>
      </c>
      <c r="AF176" s="13">
        <f t="shared" ref="AF176:AG176" si="556">AF161+AF169</f>
        <v>118801.60886914533</v>
      </c>
      <c r="AG176" s="13">
        <f t="shared" si="556"/>
        <v>128815.53727380342</v>
      </c>
      <c r="AH176" s="19">
        <f t="shared" ref="AH176" si="557">AH161+AH169</f>
        <v>138928.95813615035</v>
      </c>
      <c r="BA176" s="6" t="s">
        <v>318</v>
      </c>
      <c r="BQ176" s="99">
        <v>222</v>
      </c>
      <c r="BR176" s="99">
        <v>222</v>
      </c>
      <c r="BS176" s="99">
        <v>208</v>
      </c>
      <c r="CH176" s="116"/>
    </row>
    <row r="177" spans="1:86">
      <c r="A177" s="17" t="s">
        <v>223</v>
      </c>
      <c r="B177" s="8"/>
      <c r="C177" s="8"/>
      <c r="D177" s="8"/>
      <c r="E177" s="8"/>
      <c r="F177" s="8"/>
      <c r="G177" s="13">
        <f t="shared" si="549"/>
        <v>74.13107700006826</v>
      </c>
      <c r="H177" s="13">
        <f t="shared" si="549"/>
        <v>1041.2102367658197</v>
      </c>
      <c r="I177" s="13">
        <f t="shared" si="549"/>
        <v>2426.2410955187684</v>
      </c>
      <c r="J177" s="13">
        <f t="shared" si="549"/>
        <v>2901.1101943510434</v>
      </c>
      <c r="K177" s="13">
        <f t="shared" si="549"/>
        <v>2946.2180396958488</v>
      </c>
      <c r="L177" s="13">
        <f t="shared" si="549"/>
        <v>3293.9310128590296</v>
      </c>
      <c r="M177" s="13">
        <f t="shared" si="549"/>
        <v>4592.028537315904</v>
      </c>
      <c r="N177" s="13">
        <f t="shared" si="549"/>
        <v>4576.2864237726799</v>
      </c>
      <c r="O177" s="13">
        <f t="shared" si="549"/>
        <v>7744.7912011905082</v>
      </c>
      <c r="P177" s="13">
        <f t="shared" si="549"/>
        <v>9125.3539594676931</v>
      </c>
      <c r="Q177" s="13">
        <f t="shared" si="540"/>
        <v>5867.5546347794361</v>
      </c>
      <c r="R177" s="13">
        <f t="shared" si="540"/>
        <v>4678.0857770381954</v>
      </c>
      <c r="S177" s="13">
        <f t="shared" si="540"/>
        <v>5884.8669503826786</v>
      </c>
      <c r="T177" s="13">
        <f t="shared" ref="T177:V177" si="558">T162+T170</f>
        <v>6182.5301548180469</v>
      </c>
      <c r="U177" s="13">
        <f t="shared" si="558"/>
        <v>3860.5541902644218</v>
      </c>
      <c r="V177" s="13">
        <f t="shared" si="558"/>
        <v>3558.1451376574869</v>
      </c>
      <c r="W177" s="13">
        <f t="shared" ref="W177:X177" si="559">W162+W170</f>
        <v>3335.9501111098289</v>
      </c>
      <c r="X177" s="13">
        <f t="shared" si="559"/>
        <v>4778.7464356647279</v>
      </c>
      <c r="Y177" s="13">
        <f t="shared" ref="Y177:Z177" si="560">Y162+Y170</f>
        <v>2978.2165477014987</v>
      </c>
      <c r="Z177" s="13">
        <f t="shared" si="560"/>
        <v>4180.9015957747188</v>
      </c>
      <c r="AA177" s="13">
        <f t="shared" ref="AA177:AB177" si="561">AA162+AA170</f>
        <v>4203.2018268940792</v>
      </c>
      <c r="AB177" s="13">
        <f t="shared" si="561"/>
        <v>4055.3369948136037</v>
      </c>
      <c r="AC177" s="13">
        <f t="shared" ref="AC177" si="562">AC162+AC170</f>
        <v>4090.184007795322</v>
      </c>
      <c r="AD177" s="13">
        <f t="shared" ref="AD177:AE177" si="563">AD162+AD170</f>
        <v>4094.4722811102893</v>
      </c>
      <c r="AE177" s="13">
        <f t="shared" si="563"/>
        <v>4120.9125363333897</v>
      </c>
      <c r="AF177" s="13">
        <f t="shared" ref="AF177:AG177" si="564">AF162+AF170</f>
        <v>4176.8592897955295</v>
      </c>
      <c r="AG177" s="13">
        <f t="shared" si="564"/>
        <v>4251.4769859223843</v>
      </c>
      <c r="AH177" s="19">
        <f t="shared" ref="AH177" si="565">AH162+AH170</f>
        <v>4339.8132670389705</v>
      </c>
      <c r="BA177" s="6" t="s">
        <v>398</v>
      </c>
      <c r="BQ177" s="99">
        <v>13</v>
      </c>
      <c r="BR177" s="99">
        <v>13</v>
      </c>
      <c r="BS177" s="99">
        <v>13</v>
      </c>
      <c r="CH177" s="116"/>
    </row>
    <row r="178" spans="1:86">
      <c r="A178" s="17" t="s">
        <v>142</v>
      </c>
      <c r="B178" s="8"/>
      <c r="C178" s="8"/>
      <c r="D178" s="8"/>
      <c r="E178" s="8"/>
      <c r="F178" s="8"/>
      <c r="G178" s="13">
        <f t="shared" si="549"/>
        <v>10.409303421417965</v>
      </c>
      <c r="H178" s="13">
        <f t="shared" si="549"/>
        <v>33.5464018369304</v>
      </c>
      <c r="I178" s="13">
        <f t="shared" si="549"/>
        <v>43.519851981300285</v>
      </c>
      <c r="J178" s="13">
        <f t="shared" si="549"/>
        <v>67.745532953610265</v>
      </c>
      <c r="K178" s="13">
        <f t="shared" si="549"/>
        <v>116.36104397427418</v>
      </c>
      <c r="L178" s="13">
        <f t="shared" si="549"/>
        <v>150.00645361119572</v>
      </c>
      <c r="M178" s="13">
        <f t="shared" si="549"/>
        <v>182.60276281013185</v>
      </c>
      <c r="N178" s="13">
        <f t="shared" si="549"/>
        <v>469.29337754106683</v>
      </c>
      <c r="O178" s="13">
        <f t="shared" si="549"/>
        <v>444.88577213920206</v>
      </c>
      <c r="P178" s="13">
        <f t="shared" si="549"/>
        <v>306.19882485110429</v>
      </c>
      <c r="Q178" s="13">
        <f t="shared" si="540"/>
        <v>316.7940342770317</v>
      </c>
      <c r="R178" s="13">
        <f t="shared" si="540"/>
        <v>292.45377198058668</v>
      </c>
      <c r="S178" s="13">
        <f t="shared" si="540"/>
        <v>287.22810190496142</v>
      </c>
      <c r="T178" s="13">
        <f t="shared" ref="T178:V178" si="566">T163+T171</f>
        <v>295.46626204532231</v>
      </c>
      <c r="U178" s="13">
        <f t="shared" si="566"/>
        <v>323.23246855546688</v>
      </c>
      <c r="V178" s="13">
        <f t="shared" si="566"/>
        <v>350.49370694241208</v>
      </c>
      <c r="W178" s="13">
        <f t="shared" ref="W178:X178" si="567">W163+W171</f>
        <v>374.22390600205762</v>
      </c>
      <c r="X178" s="13">
        <f t="shared" si="567"/>
        <v>405.76480151558292</v>
      </c>
      <c r="Y178" s="13">
        <f t="shared" ref="Y178:Z178" si="568">Y163+Y171</f>
        <v>450.36339353750986</v>
      </c>
      <c r="Z178" s="13">
        <f t="shared" si="568"/>
        <v>451.2852552757173</v>
      </c>
      <c r="AA178" s="13">
        <f t="shared" ref="AA178:AB178" si="569">AA163+AA171</f>
        <v>486.52826464157647</v>
      </c>
      <c r="AB178" s="13">
        <f t="shared" si="569"/>
        <v>510.16366645546043</v>
      </c>
      <c r="AC178" s="13">
        <f t="shared" ref="AC178" si="570">AC163+AC171</f>
        <v>511.29992808494808</v>
      </c>
      <c r="AD178" s="13">
        <f t="shared" ref="AD178:AE178" si="571">AD163+AD171</f>
        <v>552.72762634025162</v>
      </c>
      <c r="AE178" s="13">
        <f t="shared" si="571"/>
        <v>593.24401977688228</v>
      </c>
      <c r="AF178" s="13">
        <f t="shared" ref="AF178:AG178" si="572">AF163+AF171</f>
        <v>635.09736348245644</v>
      </c>
      <c r="AG178" s="13">
        <f t="shared" si="572"/>
        <v>677.78618031300653</v>
      </c>
      <c r="AH178" s="19">
        <f t="shared" ref="AH178" si="573">AH163+AH171</f>
        <v>721.17116918684792</v>
      </c>
      <c r="BA178" s="71" t="s">
        <v>266</v>
      </c>
      <c r="BB178" s="73"/>
      <c r="BC178" s="73"/>
      <c r="BD178" s="73"/>
      <c r="BE178" s="73"/>
      <c r="BF178" s="73"/>
      <c r="BG178" s="73"/>
      <c r="BH178" s="73"/>
      <c r="BI178" s="73"/>
      <c r="BJ178" s="73"/>
      <c r="BK178" s="73"/>
      <c r="BL178" s="73"/>
      <c r="BM178" s="73"/>
      <c r="BN178" s="73"/>
      <c r="BO178" s="73"/>
      <c r="BP178" s="73"/>
      <c r="BQ178" s="594">
        <f>SUM(BQ172:BQ177)</f>
        <v>779</v>
      </c>
      <c r="BR178" s="594">
        <f>SUM(BR172:BR177)</f>
        <v>640</v>
      </c>
      <c r="BS178" s="594">
        <f>SUM(BS172:BS177)</f>
        <v>605</v>
      </c>
      <c r="BT178" s="73"/>
      <c r="BU178" s="73"/>
      <c r="BV178" s="73"/>
      <c r="BW178" s="73"/>
      <c r="BX178" s="73"/>
      <c r="BY178" s="73"/>
      <c r="BZ178" s="73"/>
      <c r="CA178" s="73"/>
      <c r="CB178" s="73"/>
      <c r="CC178" s="73"/>
      <c r="CD178" s="73"/>
      <c r="CE178" s="73"/>
      <c r="CF178" s="73"/>
      <c r="CG178" s="73"/>
      <c r="CH178" s="74"/>
    </row>
    <row r="179" spans="1:86">
      <c r="A179" s="17" t="s">
        <v>278</v>
      </c>
      <c r="B179" s="8"/>
      <c r="C179" s="8"/>
      <c r="D179" s="8"/>
      <c r="E179" s="8"/>
      <c r="F179" s="8"/>
      <c r="G179" s="618"/>
      <c r="H179" s="618"/>
      <c r="I179" s="618"/>
      <c r="J179" s="618"/>
      <c r="K179" s="618"/>
      <c r="L179" s="13">
        <f t="shared" ref="L179:P179" si="574">L164</f>
        <v>0</v>
      </c>
      <c r="M179" s="13">
        <f t="shared" si="574"/>
        <v>5.7087712893541465</v>
      </c>
      <c r="N179" s="13">
        <f t="shared" si="574"/>
        <v>16.449715901694365</v>
      </c>
      <c r="O179" s="13">
        <f t="shared" si="574"/>
        <v>12.528500340209531</v>
      </c>
      <c r="P179" s="13">
        <f t="shared" si="574"/>
        <v>34</v>
      </c>
      <c r="Q179" s="13">
        <f>Q164</f>
        <v>40.100000000000591</v>
      </c>
      <c r="R179" s="13">
        <f>R164</f>
        <v>51</v>
      </c>
      <c r="S179" s="13">
        <f>S164</f>
        <v>63</v>
      </c>
      <c r="T179" s="13">
        <f t="shared" ref="T179:V179" si="575">T164</f>
        <v>92</v>
      </c>
      <c r="U179" s="13">
        <f t="shared" si="575"/>
        <v>136.27999999999997</v>
      </c>
      <c r="V179" s="13">
        <f t="shared" si="575"/>
        <v>169.01999999999998</v>
      </c>
      <c r="W179" s="13">
        <f t="shared" ref="W179:X179" si="576">W164</f>
        <v>199.04999999999998</v>
      </c>
      <c r="X179" s="13">
        <f t="shared" si="576"/>
        <v>263.11</v>
      </c>
      <c r="Y179" s="13">
        <f t="shared" ref="Y179:Z179" si="577">Y164</f>
        <v>353.77</v>
      </c>
      <c r="Z179" s="13">
        <f t="shared" si="577"/>
        <v>426.71</v>
      </c>
      <c r="AA179" s="13">
        <f t="shared" ref="AA179:AB179" si="578">AA164</f>
        <v>394.54334671252366</v>
      </c>
      <c r="AB179" s="13">
        <f t="shared" si="578"/>
        <v>438.62037229035445</v>
      </c>
      <c r="AC179" s="13">
        <f t="shared" ref="AC179" si="579">AC164</f>
        <v>516.86128157116889</v>
      </c>
      <c r="AD179" s="13">
        <f t="shared" ref="AD179:AE179" si="580">AD164</f>
        <v>560.13057827996818</v>
      </c>
      <c r="AE179" s="13">
        <f t="shared" si="580"/>
        <v>635.45811134483347</v>
      </c>
      <c r="AF179" s="13">
        <f t="shared" ref="AF179:AG179" si="581">AF164</f>
        <v>728.51789374426812</v>
      </c>
      <c r="AG179" s="13">
        <f t="shared" si="581"/>
        <v>824.6892337920815</v>
      </c>
      <c r="AH179" s="19">
        <f t="shared" ref="AH179" si="582">AH164</f>
        <v>948.28168598398975</v>
      </c>
      <c r="BA179" s="600" t="s">
        <v>419</v>
      </c>
      <c r="BB179" s="601"/>
      <c r="BC179" s="601"/>
      <c r="BD179" s="601"/>
      <c r="BE179" s="601"/>
      <c r="BF179" s="601"/>
      <c r="BG179" s="601"/>
      <c r="BH179" s="601"/>
      <c r="BI179" s="601"/>
      <c r="BJ179" s="601"/>
      <c r="BK179" s="601"/>
      <c r="BL179" s="601"/>
      <c r="BM179" s="601"/>
      <c r="BN179" s="601"/>
      <c r="BO179" s="601"/>
      <c r="BP179" s="601"/>
      <c r="BQ179" s="601">
        <f>Q139/BQ178</f>
        <v>22.863807183421496</v>
      </c>
      <c r="BR179" s="601">
        <f>R139/BR178</f>
        <v>27.308057188292242</v>
      </c>
      <c r="BS179" s="601">
        <f>S139/BS178</f>
        <v>29.161453931487006</v>
      </c>
      <c r="BT179" s="601"/>
      <c r="BU179" s="601"/>
      <c r="BV179" s="601"/>
      <c r="BW179" s="601"/>
      <c r="BX179" s="601"/>
      <c r="BY179" s="601"/>
      <c r="BZ179" s="601"/>
      <c r="CA179" s="601"/>
      <c r="CB179" s="601"/>
      <c r="CC179" s="601"/>
      <c r="CD179" s="601"/>
      <c r="CE179" s="601"/>
      <c r="CF179" s="601"/>
      <c r="CG179" s="601"/>
      <c r="CH179" s="602"/>
    </row>
    <row r="180" spans="1:86" ht="16" thickBot="1">
      <c r="A180" s="33" t="s">
        <v>364</v>
      </c>
      <c r="B180" s="34"/>
      <c r="C180" s="34"/>
      <c r="D180" s="34"/>
      <c r="E180" s="34"/>
      <c r="F180" s="34"/>
      <c r="G180" s="34">
        <f>SUM(G175:G179)</f>
        <v>1117.2434545487042</v>
      </c>
      <c r="H180" s="34">
        <f t="shared" ref="H180:P180" si="583">SUM(H175:H179)</f>
        <v>2445.1762908967567</v>
      </c>
      <c r="I180" s="34">
        <f t="shared" si="583"/>
        <v>4380.1080037989022</v>
      </c>
      <c r="J180" s="34">
        <f t="shared" si="583"/>
        <v>5360.5332811157341</v>
      </c>
      <c r="K180" s="34">
        <f t="shared" si="583"/>
        <v>7285.8020944459249</v>
      </c>
      <c r="L180" s="34">
        <f t="shared" si="583"/>
        <v>8828.8836054210151</v>
      </c>
      <c r="M180" s="34">
        <f t="shared" si="583"/>
        <v>11229.441073544367</v>
      </c>
      <c r="N180" s="34">
        <f t="shared" si="583"/>
        <v>12229.063715297107</v>
      </c>
      <c r="O180" s="34">
        <f t="shared" si="583"/>
        <v>17055.425329048336</v>
      </c>
      <c r="P180" s="34">
        <f t="shared" si="583"/>
        <v>21703.551919171172</v>
      </c>
      <c r="Q180" s="34">
        <f>SUM(Q175:Q179)</f>
        <v>20689.815474871273</v>
      </c>
      <c r="R180" s="34">
        <f>SUM(R175:R179)</f>
        <v>19626.30615927335</v>
      </c>
      <c r="S180" s="34">
        <f>SUM(S175:S179)</f>
        <v>23805.561391322644</v>
      </c>
      <c r="T180" s="34">
        <f t="shared" ref="T180:V180" si="584">SUM(T175:T179)</f>
        <v>25245.206770196564</v>
      </c>
      <c r="U180" s="34">
        <f t="shared" si="584"/>
        <v>30537.762500760746</v>
      </c>
      <c r="V180" s="34">
        <f t="shared" si="584"/>
        <v>34915.799081908015</v>
      </c>
      <c r="W180" s="34">
        <f t="shared" ref="W180:X180" si="585">SUM(W175:W179)</f>
        <v>38845.658801839294</v>
      </c>
      <c r="X180" s="34">
        <f t="shared" si="585"/>
        <v>53895.449230054401</v>
      </c>
      <c r="Y180" s="34">
        <f t="shared" ref="Y180:Z180" si="586">SUM(Y175:Y179)</f>
        <v>73191.370629780635</v>
      </c>
      <c r="Z180" s="34">
        <f t="shared" si="586"/>
        <v>79641.074999314078</v>
      </c>
      <c r="AA180" s="34">
        <f t="shared" ref="AA180:AB180" si="587">SUM(AA175:AA179)</f>
        <v>91403.576841140384</v>
      </c>
      <c r="AB180" s="34">
        <f t="shared" si="587"/>
        <v>104377.84505692545</v>
      </c>
      <c r="AC180" s="34">
        <f t="shared" ref="AC180" si="588">SUM(AC175:AC179)</f>
        <v>116563.65769304473</v>
      </c>
      <c r="AD180" s="34">
        <f t="shared" ref="AD180:AE180" si="589">SUM(AD175:AD179)</f>
        <v>128068.25176566685</v>
      </c>
      <c r="AE180" s="34">
        <f t="shared" si="589"/>
        <v>139573.40629534252</v>
      </c>
      <c r="AF180" s="34">
        <f t="shared" ref="AF180:AG180" si="590">SUM(AF175:AF179)</f>
        <v>151465.33133686741</v>
      </c>
      <c r="AG180" s="34">
        <f t="shared" si="590"/>
        <v>163557.48649760627</v>
      </c>
      <c r="AH180" s="35">
        <f t="shared" ref="AH180" si="591">SUM(AH175:AH179)</f>
        <v>175707.80444671138</v>
      </c>
      <c r="BA180" s="481"/>
      <c r="BB180" s="218"/>
      <c r="BC180" s="218"/>
      <c r="BD180" s="218"/>
      <c r="BE180" s="218"/>
      <c r="BF180" s="218"/>
      <c r="BG180" s="218"/>
      <c r="BH180" s="218"/>
      <c r="BI180" s="218"/>
      <c r="BJ180" s="218"/>
      <c r="BK180" s="218"/>
      <c r="BL180" s="218"/>
      <c r="BM180" s="218"/>
      <c r="BN180" s="218"/>
      <c r="BO180" s="218"/>
      <c r="BP180" s="218"/>
      <c r="BQ180" s="218"/>
      <c r="BR180" s="218"/>
      <c r="BS180" s="218"/>
      <c r="BT180" s="218"/>
      <c r="BU180" s="218"/>
      <c r="BV180" s="218"/>
      <c r="BW180" s="218"/>
      <c r="BX180" s="218"/>
      <c r="BY180" s="218"/>
      <c r="BZ180" s="218"/>
      <c r="CA180" s="218"/>
      <c r="CB180" s="218"/>
      <c r="CC180" s="218"/>
      <c r="CD180" s="218"/>
      <c r="CE180" s="218"/>
      <c r="CF180" s="218"/>
      <c r="CG180" s="218"/>
      <c r="CH180" s="220"/>
    </row>
    <row r="181" spans="1:86" ht="16" thickBot="1">
      <c r="A181" s="643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644"/>
    </row>
    <row r="182" spans="1:86" ht="16" thickBot="1"/>
    <row r="183" spans="1:86">
      <c r="A183" s="62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BA183" s="62"/>
      <c r="BB183" s="63"/>
      <c r="BC183" s="63"/>
      <c r="BD183" s="63"/>
      <c r="BE183" s="63"/>
      <c r="BF183" s="63"/>
      <c r="BG183" s="63"/>
      <c r="BH183" s="63"/>
      <c r="BI183" s="63"/>
      <c r="BJ183" s="63"/>
      <c r="BK183" s="63"/>
      <c r="BL183" s="63"/>
      <c r="BM183" s="63"/>
      <c r="BN183" s="63"/>
      <c r="BO183" s="63"/>
      <c r="BP183" s="63"/>
      <c r="BQ183" s="63"/>
      <c r="BR183" s="63"/>
      <c r="BS183" s="63"/>
      <c r="BT183" s="63"/>
      <c r="BU183" s="63"/>
      <c r="BV183" s="63"/>
      <c r="BW183" s="63"/>
      <c r="BX183" s="63"/>
      <c r="BY183" s="63"/>
      <c r="BZ183" s="63"/>
      <c r="CA183" s="63"/>
      <c r="CB183" s="63"/>
      <c r="CC183" s="63"/>
      <c r="CD183" s="63"/>
      <c r="CE183" s="63"/>
      <c r="CF183" s="63"/>
      <c r="CG183" s="63"/>
      <c r="CH183" s="63"/>
    </row>
    <row r="184" spans="1:86" ht="16" thickBot="1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BA184" s="64"/>
      <c r="BB184" s="64"/>
      <c r="BC184" s="64"/>
      <c r="BD184" s="64"/>
      <c r="BE184" s="64"/>
      <c r="BF184" s="64"/>
      <c r="BG184" s="64"/>
      <c r="BH184" s="64"/>
      <c r="BI184" s="64"/>
      <c r="BJ184" s="64"/>
      <c r="BK184" s="64"/>
      <c r="BL184" s="64"/>
      <c r="BM184" s="64"/>
      <c r="BN184" s="64"/>
      <c r="BO184" s="64"/>
      <c r="BP184" s="64"/>
      <c r="BQ184" s="64"/>
      <c r="BR184" s="64"/>
      <c r="BS184" s="64"/>
      <c r="BT184" s="64"/>
      <c r="BU184" s="64"/>
      <c r="BV184" s="64"/>
      <c r="BW184" s="64"/>
      <c r="BX184" s="64"/>
      <c r="BY184" s="64"/>
      <c r="BZ184" s="64"/>
      <c r="CA184" s="64"/>
      <c r="CB184" s="64"/>
      <c r="CC184" s="64"/>
      <c r="CD184" s="64"/>
      <c r="CE184" s="64"/>
      <c r="CF184" s="64"/>
      <c r="CG184" s="64"/>
      <c r="CH184" s="64"/>
    </row>
    <row r="188" spans="1:86">
      <c r="B188" s="361"/>
      <c r="C188" s="361"/>
      <c r="D188" s="361"/>
      <c r="E188" s="361"/>
      <c r="F188" s="361"/>
      <c r="G188" s="361"/>
      <c r="H188" s="361"/>
      <c r="I188" s="361"/>
      <c r="J188" s="361"/>
      <c r="K188" s="361"/>
      <c r="L188" s="361"/>
      <c r="M188" s="361"/>
      <c r="N188" s="361"/>
      <c r="O188" s="361"/>
      <c r="P188" s="361"/>
      <c r="Q188" s="361"/>
      <c r="R188" s="361"/>
      <c r="S188" s="361"/>
      <c r="T188" s="361"/>
      <c r="U188" s="361"/>
      <c r="V188" s="361"/>
      <c r="W188" s="361"/>
      <c r="X188" s="361"/>
      <c r="Y188" s="361"/>
      <c r="Z188" s="361"/>
      <c r="AA188" s="361"/>
      <c r="AB188" s="361"/>
      <c r="AC188" s="361"/>
      <c r="AD188" s="361"/>
      <c r="AE188" s="361"/>
      <c r="AF188" s="361"/>
      <c r="AG188" s="361"/>
      <c r="AH188" s="361"/>
    </row>
  </sheetData>
  <phoneticPr fontId="20" type="noConversion"/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BCB8C-3901-9E40-8E1A-CF0185989683}">
  <dimension ref="A2:HI378"/>
  <sheetViews>
    <sheetView zoomScale="80" zoomScaleNormal="80" workbookViewId="0">
      <pane xSplit="1" ySplit="12" topLeftCell="GJ13" activePane="bottomRight" state="frozen"/>
      <selection pane="topRight" activeCell="B1" sqref="B1"/>
      <selection pane="bottomLeft" activeCell="A13" sqref="A13"/>
      <selection pane="bottomRight" activeCell="GO4" sqref="GO4:GQ5"/>
    </sheetView>
  </sheetViews>
  <sheetFormatPr baseColWidth="10" defaultRowHeight="15"/>
  <cols>
    <col min="1" max="1" width="29.6640625" style="99" customWidth="1"/>
    <col min="2" max="54" width="10.83203125" style="99"/>
    <col min="55" max="55" width="10.83203125" style="99" customWidth="1"/>
    <col min="56" max="114" width="10.83203125" style="99"/>
    <col min="115" max="115" width="11.1640625" style="99" customWidth="1"/>
    <col min="116" max="139" width="10.83203125" style="99"/>
    <col min="140" max="140" width="11.1640625" style="99" bestFit="1" customWidth="1"/>
    <col min="141" max="151" width="10.83203125" style="99"/>
    <col min="152" max="152" width="11.1640625" style="99" bestFit="1" customWidth="1"/>
    <col min="153" max="169" width="10.83203125" style="99"/>
    <col min="170" max="170" width="12.33203125" style="99" bestFit="1" customWidth="1"/>
    <col min="171" max="171" width="10.83203125" style="99"/>
    <col min="172" max="172" width="12.33203125" style="99" bestFit="1" customWidth="1"/>
    <col min="173" max="179" width="10.83203125" style="99"/>
    <col min="180" max="181" width="10.83203125" style="99" customWidth="1"/>
    <col min="182" max="183" width="10.83203125" style="99"/>
    <col min="184" max="184" width="10.83203125" style="99" customWidth="1"/>
    <col min="185" max="185" width="10.83203125" style="99"/>
    <col min="186" max="186" width="14.5" style="99" bestFit="1" customWidth="1"/>
    <col min="187" max="198" width="10.83203125" style="99"/>
    <col min="199" max="199" width="10.83203125" style="99" customWidth="1"/>
    <col min="200" max="16384" width="10.83203125" style="99"/>
  </cols>
  <sheetData>
    <row r="2" spans="1:217" ht="19">
      <c r="A2" s="435" t="s">
        <v>148</v>
      </c>
      <c r="B2" s="685">
        <f>Annual!B5</f>
        <v>45818</v>
      </c>
    </row>
    <row r="3" spans="1:217" ht="19">
      <c r="A3" s="436"/>
    </row>
    <row r="4" spans="1:217" ht="19">
      <c r="A4" s="435" t="s">
        <v>467</v>
      </c>
      <c r="GO4" s="126"/>
      <c r="GQ4" s="445"/>
    </row>
    <row r="5" spans="1:217" ht="15" customHeight="1">
      <c r="A5" s="435"/>
      <c r="GO5" s="126"/>
      <c r="GP5" s="445"/>
    </row>
    <row r="6" spans="1:217" ht="16" thickBo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61"/>
      <c r="N6" s="61"/>
      <c r="O6" s="61"/>
      <c r="P6" s="504"/>
      <c r="Q6" s="504"/>
      <c r="R6" s="504"/>
      <c r="S6" s="504"/>
      <c r="T6" s="504"/>
      <c r="U6" s="504"/>
      <c r="V6" s="504"/>
      <c r="W6" s="504"/>
      <c r="X6" s="504"/>
      <c r="Y6" s="504"/>
      <c r="Z6" s="504"/>
      <c r="AA6" s="504"/>
      <c r="AB6" s="504"/>
      <c r="AC6" s="504"/>
      <c r="AD6" s="504"/>
      <c r="AE6" s="504"/>
      <c r="AF6" s="504"/>
      <c r="AG6" s="504"/>
      <c r="AH6" s="504"/>
      <c r="AI6" s="504"/>
      <c r="AJ6" s="504"/>
      <c r="AK6" s="504"/>
      <c r="AL6" s="504"/>
      <c r="AM6" s="504"/>
      <c r="AN6" s="504"/>
      <c r="AO6" s="504"/>
      <c r="AP6" s="504"/>
      <c r="AQ6" s="504"/>
      <c r="AR6" s="504"/>
      <c r="AS6" s="504"/>
      <c r="AT6" s="504"/>
      <c r="AU6" s="504"/>
      <c r="AV6" s="504"/>
      <c r="AW6" s="504"/>
      <c r="AX6" s="504"/>
      <c r="AY6" s="504"/>
      <c r="AZ6" s="504"/>
      <c r="BA6" s="504"/>
      <c r="BB6" s="504"/>
      <c r="BC6" s="504"/>
      <c r="BD6" s="504"/>
      <c r="BE6" s="504"/>
      <c r="BF6" s="504"/>
      <c r="BG6" s="504"/>
      <c r="BH6" s="504"/>
      <c r="BI6" s="504"/>
      <c r="BJ6" s="504"/>
      <c r="BK6" s="504"/>
      <c r="BL6" s="504"/>
      <c r="BM6" s="504"/>
      <c r="BN6" s="504"/>
      <c r="BO6" s="504"/>
      <c r="BP6" s="504"/>
      <c r="BQ6" s="504"/>
      <c r="BR6" s="504"/>
      <c r="BS6" s="504"/>
      <c r="BT6" s="504"/>
      <c r="BU6" s="504"/>
      <c r="BV6" s="504"/>
      <c r="BW6" s="504"/>
      <c r="BX6" s="504"/>
      <c r="BY6" s="504"/>
      <c r="BZ6" s="504"/>
      <c r="CA6" s="504"/>
      <c r="CB6" s="504"/>
      <c r="CC6" s="504"/>
      <c r="CD6" s="504"/>
      <c r="CE6" s="504"/>
      <c r="CF6" s="504"/>
      <c r="CG6" s="504"/>
      <c r="CH6" s="504"/>
      <c r="CI6" s="504"/>
      <c r="CJ6" s="504"/>
      <c r="CK6" s="504"/>
      <c r="CL6" s="504"/>
      <c r="CM6" s="504"/>
      <c r="CN6" s="504"/>
      <c r="CO6" s="504"/>
      <c r="CP6" s="504"/>
      <c r="CQ6" s="504"/>
      <c r="CR6" s="504"/>
      <c r="CS6" s="504"/>
      <c r="CT6" s="504"/>
      <c r="CU6" s="504"/>
      <c r="CV6" s="504"/>
      <c r="CW6" s="504"/>
      <c r="CX6" s="504"/>
      <c r="CY6" s="504"/>
      <c r="CZ6" s="504"/>
      <c r="DA6" s="504"/>
      <c r="DB6" s="504"/>
      <c r="DC6" s="504"/>
      <c r="DD6" s="504"/>
      <c r="DE6" s="504"/>
      <c r="DF6" s="504"/>
      <c r="DG6" s="504"/>
      <c r="DH6" s="504"/>
      <c r="DI6" s="504"/>
      <c r="DJ6" s="504"/>
      <c r="DK6" s="504"/>
      <c r="DL6" s="504"/>
      <c r="DM6" s="504"/>
      <c r="DN6" s="504"/>
      <c r="DO6" s="504"/>
      <c r="DP6" s="504"/>
      <c r="DQ6" s="504"/>
      <c r="DR6" s="504"/>
      <c r="DS6" s="504"/>
      <c r="DT6" s="504"/>
      <c r="DU6" s="504"/>
      <c r="DV6" s="504"/>
      <c r="DW6" s="504"/>
      <c r="DX6" s="504"/>
      <c r="DY6" s="504"/>
      <c r="DZ6" s="504"/>
      <c r="EA6" s="504"/>
      <c r="EB6" s="504"/>
      <c r="EC6" s="504"/>
      <c r="ED6" s="504"/>
      <c r="EE6" s="504"/>
      <c r="EF6" s="504"/>
      <c r="EG6" s="504"/>
      <c r="EH6" s="504"/>
      <c r="EI6" s="504"/>
      <c r="EJ6" s="504"/>
      <c r="EK6" s="504"/>
      <c r="EL6" s="504"/>
      <c r="EM6" s="504"/>
      <c r="EN6" s="504"/>
      <c r="EO6" s="504"/>
      <c r="EP6" s="504"/>
      <c r="EQ6" s="504"/>
      <c r="ER6" s="504"/>
      <c r="ES6" s="504"/>
      <c r="ET6" s="504"/>
      <c r="EU6" s="504"/>
      <c r="EV6" s="504"/>
      <c r="EW6" s="504"/>
      <c r="EX6" s="504"/>
      <c r="EY6" s="504"/>
      <c r="EZ6" s="504"/>
      <c r="FA6" s="504"/>
      <c r="FB6" s="504"/>
      <c r="FC6" s="504"/>
      <c r="FD6" s="504"/>
      <c r="FE6" s="504"/>
      <c r="FF6" s="504"/>
      <c r="FG6" s="504"/>
      <c r="FH6" s="504"/>
      <c r="FI6" s="504"/>
      <c r="FJ6" s="504"/>
      <c r="FK6" s="504"/>
      <c r="FL6" s="504"/>
      <c r="FM6" s="504"/>
      <c r="FN6" s="504"/>
      <c r="FO6" s="504"/>
      <c r="FP6" s="504"/>
      <c r="FQ6" s="504"/>
      <c r="FR6" s="504"/>
      <c r="FS6" s="504"/>
      <c r="FT6" s="504"/>
      <c r="FU6" s="504"/>
      <c r="FV6" s="504"/>
      <c r="FW6" s="504"/>
      <c r="FX6" s="504"/>
      <c r="FY6" s="504"/>
      <c r="FZ6" s="504"/>
      <c r="GA6" s="504"/>
      <c r="GB6" s="504"/>
      <c r="GC6" s="504"/>
      <c r="GD6" s="504"/>
      <c r="GE6" s="504"/>
      <c r="GF6" s="504"/>
      <c r="GG6" s="504"/>
      <c r="GH6" s="504"/>
      <c r="GI6" s="504"/>
      <c r="GJ6" s="504"/>
      <c r="GK6" s="504"/>
      <c r="GL6" s="504"/>
      <c r="GM6" s="504"/>
      <c r="GN6" s="504"/>
      <c r="GO6" s="504"/>
      <c r="GP6" s="504"/>
      <c r="GQ6" s="504"/>
      <c r="GR6" s="504"/>
      <c r="GS6" s="504"/>
      <c r="GT6" s="504"/>
      <c r="GU6" s="504"/>
      <c r="GV6" s="504"/>
      <c r="GW6" s="504"/>
    </row>
    <row r="7" spans="1:217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</row>
    <row r="8" spans="1:217" ht="16" thickBo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</row>
    <row r="9" spans="1:217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</row>
    <row r="10" spans="1:217" ht="19">
      <c r="A10" s="435" t="s">
        <v>779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</row>
    <row r="11" spans="1:217" ht="16" thickBo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</row>
    <row r="12" spans="1:217" ht="20" customHeight="1" thickBot="1">
      <c r="A12" s="662" t="s">
        <v>286</v>
      </c>
      <c r="B12" s="663">
        <v>39814</v>
      </c>
      <c r="C12" s="663">
        <v>39845</v>
      </c>
      <c r="D12" s="663">
        <v>39873</v>
      </c>
      <c r="E12" s="663">
        <v>39904</v>
      </c>
      <c r="F12" s="663">
        <v>39934</v>
      </c>
      <c r="G12" s="663">
        <v>39965</v>
      </c>
      <c r="H12" s="663">
        <v>39995</v>
      </c>
      <c r="I12" s="663">
        <v>40026</v>
      </c>
      <c r="J12" s="663">
        <v>40057</v>
      </c>
      <c r="K12" s="663">
        <v>40087</v>
      </c>
      <c r="L12" s="663">
        <v>40118</v>
      </c>
      <c r="M12" s="664">
        <v>40148</v>
      </c>
      <c r="N12" s="663">
        <v>40179</v>
      </c>
      <c r="O12" s="663">
        <v>40210</v>
      </c>
      <c r="P12" s="663">
        <v>40238</v>
      </c>
      <c r="Q12" s="663">
        <v>40269</v>
      </c>
      <c r="R12" s="663">
        <v>40299</v>
      </c>
      <c r="S12" s="663">
        <v>40330</v>
      </c>
      <c r="T12" s="663">
        <v>40360</v>
      </c>
      <c r="U12" s="663">
        <v>40391</v>
      </c>
      <c r="V12" s="663">
        <v>40422</v>
      </c>
      <c r="W12" s="663">
        <v>40452</v>
      </c>
      <c r="X12" s="663">
        <v>40483</v>
      </c>
      <c r="Y12" s="664">
        <v>40513</v>
      </c>
      <c r="Z12" s="663">
        <v>40544</v>
      </c>
      <c r="AA12" s="663">
        <v>40575</v>
      </c>
      <c r="AB12" s="663">
        <v>40603</v>
      </c>
      <c r="AC12" s="663">
        <v>40634</v>
      </c>
      <c r="AD12" s="663">
        <v>40664</v>
      </c>
      <c r="AE12" s="663">
        <v>40695</v>
      </c>
      <c r="AF12" s="663">
        <v>40725</v>
      </c>
      <c r="AG12" s="663">
        <v>40756</v>
      </c>
      <c r="AH12" s="663">
        <v>40787</v>
      </c>
      <c r="AI12" s="663">
        <v>40817</v>
      </c>
      <c r="AJ12" s="663">
        <v>40848</v>
      </c>
      <c r="AK12" s="664">
        <v>40878</v>
      </c>
      <c r="AL12" s="663">
        <v>40909</v>
      </c>
      <c r="AM12" s="663">
        <v>40940</v>
      </c>
      <c r="AN12" s="663">
        <v>40969</v>
      </c>
      <c r="AO12" s="663">
        <v>41000</v>
      </c>
      <c r="AP12" s="663">
        <v>41030</v>
      </c>
      <c r="AQ12" s="663">
        <v>41061</v>
      </c>
      <c r="AR12" s="663">
        <v>41091</v>
      </c>
      <c r="AS12" s="663">
        <v>41122</v>
      </c>
      <c r="AT12" s="663">
        <v>41153</v>
      </c>
      <c r="AU12" s="663">
        <v>41183</v>
      </c>
      <c r="AV12" s="663">
        <v>41214</v>
      </c>
      <c r="AW12" s="664">
        <v>41244</v>
      </c>
      <c r="AX12" s="663">
        <v>41275</v>
      </c>
      <c r="AY12" s="663">
        <v>41306</v>
      </c>
      <c r="AZ12" s="663">
        <v>41334</v>
      </c>
      <c r="BA12" s="663">
        <v>41365</v>
      </c>
      <c r="BB12" s="663">
        <v>41395</v>
      </c>
      <c r="BC12" s="663">
        <v>41426</v>
      </c>
      <c r="BD12" s="663">
        <v>41456</v>
      </c>
      <c r="BE12" s="663">
        <v>41487</v>
      </c>
      <c r="BF12" s="663">
        <v>41518</v>
      </c>
      <c r="BG12" s="663">
        <v>41548</v>
      </c>
      <c r="BH12" s="663">
        <v>41579</v>
      </c>
      <c r="BI12" s="664">
        <v>41609</v>
      </c>
      <c r="BJ12" s="663">
        <v>41640</v>
      </c>
      <c r="BK12" s="663">
        <v>41671</v>
      </c>
      <c r="BL12" s="663">
        <v>41699</v>
      </c>
      <c r="BM12" s="663">
        <v>41730</v>
      </c>
      <c r="BN12" s="663">
        <v>41760</v>
      </c>
      <c r="BO12" s="663">
        <v>41791</v>
      </c>
      <c r="BP12" s="663">
        <v>41821</v>
      </c>
      <c r="BQ12" s="663">
        <v>41852</v>
      </c>
      <c r="BR12" s="663">
        <v>41883</v>
      </c>
      <c r="BS12" s="663">
        <v>41913</v>
      </c>
      <c r="BT12" s="663">
        <v>41944</v>
      </c>
      <c r="BU12" s="664">
        <v>41974</v>
      </c>
      <c r="BV12" s="663">
        <v>42005</v>
      </c>
      <c r="BW12" s="663">
        <v>42036</v>
      </c>
      <c r="BX12" s="663">
        <v>42064</v>
      </c>
      <c r="BY12" s="663">
        <v>42095</v>
      </c>
      <c r="BZ12" s="663">
        <v>42125</v>
      </c>
      <c r="CA12" s="663">
        <v>42156</v>
      </c>
      <c r="CB12" s="663">
        <v>42186</v>
      </c>
      <c r="CC12" s="663">
        <v>42217</v>
      </c>
      <c r="CD12" s="663">
        <v>42248</v>
      </c>
      <c r="CE12" s="663">
        <v>42278</v>
      </c>
      <c r="CF12" s="663">
        <v>42309</v>
      </c>
      <c r="CG12" s="664">
        <v>42339</v>
      </c>
      <c r="CH12" s="663">
        <v>42370</v>
      </c>
      <c r="CI12" s="663">
        <v>42401</v>
      </c>
      <c r="CJ12" s="663">
        <v>42430</v>
      </c>
      <c r="CK12" s="663">
        <v>42461</v>
      </c>
      <c r="CL12" s="663">
        <v>42491</v>
      </c>
      <c r="CM12" s="663">
        <v>42522</v>
      </c>
      <c r="CN12" s="663">
        <v>42552</v>
      </c>
      <c r="CO12" s="663">
        <v>42583</v>
      </c>
      <c r="CP12" s="663">
        <v>42614</v>
      </c>
      <c r="CQ12" s="663">
        <v>42644</v>
      </c>
      <c r="CR12" s="663">
        <v>42675</v>
      </c>
      <c r="CS12" s="664">
        <v>42705</v>
      </c>
      <c r="CT12" s="663">
        <v>42736</v>
      </c>
      <c r="CU12" s="663">
        <v>42767</v>
      </c>
      <c r="CV12" s="663">
        <v>42795</v>
      </c>
      <c r="CW12" s="663">
        <v>42826</v>
      </c>
      <c r="CX12" s="663">
        <v>42856</v>
      </c>
      <c r="CY12" s="663">
        <v>42887</v>
      </c>
      <c r="CZ12" s="663">
        <v>42917</v>
      </c>
      <c r="DA12" s="663">
        <v>42948</v>
      </c>
      <c r="DB12" s="663">
        <v>42979</v>
      </c>
      <c r="DC12" s="663">
        <v>43009</v>
      </c>
      <c r="DD12" s="663">
        <v>43040</v>
      </c>
      <c r="DE12" s="664">
        <v>43070</v>
      </c>
      <c r="DF12" s="663">
        <v>43101</v>
      </c>
      <c r="DG12" s="663">
        <v>43132</v>
      </c>
      <c r="DH12" s="663">
        <v>43160</v>
      </c>
      <c r="DI12" s="663">
        <v>43191</v>
      </c>
      <c r="DJ12" s="663">
        <v>43221</v>
      </c>
      <c r="DK12" s="663">
        <v>43252</v>
      </c>
      <c r="DL12" s="663">
        <v>43282</v>
      </c>
      <c r="DM12" s="663">
        <v>43313</v>
      </c>
      <c r="DN12" s="663">
        <v>43344</v>
      </c>
      <c r="DO12" s="663">
        <v>43374</v>
      </c>
      <c r="DP12" s="663">
        <v>43405</v>
      </c>
      <c r="DQ12" s="664">
        <v>43435</v>
      </c>
      <c r="DR12" s="663">
        <v>43466</v>
      </c>
      <c r="DS12" s="663">
        <v>43497</v>
      </c>
      <c r="DT12" s="663">
        <v>43525</v>
      </c>
      <c r="DU12" s="663">
        <v>43556</v>
      </c>
      <c r="DV12" s="663">
        <v>43586</v>
      </c>
      <c r="DW12" s="663">
        <v>43617</v>
      </c>
      <c r="DX12" s="663">
        <v>43647</v>
      </c>
      <c r="DY12" s="663">
        <v>43678</v>
      </c>
      <c r="DZ12" s="663">
        <v>43709</v>
      </c>
      <c r="EA12" s="663">
        <v>43739</v>
      </c>
      <c r="EB12" s="663">
        <v>43770</v>
      </c>
      <c r="EC12" s="664">
        <v>43800</v>
      </c>
      <c r="ED12" s="663">
        <v>43831</v>
      </c>
      <c r="EE12" s="663">
        <v>43862</v>
      </c>
      <c r="EF12" s="663">
        <v>43891</v>
      </c>
      <c r="EG12" s="663">
        <v>43922</v>
      </c>
      <c r="EH12" s="663">
        <v>43952</v>
      </c>
      <c r="EI12" s="663">
        <v>43983</v>
      </c>
      <c r="EJ12" s="663">
        <v>44013</v>
      </c>
      <c r="EK12" s="663">
        <v>44044</v>
      </c>
      <c r="EL12" s="663">
        <v>44075</v>
      </c>
      <c r="EM12" s="663">
        <v>44105</v>
      </c>
      <c r="EN12" s="663">
        <v>44136</v>
      </c>
      <c r="EO12" s="664">
        <v>44166</v>
      </c>
      <c r="EP12" s="663">
        <v>44197</v>
      </c>
      <c r="EQ12" s="663">
        <v>44228</v>
      </c>
      <c r="ER12" s="663">
        <v>44256</v>
      </c>
      <c r="ES12" s="663">
        <v>44287</v>
      </c>
      <c r="ET12" s="663">
        <v>44317</v>
      </c>
      <c r="EU12" s="663">
        <v>44348</v>
      </c>
      <c r="EV12" s="663">
        <v>44378</v>
      </c>
      <c r="EW12" s="663">
        <v>44409</v>
      </c>
      <c r="EX12" s="663">
        <v>44440</v>
      </c>
      <c r="EY12" s="663">
        <v>44470</v>
      </c>
      <c r="EZ12" s="663">
        <v>44501</v>
      </c>
      <c r="FA12" s="664">
        <v>44531</v>
      </c>
      <c r="FB12" s="663">
        <v>44562</v>
      </c>
      <c r="FC12" s="663">
        <v>44593</v>
      </c>
      <c r="FD12" s="663">
        <v>44621</v>
      </c>
      <c r="FE12" s="663">
        <v>44652</v>
      </c>
      <c r="FF12" s="663">
        <v>44682</v>
      </c>
      <c r="FG12" s="663">
        <v>44713</v>
      </c>
      <c r="FH12" s="663">
        <v>44743</v>
      </c>
      <c r="FI12" s="663">
        <v>44774</v>
      </c>
      <c r="FJ12" s="663">
        <v>44805</v>
      </c>
      <c r="FK12" s="663">
        <v>44835</v>
      </c>
      <c r="FL12" s="663">
        <v>44866</v>
      </c>
      <c r="FM12" s="664">
        <v>44896</v>
      </c>
      <c r="FN12" s="663">
        <v>44927</v>
      </c>
      <c r="FO12" s="663">
        <v>44958</v>
      </c>
      <c r="FP12" s="663">
        <v>44986</v>
      </c>
      <c r="FQ12" s="663">
        <v>45017</v>
      </c>
      <c r="FR12" s="663">
        <v>45047</v>
      </c>
      <c r="FS12" s="663">
        <v>45078</v>
      </c>
      <c r="FT12" s="663">
        <v>45108</v>
      </c>
      <c r="FU12" s="663">
        <v>45139</v>
      </c>
      <c r="FV12" s="663">
        <v>45170</v>
      </c>
      <c r="FW12" s="663">
        <v>45200</v>
      </c>
      <c r="FX12" s="663">
        <v>45231</v>
      </c>
      <c r="FY12" s="664">
        <v>45261</v>
      </c>
      <c r="FZ12" s="663">
        <v>45292</v>
      </c>
      <c r="GA12" s="663">
        <v>45323</v>
      </c>
      <c r="GB12" s="663">
        <v>45352</v>
      </c>
      <c r="GC12" s="663">
        <v>45383</v>
      </c>
      <c r="GD12" s="663">
        <v>45413</v>
      </c>
      <c r="GE12" s="663">
        <v>45444</v>
      </c>
      <c r="GF12" s="663">
        <v>45474</v>
      </c>
      <c r="GG12" s="663">
        <v>45505</v>
      </c>
      <c r="GH12" s="663">
        <v>45536</v>
      </c>
      <c r="GI12" s="663">
        <v>45566</v>
      </c>
      <c r="GJ12" s="663">
        <v>45597</v>
      </c>
      <c r="GK12" s="664">
        <v>45627</v>
      </c>
      <c r="GL12" s="663">
        <v>45658</v>
      </c>
      <c r="GM12" s="663">
        <v>45689</v>
      </c>
      <c r="GN12" s="663">
        <v>45717</v>
      </c>
      <c r="GO12" s="663">
        <v>45748</v>
      </c>
      <c r="GP12" s="663">
        <v>45778</v>
      </c>
      <c r="GQ12" s="663">
        <v>45809</v>
      </c>
      <c r="GR12" s="663">
        <v>45839</v>
      </c>
      <c r="GS12" s="663">
        <v>45870</v>
      </c>
      <c r="GT12" s="663">
        <v>45901</v>
      </c>
      <c r="GU12" s="663">
        <v>45931</v>
      </c>
      <c r="GV12" s="663">
        <v>45962</v>
      </c>
      <c r="GW12" s="664">
        <v>45992</v>
      </c>
    </row>
    <row r="13" spans="1:217">
      <c r="A13" s="5" t="s">
        <v>782</v>
      </c>
      <c r="M13" s="115"/>
      <c r="Y13" s="115"/>
      <c r="AK13" s="115"/>
      <c r="AW13" s="115"/>
      <c r="BI13" s="115"/>
      <c r="BU13" s="115"/>
      <c r="CG13" s="115"/>
      <c r="CS13" s="115"/>
      <c r="DE13" s="115"/>
      <c r="DQ13" s="115"/>
      <c r="DR13" s="209">
        <v>1.6204739200000005</v>
      </c>
      <c r="DS13" s="209">
        <v>1.3871984900000001</v>
      </c>
      <c r="DT13" s="209">
        <v>1.4694043999999999</v>
      </c>
      <c r="DU13" s="209">
        <v>1.4329175699999999</v>
      </c>
      <c r="DV13" s="209">
        <v>1.5271357899999993</v>
      </c>
      <c r="DW13" s="209">
        <v>1.3236416799999997</v>
      </c>
      <c r="DX13" s="209">
        <v>1.7399586599999985</v>
      </c>
      <c r="DY13" s="209">
        <v>1.5883878999999996</v>
      </c>
      <c r="DZ13" s="209">
        <v>1.3003428399999999</v>
      </c>
      <c r="EA13" s="209">
        <v>1.41091465</v>
      </c>
      <c r="EB13" s="209">
        <v>1.7139481699999997</v>
      </c>
      <c r="EC13" s="210">
        <v>1.5969736699999999</v>
      </c>
      <c r="EO13" s="115"/>
      <c r="FA13" s="115"/>
      <c r="FM13" s="115"/>
      <c r="FY13" s="115"/>
      <c r="GK13" s="115"/>
      <c r="GW13" s="115"/>
      <c r="HC13" s="662" t="s">
        <v>286</v>
      </c>
      <c r="HD13" s="663">
        <f>GP12</f>
        <v>45778</v>
      </c>
      <c r="HE13" s="663" t="s">
        <v>835</v>
      </c>
      <c r="HF13" s="663" t="s">
        <v>836</v>
      </c>
      <c r="HG13" s="663" t="s">
        <v>888</v>
      </c>
      <c r="HH13" s="663" t="s">
        <v>849</v>
      </c>
      <c r="HI13" s="664" t="s">
        <v>838</v>
      </c>
    </row>
    <row r="14" spans="1:217">
      <c r="A14" s="5" t="s">
        <v>474</v>
      </c>
      <c r="M14" s="115"/>
      <c r="Y14" s="115"/>
      <c r="AK14" s="115"/>
      <c r="AW14" s="115"/>
      <c r="BI14" s="115"/>
      <c r="BU14" s="115"/>
      <c r="CG14" s="115"/>
      <c r="CS14" s="115"/>
      <c r="DE14" s="115"/>
      <c r="DK14" s="126">
        <v>8.0865880000000008</v>
      </c>
      <c r="DL14" s="126">
        <v>6.4353619999999996</v>
      </c>
      <c r="DM14" s="126">
        <v>6.1010549999999997</v>
      </c>
      <c r="DO14" s="126">
        <v>6.3579999999999997</v>
      </c>
      <c r="DQ14" s="115"/>
      <c r="DS14" s="99">
        <v>6.6</v>
      </c>
      <c r="DW14" s="126"/>
      <c r="DX14" s="126"/>
      <c r="DY14" s="126"/>
      <c r="EA14" s="126"/>
      <c r="EC14" s="115"/>
      <c r="EG14" s="173"/>
      <c r="EI14" s="126"/>
      <c r="EJ14" s="126"/>
      <c r="EK14" s="126"/>
      <c r="EM14" s="126"/>
      <c r="EO14" s="115"/>
      <c r="ES14" s="173"/>
      <c r="EU14" s="126"/>
      <c r="EV14" s="126"/>
      <c r="EW14" s="126"/>
      <c r="EY14" s="126"/>
      <c r="FA14" s="115"/>
      <c r="FE14" s="173"/>
      <c r="FG14" s="126"/>
      <c r="FH14" s="126"/>
      <c r="FI14" s="126"/>
      <c r="FK14" s="126"/>
      <c r="FM14" s="115"/>
      <c r="FN14" s="196"/>
      <c r="FO14" s="568"/>
      <c r="FP14" s="568"/>
      <c r="FQ14" s="826"/>
      <c r="FR14" s="568"/>
      <c r="FS14" s="126"/>
      <c r="FT14" s="126"/>
      <c r="FU14" s="126"/>
      <c r="FW14" s="126"/>
      <c r="FY14" s="115"/>
      <c r="FZ14" s="209"/>
      <c r="GA14" s="827"/>
      <c r="GB14" s="827"/>
      <c r="GC14" s="209"/>
      <c r="GE14" s="126"/>
      <c r="GF14" s="126"/>
      <c r="GG14" s="126"/>
      <c r="GI14" s="126"/>
      <c r="GK14" s="115"/>
      <c r="GL14" s="209"/>
      <c r="GM14" s="827"/>
      <c r="GN14" s="827"/>
      <c r="GO14" s="209"/>
      <c r="GQ14" s="126"/>
      <c r="GR14" s="126"/>
      <c r="GS14" s="126"/>
      <c r="GU14" s="126"/>
      <c r="GW14" s="115"/>
      <c r="HC14" s="654"/>
      <c r="HD14" s="655"/>
      <c r="HE14" s="655"/>
      <c r="HF14" s="655"/>
      <c r="HG14" s="655"/>
      <c r="HH14" s="655"/>
      <c r="HI14" s="651"/>
    </row>
    <row r="15" spans="1:217">
      <c r="A15" s="5" t="s">
        <v>475</v>
      </c>
      <c r="M15" s="115"/>
      <c r="Y15" s="115"/>
      <c r="AK15" s="115"/>
      <c r="AW15" s="115"/>
      <c r="BI15" s="115"/>
      <c r="BU15" s="115"/>
      <c r="CG15" s="115"/>
      <c r="CS15" s="115"/>
      <c r="DE15" s="115"/>
      <c r="DK15" s="126">
        <v>3.4248120000000002</v>
      </c>
      <c r="DL15" s="126">
        <v>3.2194910000000001</v>
      </c>
      <c r="DM15" s="126">
        <v>2.895038</v>
      </c>
      <c r="DO15" s="126">
        <v>2.9409999999999998</v>
      </c>
      <c r="DQ15" s="115"/>
      <c r="DS15" s="126">
        <f>DS16-DS14</f>
        <v>3.4000000000000004</v>
      </c>
      <c r="DW15" s="126"/>
      <c r="DX15" s="126"/>
      <c r="DY15" s="126"/>
      <c r="EA15" s="126"/>
      <c r="EC15" s="115"/>
      <c r="EE15" s="126"/>
      <c r="EI15" s="126"/>
      <c r="EJ15" s="126"/>
      <c r="EK15" s="126"/>
      <c r="EM15" s="126"/>
      <c r="EO15" s="115"/>
      <c r="EQ15" s="126"/>
      <c r="EU15" s="126"/>
      <c r="EV15" s="126"/>
      <c r="EW15" s="126"/>
      <c r="EY15" s="126"/>
      <c r="FA15" s="115"/>
      <c r="FB15" s="99">
        <v>3.33</v>
      </c>
      <c r="FC15" s="126"/>
      <c r="FG15" s="126"/>
      <c r="FH15" s="126"/>
      <c r="FI15" s="126"/>
      <c r="FK15" s="126"/>
      <c r="FM15" s="115"/>
      <c r="FN15" s="209">
        <v>3.79</v>
      </c>
      <c r="FO15" s="827">
        <f>(19.2-$FN$15)/4</f>
        <v>3.8525</v>
      </c>
      <c r="FP15" s="827">
        <f t="shared" ref="FP15:FR15" si="0">(19.2-$FN$15)/4</f>
        <v>3.8525</v>
      </c>
      <c r="FQ15" s="827">
        <f t="shared" si="0"/>
        <v>3.8525</v>
      </c>
      <c r="FR15" s="827">
        <f t="shared" si="0"/>
        <v>3.8525</v>
      </c>
      <c r="FS15" s="827">
        <f>(26.2-19.2)/2</f>
        <v>3.5</v>
      </c>
      <c r="FT15" s="827">
        <f>(26.2-19.2)/2</f>
        <v>3.5</v>
      </c>
      <c r="FU15" s="827">
        <f>(36.9-26.2)/3</f>
        <v>3.5666666666666664</v>
      </c>
      <c r="FV15" s="827">
        <f>(36.9-26.2)/3</f>
        <v>3.5666666666666664</v>
      </c>
      <c r="FW15" s="827">
        <f>(36.9-26.2)/3</f>
        <v>3.5666666666666664</v>
      </c>
      <c r="FX15" s="827">
        <f>(45.2-36.9)/2</f>
        <v>4.1500000000000021</v>
      </c>
      <c r="FY15" s="828">
        <f>(45.2-36.9)/2</f>
        <v>4.1500000000000021</v>
      </c>
      <c r="FZ15" s="126">
        <v>3.73</v>
      </c>
      <c r="GA15" s="579">
        <f>(11.78-FZ15)/2</f>
        <v>4.0249999999999995</v>
      </c>
      <c r="GB15" s="579">
        <f>(11.78-FZ15)/2</f>
        <v>4.0249999999999995</v>
      </c>
      <c r="GC15" s="126">
        <f>15.91243381-SUM(FZ15:GB15)</f>
        <v>4.132433810000002</v>
      </c>
      <c r="GD15" s="579">
        <f>24.6-(SUM(FZ15:GC15)+GE15)</f>
        <v>4.3282786900000012</v>
      </c>
      <c r="GE15" s="126">
        <v>4.3592874999999998</v>
      </c>
      <c r="GF15" s="126">
        <v>3.8553164999999998</v>
      </c>
      <c r="GG15" s="126">
        <f>30.4-SUM(FZ15:GF15)</f>
        <v>1.9446834999999965</v>
      </c>
      <c r="GH15" s="126">
        <f>33.8-SUM(FZ15:GG15)</f>
        <v>3.3999999999999986</v>
      </c>
      <c r="GI15" s="579">
        <f>(46.68439434-SUM($FZ15:$GH15))/3</f>
        <v>4.2947981133333331</v>
      </c>
      <c r="GJ15" s="579">
        <f>(46.68439434-SUM($FZ15:$GH15))/3</f>
        <v>4.2947981133333331</v>
      </c>
      <c r="GK15" s="580">
        <f>(46.68439434-SUM($FZ15:$GH15))/3</f>
        <v>4.2947981133333331</v>
      </c>
      <c r="GL15" s="126">
        <v>3.7</v>
      </c>
      <c r="GM15" s="126">
        <f>6.75950784-GL15</f>
        <v>3.0595078400000002</v>
      </c>
      <c r="GN15" s="126">
        <f>10.85398681-GM15-GL15</f>
        <v>4.0944789699999999</v>
      </c>
      <c r="GO15" s="126">
        <f>14.5953106-SUM(GL15:GN15)</f>
        <v>3.7413237899999991</v>
      </c>
      <c r="GP15" s="579"/>
      <c r="GQ15" s="126"/>
      <c r="GR15" s="126"/>
      <c r="GS15" s="126"/>
      <c r="GT15" s="126"/>
      <c r="GU15" s="579"/>
      <c r="GV15" s="579"/>
      <c r="GW15" s="580"/>
      <c r="HC15" s="5" t="s">
        <v>475</v>
      </c>
      <c r="HD15" s="126">
        <f>GP15</f>
        <v>0</v>
      </c>
      <c r="HE15" s="260">
        <f>GP15/GD15-1</f>
        <v>-1</v>
      </c>
      <c r="HF15" s="260">
        <f>GP15/GO15-1</f>
        <v>-1</v>
      </c>
      <c r="HG15" s="126">
        <f>SUM($GL15:GP15)</f>
        <v>14.595310599999999</v>
      </c>
      <c r="HH15" s="126">
        <f>SUM($FZ15:GD15)</f>
        <v>20.240712500000001</v>
      </c>
      <c r="HI15" s="205">
        <f>HG15/HH15-1</f>
        <v>-0.27891320031347722</v>
      </c>
    </row>
    <row r="16" spans="1:217">
      <c r="A16" s="653" t="s">
        <v>476</v>
      </c>
      <c r="B16" s="648"/>
      <c r="C16" s="648"/>
      <c r="D16" s="648"/>
      <c r="E16" s="648"/>
      <c r="F16" s="648"/>
      <c r="G16" s="648"/>
      <c r="H16" s="648"/>
      <c r="I16" s="648"/>
      <c r="J16" s="648"/>
      <c r="K16" s="648"/>
      <c r="L16" s="648"/>
      <c r="M16" s="650"/>
      <c r="N16" s="648"/>
      <c r="O16" s="648"/>
      <c r="P16" s="648"/>
      <c r="Q16" s="648"/>
      <c r="R16" s="648"/>
      <c r="S16" s="648"/>
      <c r="T16" s="648"/>
      <c r="U16" s="648"/>
      <c r="V16" s="648"/>
      <c r="W16" s="648"/>
      <c r="X16" s="648"/>
      <c r="Y16" s="650"/>
      <c r="Z16" s="648"/>
      <c r="AA16" s="648"/>
      <c r="AB16" s="648"/>
      <c r="AC16" s="648"/>
      <c r="AD16" s="648"/>
      <c r="AE16" s="648"/>
      <c r="AF16" s="648"/>
      <c r="AG16" s="648"/>
      <c r="AH16" s="648"/>
      <c r="AI16" s="648"/>
      <c r="AJ16" s="648"/>
      <c r="AK16" s="650"/>
      <c r="AL16" s="648"/>
      <c r="AM16" s="648"/>
      <c r="AN16" s="648"/>
      <c r="AO16" s="648"/>
      <c r="AP16" s="648"/>
      <c r="AQ16" s="648"/>
      <c r="AR16" s="648"/>
      <c r="AS16" s="648"/>
      <c r="AT16" s="648"/>
      <c r="AU16" s="648"/>
      <c r="AV16" s="648"/>
      <c r="AW16" s="650"/>
      <c r="AX16" s="648"/>
      <c r="AY16" s="648"/>
      <c r="AZ16" s="648"/>
      <c r="BA16" s="648"/>
      <c r="BB16" s="648"/>
      <c r="BC16" s="648"/>
      <c r="BD16" s="648"/>
      <c r="BE16" s="648"/>
      <c r="BF16" s="648"/>
      <c r="BG16" s="648"/>
      <c r="BH16" s="648"/>
      <c r="BI16" s="650"/>
      <c r="BJ16" s="648"/>
      <c r="BK16" s="648"/>
      <c r="BL16" s="648"/>
      <c r="BM16" s="648"/>
      <c r="BN16" s="648"/>
      <c r="BO16" s="648"/>
      <c r="BP16" s="648"/>
      <c r="BQ16" s="648"/>
      <c r="BR16" s="648"/>
      <c r="BS16" s="648"/>
      <c r="BT16" s="648"/>
      <c r="BU16" s="650"/>
      <c r="BV16" s="648"/>
      <c r="BW16" s="648"/>
      <c r="BX16" s="648"/>
      <c r="BY16" s="648"/>
      <c r="BZ16" s="648"/>
      <c r="CA16" s="648"/>
      <c r="CB16" s="648"/>
      <c r="CC16" s="648"/>
      <c r="CD16" s="648"/>
      <c r="CE16" s="648"/>
      <c r="CF16" s="648"/>
      <c r="CG16" s="650"/>
      <c r="CH16" s="648"/>
      <c r="CI16" s="648"/>
      <c r="CJ16" s="648"/>
      <c r="CK16" s="648"/>
      <c r="CL16" s="648"/>
      <c r="CM16" s="648"/>
      <c r="CN16" s="648"/>
      <c r="CO16" s="648"/>
      <c r="CP16" s="648"/>
      <c r="CQ16" s="648"/>
      <c r="CR16" s="648"/>
      <c r="CS16" s="650"/>
      <c r="CT16" s="648"/>
      <c r="CU16" s="648"/>
      <c r="CV16" s="648"/>
      <c r="CW16" s="648"/>
      <c r="CX16" s="648"/>
      <c r="CY16" s="648"/>
      <c r="CZ16" s="648"/>
      <c r="DA16" s="648"/>
      <c r="DB16" s="648"/>
      <c r="DC16" s="648"/>
      <c r="DD16" s="648"/>
      <c r="DE16" s="650"/>
      <c r="DF16" s="648"/>
      <c r="DG16" s="648"/>
      <c r="DH16" s="648"/>
      <c r="DI16" s="648"/>
      <c r="DJ16" s="648"/>
      <c r="DK16" s="648">
        <f>SUM(DK14:DK15)</f>
        <v>11.511400000000002</v>
      </c>
      <c r="DL16" s="648">
        <f>SUM(DL14:DL15)</f>
        <v>9.6548529999999992</v>
      </c>
      <c r="DM16" s="648">
        <f>SUM(DM14:DM15)</f>
        <v>8.9960930000000001</v>
      </c>
      <c r="DN16" s="648"/>
      <c r="DO16" s="648">
        <v>9.3000000000000007</v>
      </c>
      <c r="DP16" s="648"/>
      <c r="DQ16" s="650"/>
      <c r="DR16" s="648"/>
      <c r="DS16" s="648">
        <v>10</v>
      </c>
      <c r="DT16" s="648"/>
      <c r="DU16" s="648"/>
      <c r="DV16" s="648"/>
      <c r="DW16" s="648"/>
      <c r="DX16" s="648"/>
      <c r="DY16" s="648"/>
      <c r="DZ16" s="648"/>
      <c r="EA16" s="648"/>
      <c r="EB16" s="648"/>
      <c r="EC16" s="650"/>
      <c r="ED16" s="648"/>
      <c r="EE16" s="648"/>
      <c r="EF16" s="648"/>
      <c r="EG16" s="648"/>
      <c r="EH16" s="648"/>
      <c r="EI16" s="648"/>
      <c r="EJ16" s="648"/>
      <c r="EK16" s="648"/>
      <c r="EL16" s="648"/>
      <c r="EM16" s="648"/>
      <c r="EN16" s="648"/>
      <c r="EO16" s="650"/>
      <c r="EP16" s="648"/>
      <c r="EQ16" s="648"/>
      <c r="ER16" s="648"/>
      <c r="ES16" s="648"/>
      <c r="ET16" s="648"/>
      <c r="EU16" s="648"/>
      <c r="EV16" s="648"/>
      <c r="EW16" s="648"/>
      <c r="EX16" s="648"/>
      <c r="EY16" s="648"/>
      <c r="EZ16" s="648"/>
      <c r="FA16" s="650"/>
      <c r="FB16" s="797">
        <f>SUM(FB14:FB15)</f>
        <v>3.33</v>
      </c>
      <c r="FC16" s="648"/>
      <c r="FD16" s="648"/>
      <c r="FE16" s="648"/>
      <c r="FF16" s="648"/>
      <c r="FG16" s="648"/>
      <c r="FH16" s="648"/>
      <c r="FI16" s="648"/>
      <c r="FJ16" s="648"/>
      <c r="FK16" s="648"/>
      <c r="FL16" s="648"/>
      <c r="FM16" s="650"/>
      <c r="FN16" s="829">
        <f>SUM(FN14:FN15)</f>
        <v>3.79</v>
      </c>
      <c r="FO16" s="829">
        <f t="shared" ref="FO16:FQ16" si="1">SUM(FO14:FO15)</f>
        <v>3.8525</v>
      </c>
      <c r="FP16" s="829">
        <f t="shared" si="1"/>
        <v>3.8525</v>
      </c>
      <c r="FQ16" s="829">
        <f t="shared" si="1"/>
        <v>3.8525</v>
      </c>
      <c r="FR16" s="829">
        <f t="shared" ref="FR16" si="2">SUM(FR14:FR15)</f>
        <v>3.8525</v>
      </c>
      <c r="FS16" s="829">
        <f t="shared" ref="FS16:FT16" si="3">SUM(FS14:FS15)</f>
        <v>3.5</v>
      </c>
      <c r="FT16" s="829">
        <f t="shared" si="3"/>
        <v>3.5</v>
      </c>
      <c r="FU16" s="829">
        <f t="shared" ref="FU16" si="4">SUM(FU14:FU15)</f>
        <v>3.5666666666666664</v>
      </c>
      <c r="FV16" s="829">
        <f t="shared" ref="FV16:FW16" si="5">SUM(FV14:FV15)</f>
        <v>3.5666666666666664</v>
      </c>
      <c r="FW16" s="829">
        <f t="shared" si="5"/>
        <v>3.5666666666666664</v>
      </c>
      <c r="FX16" s="829">
        <f t="shared" ref="FX16" si="6">SUM(FX14:FX15)</f>
        <v>4.1500000000000021</v>
      </c>
      <c r="FY16" s="830">
        <f t="shared" ref="FY16" si="7">SUM(FY14:FY15)</f>
        <v>4.1500000000000021</v>
      </c>
      <c r="FZ16" s="829">
        <f>SUM(FZ14:FZ15)</f>
        <v>3.73</v>
      </c>
      <c r="GA16" s="829">
        <f t="shared" ref="GA16:GK16" si="8">SUM(GA14:GA15)</f>
        <v>4.0249999999999995</v>
      </c>
      <c r="GB16" s="829">
        <f>SUM(GB14:GB15)</f>
        <v>4.0249999999999995</v>
      </c>
      <c r="GC16" s="829">
        <f>SUM(GC15:GC15)</f>
        <v>4.132433810000002</v>
      </c>
      <c r="GD16" s="829">
        <f>SUM(GD14:GD15)</f>
        <v>4.3282786900000012</v>
      </c>
      <c r="GE16" s="829">
        <f t="shared" si="8"/>
        <v>4.3592874999999998</v>
      </c>
      <c r="GF16" s="829">
        <f>SUM(GF14:GF15)</f>
        <v>3.8553164999999998</v>
      </c>
      <c r="GG16" s="829">
        <f t="shared" si="8"/>
        <v>1.9446834999999965</v>
      </c>
      <c r="GH16" s="829">
        <f t="shared" si="8"/>
        <v>3.3999999999999986</v>
      </c>
      <c r="GI16" s="829">
        <f t="shared" si="8"/>
        <v>4.2947981133333331</v>
      </c>
      <c r="GJ16" s="829">
        <f t="shared" si="8"/>
        <v>4.2947981133333331</v>
      </c>
      <c r="GK16" s="830">
        <f t="shared" si="8"/>
        <v>4.2947981133333331</v>
      </c>
      <c r="GL16" s="829">
        <f>SUM(GL14:GL15)</f>
        <v>3.7</v>
      </c>
      <c r="GM16" s="829">
        <f t="shared" ref="GM16" si="9">SUM(GM14:GM15)</f>
        <v>3.0595078400000002</v>
      </c>
      <c r="GN16" s="829">
        <f>SUM(GN14:GN15)</f>
        <v>4.0944789699999999</v>
      </c>
      <c r="GO16" s="829">
        <f>SUM(GO15:GO15)</f>
        <v>3.7413237899999991</v>
      </c>
      <c r="GP16" s="829">
        <f>SUM(GP14:GP15)</f>
        <v>0</v>
      </c>
      <c r="GQ16" s="829">
        <f t="shared" ref="GQ16" si="10">SUM(GQ14:GQ15)</f>
        <v>0</v>
      </c>
      <c r="GR16" s="829">
        <f>SUM(GR14:GR15)</f>
        <v>0</v>
      </c>
      <c r="GS16" s="829">
        <f t="shared" ref="GS16:GW16" si="11">SUM(GS14:GS15)</f>
        <v>0</v>
      </c>
      <c r="GT16" s="829">
        <f t="shared" si="11"/>
        <v>0</v>
      </c>
      <c r="GU16" s="829">
        <f t="shared" si="11"/>
        <v>0</v>
      </c>
      <c r="GV16" s="829">
        <f t="shared" si="11"/>
        <v>0</v>
      </c>
      <c r="GW16" s="830">
        <f t="shared" si="11"/>
        <v>0</v>
      </c>
      <c r="HC16" s="653" t="s">
        <v>476</v>
      </c>
      <c r="HD16" s="648">
        <f>SUM(HD15)</f>
        <v>0</v>
      </c>
      <c r="HE16" s="811">
        <f>GP16/GD16-1</f>
        <v>-1</v>
      </c>
      <c r="HF16" s="811">
        <f>GP16/GO16-1</f>
        <v>-1</v>
      </c>
      <c r="HG16" s="648">
        <f>SUM(HG15)</f>
        <v>14.595310599999999</v>
      </c>
      <c r="HH16" s="648">
        <f>SUM(HH15)</f>
        <v>20.240712500000001</v>
      </c>
      <c r="HI16" s="774">
        <f>HG16/HH16-1</f>
        <v>-0.27891320031347722</v>
      </c>
    </row>
    <row r="17" spans="1:217">
      <c r="A17" s="5"/>
      <c r="M17" s="115"/>
      <c r="Y17" s="115"/>
      <c r="AK17" s="115"/>
      <c r="AW17" s="115"/>
      <c r="BI17" s="115"/>
      <c r="BU17" s="115"/>
      <c r="CG17" s="115"/>
      <c r="CS17" s="115"/>
      <c r="DE17" s="115"/>
      <c r="DQ17" s="115"/>
      <c r="DV17" s="196"/>
      <c r="EC17" s="210"/>
      <c r="EH17" s="196"/>
      <c r="EO17" s="115"/>
      <c r="ET17" s="196"/>
      <c r="FA17" s="115"/>
      <c r="FF17" s="196"/>
      <c r="FM17" s="115"/>
      <c r="FR17" s="196"/>
      <c r="FY17" s="115"/>
      <c r="GK17" s="115"/>
      <c r="GW17" s="115"/>
      <c r="HC17" s="654"/>
      <c r="HD17" s="655"/>
      <c r="HE17" s="655"/>
      <c r="HF17" s="655"/>
      <c r="HG17" s="655"/>
      <c r="HH17" s="655"/>
      <c r="HI17" s="651"/>
    </row>
    <row r="18" spans="1:217">
      <c r="A18" s="5" t="s">
        <v>503</v>
      </c>
      <c r="M18" s="115"/>
      <c r="Y18" s="115"/>
      <c r="AK18" s="115"/>
      <c r="AW18" s="115"/>
      <c r="BI18" s="115"/>
      <c r="BU18" s="115"/>
      <c r="CG18" s="115"/>
      <c r="CS18" s="115"/>
      <c r="DE18" s="115"/>
      <c r="DK18" s="126">
        <v>21.661687000000001</v>
      </c>
      <c r="DL18" s="126"/>
      <c r="DM18" s="126">
        <v>20.528458000000001</v>
      </c>
      <c r="DO18" s="99">
        <v>24.5</v>
      </c>
      <c r="DQ18" s="115"/>
      <c r="DR18" s="209">
        <v>23.484069430000002</v>
      </c>
      <c r="DS18" s="209">
        <v>20.82319953</v>
      </c>
      <c r="DT18" s="209">
        <v>24.921911499999997</v>
      </c>
      <c r="DU18" s="209">
        <v>22.233957540000002</v>
      </c>
      <c r="DV18" s="209">
        <v>23.151891669999994</v>
      </c>
      <c r="DW18" s="209">
        <v>21.01090026</v>
      </c>
      <c r="DX18" s="209">
        <v>21.543781659999997</v>
      </c>
      <c r="DY18" s="209">
        <v>20.672595130000005</v>
      </c>
      <c r="DZ18" s="209">
        <v>23.525278970000006</v>
      </c>
      <c r="EA18" s="209">
        <v>25.31066542000001</v>
      </c>
      <c r="EB18" s="209">
        <v>24.206421899999999</v>
      </c>
      <c r="EC18" s="210">
        <v>26.420313839999984</v>
      </c>
      <c r="ED18" s="209">
        <v>27.543122450000016</v>
      </c>
      <c r="EE18" s="209">
        <v>25.805918919999996</v>
      </c>
      <c r="EF18" s="209">
        <v>6.8484671799999974</v>
      </c>
      <c r="EG18" s="209">
        <v>0</v>
      </c>
      <c r="EH18" s="209">
        <v>3.7000000000000002E-6</v>
      </c>
      <c r="EI18" s="209">
        <v>8.6329136000000037</v>
      </c>
      <c r="EJ18" s="209">
        <v>25.071223229999994</v>
      </c>
      <c r="EK18" s="126">
        <v>25.80920334</v>
      </c>
      <c r="EL18" s="209">
        <v>26.208460500000005</v>
      </c>
      <c r="EM18" s="209">
        <v>22.524044789999998</v>
      </c>
      <c r="EN18" s="209">
        <v>0.61385335000000008</v>
      </c>
      <c r="EO18" s="127">
        <v>3.0000000000000001E-6</v>
      </c>
      <c r="EP18" s="209">
        <v>9.9999999999999995E-7</v>
      </c>
      <c r="EQ18" s="209">
        <v>0</v>
      </c>
      <c r="ER18" s="209">
        <v>9.9999999999999995E-7</v>
      </c>
      <c r="ES18" s="209">
        <v>1.9999999999999999E-6</v>
      </c>
      <c r="ET18" s="209">
        <v>3.7326299999999998E-3</v>
      </c>
      <c r="EU18" s="209">
        <v>8.7395703000000022</v>
      </c>
      <c r="EV18" s="209">
        <v>24.429195070000002</v>
      </c>
      <c r="EW18" s="126">
        <v>21.825620310000005</v>
      </c>
      <c r="EX18" s="209">
        <v>25.67301647</v>
      </c>
      <c r="EY18" s="209">
        <v>31.093111759999989</v>
      </c>
      <c r="EZ18" s="209">
        <v>26.657296959999989</v>
      </c>
      <c r="FA18" s="127">
        <v>28.577094500000026</v>
      </c>
      <c r="FB18" s="209">
        <v>28.513868270000014</v>
      </c>
      <c r="FC18" s="209">
        <v>26.650590959999999</v>
      </c>
      <c r="FD18" s="209">
        <v>29.79026343000001</v>
      </c>
      <c r="FE18" s="209">
        <v>28.199619569999996</v>
      </c>
      <c r="FF18" s="209">
        <v>28.456049990000007</v>
      </c>
      <c r="FG18" s="209">
        <v>27.387243519999988</v>
      </c>
      <c r="FH18" s="209">
        <v>25.363890780000009</v>
      </c>
      <c r="FI18" s="126">
        <v>29.011110639999988</v>
      </c>
      <c r="FJ18" s="209">
        <v>29.113937620000012</v>
      </c>
      <c r="FK18" s="209">
        <v>33.57546112</v>
      </c>
      <c r="FL18" s="209">
        <v>33.248055290000003</v>
      </c>
      <c r="FM18" s="127">
        <v>36.981702289999994</v>
      </c>
      <c r="FN18" s="209">
        <v>35.18</v>
      </c>
      <c r="FO18" s="209">
        <f>41.83251201-FO19</f>
        <v>31.28535737</v>
      </c>
      <c r="FP18" s="825">
        <f>46.14446121-10.91452637</f>
        <v>35.229934839999999</v>
      </c>
      <c r="FQ18" s="825">
        <f>45.47102753-FQ19</f>
        <v>35.026004130000004</v>
      </c>
      <c r="FR18" s="825">
        <f>45.10779949-FR19</f>
        <v>34.24918727</v>
      </c>
      <c r="FS18" s="825">
        <f>41.48978089-FS19</f>
        <v>31.314389069999997</v>
      </c>
      <c r="FT18" s="209">
        <f>39.40627635-FT19</f>
        <v>29.940272489999998</v>
      </c>
      <c r="FU18" s="209">
        <f>42.87854093-FU19</f>
        <v>32.065712859999998</v>
      </c>
      <c r="FV18" s="209">
        <v>35.299999999999997</v>
      </c>
      <c r="FW18" s="209">
        <v>38.299999999999997</v>
      </c>
      <c r="FX18" s="825">
        <f>49.71862533-12.89283014</f>
        <v>36.825795190000001</v>
      </c>
      <c r="FY18" s="576">
        <f>55.56306402-FY19</f>
        <v>41.003156969999999</v>
      </c>
      <c r="FZ18" s="209">
        <v>40.799999999999997</v>
      </c>
      <c r="GA18" s="209">
        <f>50.53521577-GA19</f>
        <v>36.785040930000001</v>
      </c>
      <c r="GB18" s="825">
        <v>39.5</v>
      </c>
      <c r="GC18" s="209">
        <f>51.71688037-GC19</f>
        <v>38.662491859999996</v>
      </c>
      <c r="GD18" s="209">
        <f>53.97957372-GD19</f>
        <v>39.737135779999996</v>
      </c>
      <c r="GE18" s="209">
        <f>50.9129555-GE19</f>
        <v>37.790640640000007</v>
      </c>
      <c r="GF18" s="209">
        <v>35.799999999999997</v>
      </c>
      <c r="GG18" s="209">
        <f>50.95462603-GG19</f>
        <v>36.041220889999998</v>
      </c>
      <c r="GH18" s="209">
        <f>56.61059553-GH19</f>
        <v>40.611969899999998</v>
      </c>
      <c r="GI18" s="825">
        <f>GI20-GI19</f>
        <v>42.850134879999999</v>
      </c>
      <c r="GJ18" s="825">
        <f>GJ20-GJ19</f>
        <v>42.104906790000001</v>
      </c>
      <c r="GK18" s="576">
        <f>475.38420507-SUM(FZ18:GJ18)</f>
        <v>44.700663400000053</v>
      </c>
      <c r="GL18" s="209">
        <f>62.74997611-GL19</f>
        <v>46.157726619999998</v>
      </c>
      <c r="GM18" s="126">
        <f>85.1-GL18</f>
        <v>38.942273379999996</v>
      </c>
      <c r="GN18" s="126">
        <f>128.9-GM18-GL18</f>
        <v>43.800000000000018</v>
      </c>
      <c r="GO18" s="126">
        <f>58.36155306-GO19</f>
        <v>43.144632129999998</v>
      </c>
      <c r="GP18" s="209"/>
      <c r="GQ18" s="209"/>
      <c r="GR18" s="209"/>
      <c r="GS18" s="209"/>
      <c r="GT18" s="209"/>
      <c r="GU18" s="827"/>
      <c r="GV18" s="827"/>
      <c r="GW18" s="580"/>
      <c r="HC18" s="5" t="s">
        <v>503</v>
      </c>
      <c r="HD18" s="126">
        <f>GP18</f>
        <v>0</v>
      </c>
      <c r="HE18" s="260">
        <f>GP18/GD18-1</f>
        <v>-1</v>
      </c>
      <c r="HF18" s="260">
        <f>GP18/GO18-1</f>
        <v>-1</v>
      </c>
      <c r="HG18" s="126">
        <f>SUM($GL18:GP18)</f>
        <v>172.04463213</v>
      </c>
      <c r="HH18" s="126">
        <f>SUM($FZ18:GD18)</f>
        <v>195.48466856999997</v>
      </c>
      <c r="HI18" s="205">
        <f>HG18/HH18-1</f>
        <v>-0.11990728792936756</v>
      </c>
    </row>
    <row r="19" spans="1:217">
      <c r="A19" s="5" t="s">
        <v>447</v>
      </c>
      <c r="M19" s="115"/>
      <c r="Y19" s="115"/>
      <c r="AK19" s="115"/>
      <c r="AW19" s="115"/>
      <c r="BI19" s="115"/>
      <c r="BU19" s="115"/>
      <c r="CG19" s="115"/>
      <c r="CS19" s="115"/>
      <c r="DE19" s="115"/>
      <c r="DQ19" s="115"/>
      <c r="DR19" s="209">
        <v>2.3058018000000002</v>
      </c>
      <c r="DS19" s="209">
        <v>2.0412524900000002</v>
      </c>
      <c r="DT19" s="209">
        <v>2.41968425</v>
      </c>
      <c r="DU19" s="209">
        <v>2.1984639499999998</v>
      </c>
      <c r="DV19" s="209">
        <v>2.2432316200000004</v>
      </c>
      <c r="DW19" s="209">
        <v>2.0540989299999999</v>
      </c>
      <c r="DX19" s="209">
        <v>1.9696287899999998</v>
      </c>
      <c r="DY19" s="209">
        <v>2.2631091100000003</v>
      </c>
      <c r="DZ19" s="209">
        <v>2.8233167100000007</v>
      </c>
      <c r="EA19" s="209">
        <v>2.9297492000000007</v>
      </c>
      <c r="EB19" s="209">
        <v>3.1819481499999998</v>
      </c>
      <c r="EC19" s="210">
        <v>3.3197027999999991</v>
      </c>
      <c r="ED19" s="209">
        <v>3.1890778600000003</v>
      </c>
      <c r="EE19" s="209">
        <v>3.0131967200000003</v>
      </c>
      <c r="EF19" s="209">
        <v>5.6620973999999995</v>
      </c>
      <c r="EG19" s="209">
        <v>7.3288383799999997</v>
      </c>
      <c r="EH19" s="209">
        <v>7.5220987000000017</v>
      </c>
      <c r="EI19" s="209">
        <v>6.7976918700000004</v>
      </c>
      <c r="EJ19" s="209">
        <v>5.3718871999999989</v>
      </c>
      <c r="EK19" s="209">
        <v>5.0657966000000005</v>
      </c>
      <c r="EL19" s="209">
        <v>5.2409115899999987</v>
      </c>
      <c r="EM19" s="209">
        <v>5.6803864699999993</v>
      </c>
      <c r="EN19" s="209">
        <v>10.028749969999996</v>
      </c>
      <c r="EO19" s="210">
        <v>11.049597890000003</v>
      </c>
      <c r="EP19" s="209">
        <v>10.332287369999998</v>
      </c>
      <c r="EQ19" s="209">
        <v>8.6851707299999994</v>
      </c>
      <c r="ER19" s="209">
        <v>9.6168320099999995</v>
      </c>
      <c r="ES19" s="209">
        <v>10.05644977</v>
      </c>
      <c r="ET19" s="209">
        <v>8.9418658499999975</v>
      </c>
      <c r="EU19" s="209">
        <v>7.1744895600000014</v>
      </c>
      <c r="EV19" s="209">
        <v>6.9974948100000018</v>
      </c>
      <c r="EW19" s="209">
        <v>7.9753527099999992</v>
      </c>
      <c r="EX19" s="209">
        <v>8.1365643800000047</v>
      </c>
      <c r="EY19" s="209">
        <v>9.3274662599999925</v>
      </c>
      <c r="EZ19" s="209">
        <v>8.5669041400000019</v>
      </c>
      <c r="FA19" s="210">
        <v>9.8928040399999979</v>
      </c>
      <c r="FB19" s="209">
        <v>9.3132926900000061</v>
      </c>
      <c r="FC19" s="209">
        <v>8.0429260899999999</v>
      </c>
      <c r="FD19" s="209">
        <v>8.3971856500000008</v>
      </c>
      <c r="FE19" s="209">
        <v>8.3273824599999973</v>
      </c>
      <c r="FF19" s="209">
        <v>8.5148791199999998</v>
      </c>
      <c r="FG19" s="209">
        <v>7.3342758100000021</v>
      </c>
      <c r="FH19" s="209">
        <v>7.7720363999999993</v>
      </c>
      <c r="FI19" s="209">
        <v>8.9395257700000013</v>
      </c>
      <c r="FJ19" s="209">
        <v>9.2940190200000021</v>
      </c>
      <c r="FK19" s="209">
        <v>10.116009730000002</v>
      </c>
      <c r="FL19" s="209">
        <v>11.119148380000002</v>
      </c>
      <c r="FM19" s="210">
        <v>12.312556330000005</v>
      </c>
      <c r="FN19" s="126">
        <f>46.56814648-FN18</f>
        <v>11.388146480000003</v>
      </c>
      <c r="FO19" s="126">
        <v>10.54715464</v>
      </c>
      <c r="FP19" s="126">
        <v>10.914526370000001</v>
      </c>
      <c r="FQ19" s="126">
        <v>10.4450234</v>
      </c>
      <c r="FR19" s="126">
        <v>10.858612219999999</v>
      </c>
      <c r="FS19" s="126">
        <v>10.17539182</v>
      </c>
      <c r="FT19" s="126">
        <v>9.4660038600000007</v>
      </c>
      <c r="FU19" s="126">
        <v>10.81282807</v>
      </c>
      <c r="FV19" s="126">
        <v>12.089811409999999</v>
      </c>
      <c r="FW19" s="126">
        <v>13.575070849999999</v>
      </c>
      <c r="FX19" s="126">
        <v>12.892830139999999</v>
      </c>
      <c r="FY19" s="210">
        <v>14.55990705</v>
      </c>
      <c r="FZ19" s="126">
        <v>14.96619375</v>
      </c>
      <c r="GA19" s="126">
        <v>13.75017484</v>
      </c>
      <c r="GB19" s="126">
        <f>14.72433948</f>
        <v>14.724339479999999</v>
      </c>
      <c r="GC19" s="126">
        <v>13.054388510000001</v>
      </c>
      <c r="GD19" s="126">
        <v>14.24243794</v>
      </c>
      <c r="GE19" s="126">
        <v>13.122314859999999</v>
      </c>
      <c r="GF19" s="126">
        <v>14.07723696</v>
      </c>
      <c r="GG19" s="126">
        <v>14.91340514</v>
      </c>
      <c r="GH19" s="126">
        <v>15.998625629999999</v>
      </c>
      <c r="GI19" s="126">
        <v>16.68021637</v>
      </c>
      <c r="GJ19" s="126">
        <v>15.37906714</v>
      </c>
      <c r="GK19" s="576">
        <v>18.179231000000001</v>
      </c>
      <c r="GL19" s="126">
        <v>16.59224949</v>
      </c>
      <c r="GM19" s="126">
        <v>14.540153310000001</v>
      </c>
      <c r="GN19" s="126">
        <v>15.990294609999999</v>
      </c>
      <c r="GO19" s="126">
        <v>15.216920930000001</v>
      </c>
      <c r="GP19" s="126"/>
      <c r="GQ19" s="126"/>
      <c r="GR19" s="126"/>
      <c r="GS19" s="126"/>
      <c r="GT19" s="126"/>
      <c r="GU19" s="126"/>
      <c r="GV19" s="126"/>
      <c r="GW19" s="576"/>
      <c r="HC19" s="5" t="s">
        <v>447</v>
      </c>
      <c r="HD19" s="126">
        <f>GP19</f>
        <v>0</v>
      </c>
      <c r="HE19" s="260">
        <f>GP19/GD19-1</f>
        <v>-1</v>
      </c>
      <c r="HF19" s="260">
        <f>GP19/GO19-1</f>
        <v>-1</v>
      </c>
      <c r="HG19" s="126">
        <f>SUM($GL19:GP19)</f>
        <v>62.339618340000001</v>
      </c>
      <c r="HH19" s="126">
        <f>SUM($FZ19:GD19)</f>
        <v>70.737534519999997</v>
      </c>
      <c r="HI19" s="205">
        <f>HG19/HH19-1</f>
        <v>-0.11871937913846298</v>
      </c>
    </row>
    <row r="20" spans="1:217">
      <c r="A20" s="653" t="s">
        <v>783</v>
      </c>
      <c r="B20" s="648"/>
      <c r="C20" s="648"/>
      <c r="D20" s="648"/>
      <c r="E20" s="648"/>
      <c r="F20" s="648"/>
      <c r="G20" s="648"/>
      <c r="H20" s="648"/>
      <c r="I20" s="648"/>
      <c r="J20" s="648"/>
      <c r="K20" s="648"/>
      <c r="L20" s="648"/>
      <c r="M20" s="650"/>
      <c r="N20" s="648"/>
      <c r="O20" s="648"/>
      <c r="P20" s="648"/>
      <c r="Q20" s="648"/>
      <c r="R20" s="648"/>
      <c r="S20" s="648"/>
      <c r="T20" s="648"/>
      <c r="U20" s="648"/>
      <c r="V20" s="648"/>
      <c r="W20" s="648"/>
      <c r="X20" s="648"/>
      <c r="Y20" s="650"/>
      <c r="Z20" s="648"/>
      <c r="AA20" s="648"/>
      <c r="AB20" s="648"/>
      <c r="AC20" s="648"/>
      <c r="AD20" s="648"/>
      <c r="AE20" s="648"/>
      <c r="AF20" s="648"/>
      <c r="AG20" s="648"/>
      <c r="AH20" s="648"/>
      <c r="AI20" s="648"/>
      <c r="AJ20" s="648"/>
      <c r="AK20" s="650"/>
      <c r="AL20" s="648"/>
      <c r="AM20" s="648"/>
      <c r="AN20" s="648"/>
      <c r="AO20" s="648"/>
      <c r="AP20" s="648"/>
      <c r="AQ20" s="648"/>
      <c r="AR20" s="648"/>
      <c r="AS20" s="648"/>
      <c r="AT20" s="648"/>
      <c r="AU20" s="648"/>
      <c r="AV20" s="648"/>
      <c r="AW20" s="650"/>
      <c r="AX20" s="648"/>
      <c r="AY20" s="648"/>
      <c r="AZ20" s="648"/>
      <c r="BA20" s="648"/>
      <c r="BB20" s="648"/>
      <c r="BC20" s="648"/>
      <c r="BD20" s="648"/>
      <c r="BE20" s="648"/>
      <c r="BF20" s="648"/>
      <c r="BG20" s="648"/>
      <c r="BH20" s="648"/>
      <c r="BI20" s="650"/>
      <c r="BJ20" s="648"/>
      <c r="BK20" s="648"/>
      <c r="BL20" s="648"/>
      <c r="BM20" s="648"/>
      <c r="BN20" s="648"/>
      <c r="BO20" s="648"/>
      <c r="BP20" s="648"/>
      <c r="BQ20" s="648"/>
      <c r="BR20" s="648"/>
      <c r="BS20" s="648"/>
      <c r="BT20" s="648"/>
      <c r="BU20" s="650"/>
      <c r="BV20" s="648"/>
      <c r="BW20" s="648"/>
      <c r="BX20" s="648"/>
      <c r="BY20" s="648"/>
      <c r="BZ20" s="648"/>
      <c r="CA20" s="648"/>
      <c r="CB20" s="648"/>
      <c r="CC20" s="648"/>
      <c r="CD20" s="648"/>
      <c r="CE20" s="648"/>
      <c r="CF20" s="648"/>
      <c r="CG20" s="650"/>
      <c r="CH20" s="648"/>
      <c r="CI20" s="648"/>
      <c r="CJ20" s="648"/>
      <c r="CK20" s="648"/>
      <c r="CL20" s="648"/>
      <c r="CM20" s="648"/>
      <c r="CN20" s="648"/>
      <c r="CO20" s="648"/>
      <c r="CP20" s="648"/>
      <c r="CQ20" s="648"/>
      <c r="CR20" s="648"/>
      <c r="CS20" s="650"/>
      <c r="CT20" s="648"/>
      <c r="CU20" s="648"/>
      <c r="CV20" s="648"/>
      <c r="CW20" s="648"/>
      <c r="CX20" s="648"/>
      <c r="CY20" s="648"/>
      <c r="CZ20" s="648"/>
      <c r="DA20" s="648"/>
      <c r="DB20" s="648"/>
      <c r="DC20" s="648"/>
      <c r="DD20" s="648"/>
      <c r="DE20" s="650"/>
      <c r="DF20" s="648"/>
      <c r="DG20" s="648"/>
      <c r="DH20" s="648"/>
      <c r="DI20" s="648"/>
      <c r="DJ20" s="648"/>
      <c r="DK20" s="648"/>
      <c r="DL20" s="648"/>
      <c r="DM20" s="648"/>
      <c r="DN20" s="648"/>
      <c r="DO20" s="648"/>
      <c r="DP20" s="648"/>
      <c r="DQ20" s="650"/>
      <c r="DR20" s="648">
        <f t="shared" ref="DR20:DW20" si="12">SUM(DR18:DR19)</f>
        <v>25.789871230000003</v>
      </c>
      <c r="DS20" s="648">
        <f t="shared" si="12"/>
        <v>22.864452020000002</v>
      </c>
      <c r="DT20" s="648">
        <f t="shared" si="12"/>
        <v>27.341595749999996</v>
      </c>
      <c r="DU20" s="648">
        <f t="shared" si="12"/>
        <v>24.432421490000003</v>
      </c>
      <c r="DV20" s="648">
        <f t="shared" si="12"/>
        <v>25.395123289999994</v>
      </c>
      <c r="DW20" s="648">
        <f t="shared" si="12"/>
        <v>23.064999189999998</v>
      </c>
      <c r="DX20" s="648">
        <f>SUM(DX18:DX19)</f>
        <v>23.513410449999995</v>
      </c>
      <c r="DY20" s="648">
        <f t="shared" ref="DY20:FY20" si="13">SUM(DY18:DY19)</f>
        <v>22.935704240000007</v>
      </c>
      <c r="DZ20" s="648">
        <f t="shared" si="13"/>
        <v>26.348595680000006</v>
      </c>
      <c r="EA20" s="648">
        <f t="shared" si="13"/>
        <v>28.24041462000001</v>
      </c>
      <c r="EB20" s="648">
        <f t="shared" si="13"/>
        <v>27.388370049999999</v>
      </c>
      <c r="EC20" s="650">
        <f t="shared" si="13"/>
        <v>29.740016639999983</v>
      </c>
      <c r="ED20" s="648">
        <f t="shared" si="13"/>
        <v>30.732200310000017</v>
      </c>
      <c r="EE20" s="648">
        <f t="shared" si="13"/>
        <v>28.819115639999996</v>
      </c>
      <c r="EF20" s="648">
        <f t="shared" si="13"/>
        <v>12.510564579999997</v>
      </c>
      <c r="EG20" s="648">
        <f t="shared" si="13"/>
        <v>7.3288383799999997</v>
      </c>
      <c r="EH20" s="648">
        <f t="shared" si="13"/>
        <v>7.5221024000000014</v>
      </c>
      <c r="EI20" s="648">
        <f t="shared" si="13"/>
        <v>15.430605470000003</v>
      </c>
      <c r="EJ20" s="648">
        <f t="shared" si="13"/>
        <v>30.443110429999994</v>
      </c>
      <c r="EK20" s="648">
        <f t="shared" si="13"/>
        <v>30.874999940000002</v>
      </c>
      <c r="EL20" s="648">
        <f t="shared" si="13"/>
        <v>31.449372090000004</v>
      </c>
      <c r="EM20" s="648">
        <f t="shared" si="13"/>
        <v>28.204431259999996</v>
      </c>
      <c r="EN20" s="648">
        <f t="shared" si="13"/>
        <v>10.642603319999996</v>
      </c>
      <c r="EO20" s="650">
        <f t="shared" si="13"/>
        <v>11.049600890000002</v>
      </c>
      <c r="EP20" s="648">
        <f t="shared" si="13"/>
        <v>10.332288369999997</v>
      </c>
      <c r="EQ20" s="648">
        <f t="shared" si="13"/>
        <v>8.6851707299999994</v>
      </c>
      <c r="ER20" s="648">
        <f t="shared" si="13"/>
        <v>9.6168330099999988</v>
      </c>
      <c r="ES20" s="648">
        <f t="shared" si="13"/>
        <v>10.056451770000001</v>
      </c>
      <c r="ET20" s="648">
        <f t="shared" si="13"/>
        <v>8.9455984799999975</v>
      </c>
      <c r="EU20" s="648">
        <f t="shared" si="13"/>
        <v>15.914059860000004</v>
      </c>
      <c r="EV20" s="648">
        <f t="shared" si="13"/>
        <v>31.426689880000005</v>
      </c>
      <c r="EW20" s="648">
        <f t="shared" si="13"/>
        <v>29.800973020000004</v>
      </c>
      <c r="EX20" s="648">
        <f t="shared" si="13"/>
        <v>33.809580850000003</v>
      </c>
      <c r="EY20" s="648">
        <f t="shared" si="13"/>
        <v>40.420578019999979</v>
      </c>
      <c r="EZ20" s="648">
        <f t="shared" si="13"/>
        <v>35.224201099999988</v>
      </c>
      <c r="FA20" s="650">
        <f t="shared" si="13"/>
        <v>38.469898540000024</v>
      </c>
      <c r="FB20" s="648">
        <f t="shared" si="13"/>
        <v>37.827160960000022</v>
      </c>
      <c r="FC20" s="648">
        <f t="shared" si="13"/>
        <v>34.693517049999997</v>
      </c>
      <c r="FD20" s="648">
        <f t="shared" si="13"/>
        <v>38.187449080000007</v>
      </c>
      <c r="FE20" s="648">
        <f t="shared" si="13"/>
        <v>36.527002029999991</v>
      </c>
      <c r="FF20" s="648">
        <f t="shared" si="13"/>
        <v>36.970929110000007</v>
      </c>
      <c r="FG20" s="648">
        <f t="shared" si="13"/>
        <v>34.721519329999992</v>
      </c>
      <c r="FH20" s="648">
        <f t="shared" si="13"/>
        <v>33.13592718000001</v>
      </c>
      <c r="FI20" s="648">
        <f t="shared" si="13"/>
        <v>37.950636409999987</v>
      </c>
      <c r="FJ20" s="648">
        <f t="shared" si="13"/>
        <v>38.407956640000016</v>
      </c>
      <c r="FK20" s="648">
        <f t="shared" si="13"/>
        <v>43.691470850000002</v>
      </c>
      <c r="FL20" s="648">
        <f t="shared" si="13"/>
        <v>44.367203670000009</v>
      </c>
      <c r="FM20" s="650">
        <f t="shared" si="13"/>
        <v>49.294258620000001</v>
      </c>
      <c r="FN20" s="648">
        <f t="shared" si="13"/>
        <v>46.568146480000003</v>
      </c>
      <c r="FO20" s="648">
        <f t="shared" si="13"/>
        <v>41.832512010000002</v>
      </c>
      <c r="FP20" s="648">
        <f t="shared" si="13"/>
        <v>46.144461210000003</v>
      </c>
      <c r="FQ20" s="648">
        <f t="shared" si="13"/>
        <v>45.471027530000001</v>
      </c>
      <c r="FR20" s="648">
        <f t="shared" si="13"/>
        <v>45.107799489999998</v>
      </c>
      <c r="FS20" s="648">
        <f t="shared" si="13"/>
        <v>41.489780889999999</v>
      </c>
      <c r="FT20" s="648">
        <f t="shared" si="13"/>
        <v>39.406276349999999</v>
      </c>
      <c r="FU20" s="648">
        <f t="shared" si="13"/>
        <v>42.87854093</v>
      </c>
      <c r="FV20" s="648">
        <f t="shared" si="13"/>
        <v>47.389811409999993</v>
      </c>
      <c r="FW20" s="648">
        <f t="shared" si="13"/>
        <v>51.87507085</v>
      </c>
      <c r="FX20" s="648">
        <f t="shared" si="13"/>
        <v>49.718625330000002</v>
      </c>
      <c r="FY20" s="650">
        <f t="shared" si="13"/>
        <v>55.563064019999999</v>
      </c>
      <c r="FZ20" s="648">
        <f t="shared" ref="FZ20:GK20" si="14">SUM(FZ18:FZ19)</f>
        <v>55.766193749999999</v>
      </c>
      <c r="GA20" s="648">
        <f t="shared" si="14"/>
        <v>50.535215770000001</v>
      </c>
      <c r="GB20" s="648">
        <f>SUM(GB18:GB19)</f>
        <v>54.224339479999998</v>
      </c>
      <c r="GC20" s="648">
        <f t="shared" si="14"/>
        <v>51.716880369999998</v>
      </c>
      <c r="GD20" s="648">
        <f t="shared" si="14"/>
        <v>53.979573719999998</v>
      </c>
      <c r="GE20" s="648">
        <f t="shared" si="14"/>
        <v>50.91295550000001</v>
      </c>
      <c r="GF20" s="648">
        <f t="shared" si="14"/>
        <v>49.877236959999998</v>
      </c>
      <c r="GG20" s="648">
        <f t="shared" si="14"/>
        <v>50.95462603</v>
      </c>
      <c r="GH20" s="648">
        <f t="shared" si="14"/>
        <v>56.610595529999998</v>
      </c>
      <c r="GI20" s="648">
        <v>59.530351250000002</v>
      </c>
      <c r="GJ20" s="648">
        <v>57.483973929999998</v>
      </c>
      <c r="GK20" s="650">
        <f t="shared" si="14"/>
        <v>62.879894400000055</v>
      </c>
      <c r="GL20" s="648">
        <f t="shared" ref="GL20:GM20" si="15">SUM(GL18:GL19)</f>
        <v>62.749976109999999</v>
      </c>
      <c r="GM20" s="648">
        <f t="shared" si="15"/>
        <v>53.482426689999997</v>
      </c>
      <c r="GN20" s="648">
        <f>SUM(GN18:GN19)</f>
        <v>59.790294610000018</v>
      </c>
      <c r="GO20" s="648">
        <f t="shared" ref="GO20:GV20" si="16">SUM(GO18:GO19)</f>
        <v>58.361553059999999</v>
      </c>
      <c r="GP20" s="648">
        <f t="shared" si="16"/>
        <v>0</v>
      </c>
      <c r="GQ20" s="648">
        <f t="shared" si="16"/>
        <v>0</v>
      </c>
      <c r="GR20" s="648">
        <f t="shared" si="16"/>
        <v>0</v>
      </c>
      <c r="GS20" s="648">
        <f t="shared" si="16"/>
        <v>0</v>
      </c>
      <c r="GT20" s="648">
        <f t="shared" si="16"/>
        <v>0</v>
      </c>
      <c r="GU20" s="648">
        <f t="shared" si="16"/>
        <v>0</v>
      </c>
      <c r="GV20" s="648">
        <f t="shared" si="16"/>
        <v>0</v>
      </c>
      <c r="GW20" s="650">
        <f t="shared" ref="GW20" si="17">SUM(GW18:GW19)</f>
        <v>0</v>
      </c>
      <c r="HC20" s="653" t="s">
        <v>783</v>
      </c>
      <c r="HD20" s="648">
        <f>SUM(HD18:HD19)</f>
        <v>0</v>
      </c>
      <c r="HE20" s="811">
        <f>GP20/GD20-1</f>
        <v>-1</v>
      </c>
      <c r="HF20" s="811">
        <f>GP20/GO20-1</f>
        <v>-1</v>
      </c>
      <c r="HG20" s="648">
        <f>SUM(HG18:HG19)</f>
        <v>234.38425046999998</v>
      </c>
      <c r="HH20" s="648">
        <f>SUM(HH18:HH19)</f>
        <v>266.22220308999999</v>
      </c>
      <c r="HI20" s="774">
        <f>HG20/HH20-1</f>
        <v>-0.11959165032240671</v>
      </c>
    </row>
    <row r="21" spans="1:217">
      <c r="A21" s="654" t="s">
        <v>454</v>
      </c>
      <c r="M21" s="115"/>
      <c r="Y21" s="115"/>
      <c r="AK21" s="115"/>
      <c r="AW21" s="115"/>
      <c r="BH21" s="655"/>
      <c r="BI21" s="651"/>
      <c r="BJ21" s="655"/>
      <c r="BK21" s="655"/>
      <c r="BL21" s="655"/>
      <c r="BM21" s="655"/>
      <c r="BN21" s="655"/>
      <c r="BO21" s="655"/>
      <c r="BP21" s="655"/>
      <c r="BQ21" s="655"/>
      <c r="BR21" s="655"/>
      <c r="BS21" s="655"/>
      <c r="BT21" s="655"/>
      <c r="BU21" s="651"/>
      <c r="BV21" s="655"/>
      <c r="BW21" s="655"/>
      <c r="BX21" s="655"/>
      <c r="BY21" s="655"/>
      <c r="BZ21" s="655"/>
      <c r="CA21" s="655"/>
      <c r="CB21" s="655"/>
      <c r="CC21" s="655"/>
      <c r="CD21" s="655"/>
      <c r="CE21" s="655"/>
      <c r="CF21" s="655"/>
      <c r="CG21" s="651"/>
      <c r="CH21" s="655"/>
      <c r="CI21" s="655"/>
      <c r="CJ21" s="655"/>
      <c r="CK21" s="655"/>
      <c r="CL21" s="655"/>
      <c r="CM21" s="655"/>
      <c r="CN21" s="655"/>
      <c r="CO21" s="655"/>
      <c r="CP21" s="655"/>
      <c r="CQ21" s="655"/>
      <c r="CR21" s="655"/>
      <c r="CS21" s="651"/>
      <c r="CT21" s="655"/>
      <c r="CU21" s="655"/>
      <c r="CV21" s="655"/>
      <c r="CW21" s="655"/>
      <c r="CX21" s="655"/>
      <c r="CY21" s="655"/>
      <c r="CZ21" s="655"/>
      <c r="DA21" s="655"/>
      <c r="DB21" s="655"/>
      <c r="DC21" s="655"/>
      <c r="DD21" s="655"/>
      <c r="DE21" s="651"/>
      <c r="DF21" s="655"/>
      <c r="DG21" s="655"/>
      <c r="DH21" s="655"/>
      <c r="DI21" s="655"/>
      <c r="DJ21" s="655"/>
      <c r="DK21" s="655"/>
      <c r="DL21" s="655"/>
      <c r="DM21" s="655"/>
      <c r="DN21" s="655"/>
      <c r="DO21" s="655"/>
      <c r="DP21" s="655"/>
      <c r="DQ21" s="651"/>
      <c r="DR21" s="655">
        <f t="shared" ref="DR21:FY21" si="18">DR19/DR20</f>
        <v>8.9407263007881252E-2</v>
      </c>
      <c r="DS21" s="655">
        <f t="shared" si="18"/>
        <v>8.9276248047163997E-2</v>
      </c>
      <c r="DT21" s="655">
        <f t="shared" si="18"/>
        <v>8.8498281962931899E-2</v>
      </c>
      <c r="DU21" s="655">
        <f t="shared" si="18"/>
        <v>8.9981418784045364E-2</v>
      </c>
      <c r="DV21" s="655">
        <f t="shared" si="18"/>
        <v>8.8333165166531502E-2</v>
      </c>
      <c r="DW21" s="655">
        <f t="shared" si="18"/>
        <v>8.9056969526821822E-2</v>
      </c>
      <c r="DX21" s="655">
        <f t="shared" si="18"/>
        <v>8.3766189264135441E-2</v>
      </c>
      <c r="DY21" s="655">
        <f t="shared" si="18"/>
        <v>9.8671882333271649E-2</v>
      </c>
      <c r="DZ21" s="655">
        <f t="shared" si="18"/>
        <v>0.1071524548893909</v>
      </c>
      <c r="EA21" s="655">
        <f t="shared" si="18"/>
        <v>0.1037431368987457</v>
      </c>
      <c r="EB21" s="655">
        <f t="shared" si="18"/>
        <v>0.11617880670485536</v>
      </c>
      <c r="EC21" s="651">
        <f t="shared" si="18"/>
        <v>0.11162410701327707</v>
      </c>
      <c r="ED21" s="655">
        <f t="shared" si="18"/>
        <v>0.10376991649902462</v>
      </c>
      <c r="EE21" s="655">
        <f t="shared" si="18"/>
        <v>0.10455548871242187</v>
      </c>
      <c r="EF21" s="655">
        <f t="shared" si="18"/>
        <v>0.4525852821264123</v>
      </c>
      <c r="EG21" s="655">
        <f t="shared" si="18"/>
        <v>1</v>
      </c>
      <c r="EH21" s="655">
        <f t="shared" si="18"/>
        <v>0.99999950811624161</v>
      </c>
      <c r="EI21" s="655">
        <f t="shared" si="18"/>
        <v>0.44053306159735539</v>
      </c>
      <c r="EJ21" s="655">
        <f t="shared" si="18"/>
        <v>0.1764565816082414</v>
      </c>
      <c r="EK21" s="655">
        <f t="shared" si="18"/>
        <v>0.16407438412451703</v>
      </c>
      <c r="EL21" s="655">
        <f t="shared" si="18"/>
        <v>0.16664598501368674</v>
      </c>
      <c r="EM21" s="655">
        <f t="shared" si="18"/>
        <v>0.20140049688064512</v>
      </c>
      <c r="EN21" s="655">
        <f t="shared" si="18"/>
        <v>0.94232112843608273</v>
      </c>
      <c r="EO21" s="651">
        <f t="shared" si="18"/>
        <v>0.99999972849698104</v>
      </c>
      <c r="EP21" s="655">
        <f t="shared" si="18"/>
        <v>0.99999990321601917</v>
      </c>
      <c r="EQ21" s="655">
        <f t="shared" si="18"/>
        <v>1</v>
      </c>
      <c r="ER21" s="655">
        <f t="shared" si="18"/>
        <v>0.99999989601566353</v>
      </c>
      <c r="ES21" s="655">
        <f t="shared" si="18"/>
        <v>0.9999998011226976</v>
      </c>
      <c r="ET21" s="655">
        <f t="shared" si="18"/>
        <v>0.99958274116501589</v>
      </c>
      <c r="EU21" s="655">
        <f t="shared" si="18"/>
        <v>0.45082710654074415</v>
      </c>
      <c r="EV21" s="655">
        <f t="shared" si="18"/>
        <v>0.22266089227721111</v>
      </c>
      <c r="EW21" s="655">
        <f t="shared" si="18"/>
        <v>0.26762054731057228</v>
      </c>
      <c r="EX21" s="655">
        <f t="shared" si="18"/>
        <v>0.24065854043263019</v>
      </c>
      <c r="EY21" s="655">
        <f t="shared" si="18"/>
        <v>0.23076033834510706</v>
      </c>
      <c r="EZ21" s="655">
        <f t="shared" si="18"/>
        <v>0.24321074353621053</v>
      </c>
      <c r="FA21" s="651">
        <f t="shared" si="18"/>
        <v>0.25715700886795195</v>
      </c>
      <c r="FB21" s="655">
        <f t="shared" si="18"/>
        <v>0.24620649431894348</v>
      </c>
      <c r="FC21" s="655">
        <f t="shared" si="18"/>
        <v>0.2318279256152844</v>
      </c>
      <c r="FD21" s="655">
        <f t="shared" si="18"/>
        <v>0.21989386178711468</v>
      </c>
      <c r="FE21" s="655">
        <f t="shared" si="18"/>
        <v>0.22797881011862497</v>
      </c>
      <c r="FF21" s="655">
        <f t="shared" si="18"/>
        <v>0.23031282483233212</v>
      </c>
      <c r="FG21" s="655">
        <f t="shared" si="18"/>
        <v>0.21123141934814646</v>
      </c>
      <c r="FH21" s="655">
        <f t="shared" si="18"/>
        <v>0.23455014123434578</v>
      </c>
      <c r="FI21" s="655">
        <f t="shared" si="18"/>
        <v>0.23555667613638326</v>
      </c>
      <c r="FJ21" s="655">
        <f t="shared" si="18"/>
        <v>0.24198160571553901</v>
      </c>
      <c r="FK21" s="655">
        <f t="shared" si="18"/>
        <v>0.23153282627471905</v>
      </c>
      <c r="FL21" s="655">
        <f t="shared" si="18"/>
        <v>0.25061638913967643</v>
      </c>
      <c r="FM21" s="651">
        <f t="shared" si="18"/>
        <v>0.24977668139641054</v>
      </c>
      <c r="FN21" s="655">
        <f t="shared" si="18"/>
        <v>0.24454798699988978</v>
      </c>
      <c r="FO21" s="655">
        <f t="shared" si="18"/>
        <v>0.25212816857564563</v>
      </c>
      <c r="FP21" s="655">
        <f t="shared" si="18"/>
        <v>0.23652950069844364</v>
      </c>
      <c r="FQ21" s="655">
        <f t="shared" si="18"/>
        <v>0.22970722166128274</v>
      </c>
      <c r="FR21" s="655">
        <f t="shared" si="18"/>
        <v>0.24072582441994889</v>
      </c>
      <c r="FS21" s="655">
        <f t="shared" si="18"/>
        <v>0.24525055572063784</v>
      </c>
      <c r="FT21" s="655">
        <f t="shared" si="18"/>
        <v>0.24021563915160435</v>
      </c>
      <c r="FU21" s="655">
        <f t="shared" si="18"/>
        <v>0.25217341438115021</v>
      </c>
      <c r="FV21" s="655">
        <f t="shared" si="18"/>
        <v>0.2551141490183027</v>
      </c>
      <c r="FW21" s="655">
        <f t="shared" si="18"/>
        <v>0.26168775536236205</v>
      </c>
      <c r="FX21" s="655">
        <f t="shared" si="18"/>
        <v>0.25931590132321142</v>
      </c>
      <c r="FY21" s="651">
        <f t="shared" si="18"/>
        <v>0.26204291118213247</v>
      </c>
      <c r="FZ21" s="655">
        <f t="shared" ref="FZ21:GK21" si="19">FZ19/FZ20</f>
        <v>0.26837395101938438</v>
      </c>
      <c r="GA21" s="655">
        <f>GA19/GA20</f>
        <v>0.27209094945950002</v>
      </c>
      <c r="GB21" s="655">
        <f>GB19/GB20</f>
        <v>0.27154483800454399</v>
      </c>
      <c r="GC21" s="655">
        <f t="shared" si="19"/>
        <v>0.25242026233223086</v>
      </c>
      <c r="GD21" s="655">
        <f t="shared" si="19"/>
        <v>0.26384865530575741</v>
      </c>
      <c r="GE21" s="655">
        <f t="shared" si="19"/>
        <v>0.25774019070646953</v>
      </c>
      <c r="GF21" s="655">
        <f t="shared" si="19"/>
        <v>0.28223770637674878</v>
      </c>
      <c r="GG21" s="655">
        <f t="shared" si="19"/>
        <v>0.29268010192479083</v>
      </c>
      <c r="GH21" s="655">
        <f t="shared" si="19"/>
        <v>0.28260832588347795</v>
      </c>
      <c r="GI21" s="655">
        <f t="shared" si="19"/>
        <v>0.28019684110296594</v>
      </c>
      <c r="GJ21" s="655">
        <f t="shared" si="19"/>
        <v>0.26753660348408692</v>
      </c>
      <c r="GK21" s="651">
        <f t="shared" si="19"/>
        <v>0.28911039328971877</v>
      </c>
      <c r="GL21" s="655">
        <f t="shared" ref="GL21" si="20">GL19/GL20</f>
        <v>0.26441841923435916</v>
      </c>
      <c r="GM21" s="655">
        <f>GM19/GM20</f>
        <v>0.27186786781906963</v>
      </c>
      <c r="GN21" s="655">
        <f>GN19/GN20</f>
        <v>0.26743963571849666</v>
      </c>
      <c r="GO21" s="980">
        <f t="shared" ref="GO21:GW21" si="21">GO19/GO20</f>
        <v>0.26073536655811541</v>
      </c>
      <c r="GP21" s="655" t="e">
        <f t="shared" si="21"/>
        <v>#DIV/0!</v>
      </c>
      <c r="GQ21" s="655" t="e">
        <f t="shared" si="21"/>
        <v>#DIV/0!</v>
      </c>
      <c r="GR21" s="655" t="e">
        <f t="shared" si="21"/>
        <v>#DIV/0!</v>
      </c>
      <c r="GS21" s="655" t="e">
        <f t="shared" si="21"/>
        <v>#DIV/0!</v>
      </c>
      <c r="GT21" s="655" t="e">
        <f t="shared" si="21"/>
        <v>#DIV/0!</v>
      </c>
      <c r="GU21" s="655" t="e">
        <f t="shared" si="21"/>
        <v>#DIV/0!</v>
      </c>
      <c r="GV21" s="655" t="e">
        <f t="shared" si="21"/>
        <v>#DIV/0!</v>
      </c>
      <c r="GW21" s="651" t="e">
        <f t="shared" si="21"/>
        <v>#DIV/0!</v>
      </c>
      <c r="HC21" s="654" t="s">
        <v>454</v>
      </c>
      <c r="HD21" s="655" t="e">
        <f>HD19/HD20</f>
        <v>#DIV/0!</v>
      </c>
      <c r="HE21" s="655"/>
      <c r="HF21" s="655"/>
      <c r="HG21" s="655">
        <f>HG19/HG20</f>
        <v>0.26597187402734279</v>
      </c>
      <c r="HH21" s="655">
        <f>HH19/HH20</f>
        <v>0.26570862121551231</v>
      </c>
      <c r="HI21" s="651"/>
    </row>
    <row r="22" spans="1:217">
      <c r="A22" s="5"/>
      <c r="M22" s="115"/>
      <c r="Y22" s="115"/>
      <c r="AK22" s="115"/>
      <c r="AW22" s="115"/>
      <c r="BI22" s="115"/>
      <c r="BU22" s="115"/>
      <c r="CG22" s="115"/>
      <c r="CS22" s="115"/>
      <c r="DE22" s="115"/>
      <c r="DQ22" s="115"/>
      <c r="DR22" s="209"/>
      <c r="DS22" s="209"/>
      <c r="DT22" s="209"/>
      <c r="DU22" s="209"/>
      <c r="DV22" s="209"/>
      <c r="DW22" s="209"/>
      <c r="DX22" s="209"/>
      <c r="DY22" s="209"/>
      <c r="DZ22" s="209"/>
      <c r="EA22" s="209"/>
      <c r="EB22" s="209"/>
      <c r="EC22" s="210"/>
      <c r="ED22" s="209"/>
      <c r="EE22" s="209"/>
      <c r="EF22" s="209"/>
      <c r="EG22" s="209"/>
      <c r="EH22" s="209"/>
      <c r="EI22" s="209"/>
      <c r="EJ22" s="209"/>
      <c r="EK22" s="209"/>
      <c r="EL22" s="209"/>
      <c r="EM22" s="209"/>
      <c r="EN22" s="209"/>
      <c r="EO22" s="210"/>
      <c r="EP22" s="209"/>
      <c r="EQ22" s="209"/>
      <c r="ER22" s="209"/>
      <c r="ES22" s="209"/>
      <c r="ET22" s="209"/>
      <c r="EU22" s="209"/>
      <c r="EV22" s="209"/>
      <c r="EW22" s="209"/>
      <c r="EX22" s="209"/>
      <c r="EY22" s="209"/>
      <c r="EZ22" s="209"/>
      <c r="FA22" s="210"/>
      <c r="FB22" s="209"/>
      <c r="FC22" s="209"/>
      <c r="FD22" s="209"/>
      <c r="FE22" s="209"/>
      <c r="FF22" s="209"/>
      <c r="FG22" s="209"/>
      <c r="FH22" s="209"/>
      <c r="FI22" s="209"/>
      <c r="FJ22" s="209"/>
      <c r="FK22" s="209"/>
      <c r="FL22" s="209"/>
      <c r="FM22" s="210"/>
      <c r="FY22" s="115"/>
      <c r="GK22" s="115"/>
      <c r="GW22" s="115"/>
      <c r="HC22" s="654"/>
      <c r="HI22" s="205"/>
    </row>
    <row r="23" spans="1:217">
      <c r="A23" s="5" t="s">
        <v>503</v>
      </c>
      <c r="B23" s="126">
        <f>'Archive Detailed Monthly'!N120-B24</f>
        <v>87.344025936382721</v>
      </c>
      <c r="C23" s="126">
        <f>'Archive Detailed Monthly'!O120-C24</f>
        <v>140.75368621935999</v>
      </c>
      <c r="D23" s="126">
        <f>'Archive Detailed Monthly'!P120-D24</f>
        <v>92.847562490675273</v>
      </c>
      <c r="E23" s="126">
        <f>'Archive Detailed Monthly'!Q120-E24</f>
        <v>56.801514328961161</v>
      </c>
      <c r="F23" s="126">
        <f>'Archive Detailed Monthly'!R120-F24</f>
        <v>40.804205893370629</v>
      </c>
      <c r="G23" s="126">
        <f>'Archive Detailed Monthly'!S120-G24</f>
        <v>34.003688218430682</v>
      </c>
      <c r="H23" s="126">
        <f>'Archive Detailed Monthly'!T120-H24</f>
        <v>22.955872017907481</v>
      </c>
      <c r="I23" s="126">
        <f>'Archive Detailed Monthly'!U120-I24</f>
        <v>-6.9967980699580892</v>
      </c>
      <c r="J23" s="126">
        <f>'Archive Detailed Monthly'!V120-J24</f>
        <v>93.530778355405587</v>
      </c>
      <c r="K23" s="126">
        <f>'Archive Detailed Monthly'!W120-K24</f>
        <v>102.6790681652372</v>
      </c>
      <c r="L23" s="126">
        <f>'Archive Detailed Monthly'!X120-L24</f>
        <v>113.73376215732777</v>
      </c>
      <c r="M23" s="127">
        <f>'Archive Detailed Monthly'!Y120-M24</f>
        <v>29.270856577243908</v>
      </c>
      <c r="N23" s="126">
        <f>'Archive Detailed Monthly'!Z120-N24</f>
        <v>52.014137000000012</v>
      </c>
      <c r="O23" s="126">
        <f>'Archive Detailed Monthly'!AA120-O24</f>
        <v>50.617198000000002</v>
      </c>
      <c r="P23" s="126">
        <f>'Archive Detailed Monthly'!AB120-P24</f>
        <v>66.94265900000002</v>
      </c>
      <c r="Q23" s="126">
        <f>'Archive Detailed Monthly'!AC120-Q24</f>
        <v>62.69618999999998</v>
      </c>
      <c r="R23" s="126">
        <f>'Archive Detailed Monthly'!AD120-R24</f>
        <v>36.481238999999995</v>
      </c>
      <c r="S23" s="126">
        <f>'Archive Detailed Monthly'!AE120-S24</f>
        <v>38.063546660728555</v>
      </c>
      <c r="T23" s="126">
        <f>'Archive Detailed Monthly'!AF120-T24</f>
        <v>50.348712999999996</v>
      </c>
      <c r="U23" s="126">
        <f>'Archive Detailed Monthly'!AG120-U24</f>
        <v>51.807050336299994</v>
      </c>
      <c r="V23" s="126">
        <f>'Archive Detailed Monthly'!AH120-V24</f>
        <v>74.039338999999984</v>
      </c>
      <c r="W23" s="126">
        <f>'Archive Detailed Monthly'!AI120-W24</f>
        <v>9.4374589999999845</v>
      </c>
      <c r="X23" s="126">
        <f>'Archive Detailed Monthly'!AJ120-X24</f>
        <v>75.725446000000005</v>
      </c>
      <c r="Y23" s="127">
        <f>'Archive Detailed Monthly'!AK120-Y24</f>
        <v>29.270824619500001</v>
      </c>
      <c r="Z23" s="126">
        <f>'Archive Detailed Monthly'!AL120-Z24</f>
        <v>54.043257319199974</v>
      </c>
      <c r="AA23" s="126">
        <f>'Archive Detailed Monthly'!AM120-AA24</f>
        <v>96.693539166999983</v>
      </c>
      <c r="AB23" s="126">
        <f>'Archive Detailed Monthly'!AN120-AB24</f>
        <v>8.9873827846000118</v>
      </c>
      <c r="AC23" s="126">
        <f>'Archive Detailed Monthly'!AO120-AC24</f>
        <v>81.763830501300021</v>
      </c>
      <c r="AD23" s="126">
        <f>'Archive Detailed Monthly'!AP120-AD24</f>
        <v>21.760537576450009</v>
      </c>
      <c r="AE23" s="126">
        <f>'Archive Detailed Monthly'!AQ120-AE24</f>
        <v>4.7601869339800071</v>
      </c>
      <c r="AF23" s="126">
        <f>'Archive Detailed Monthly'!AR120-AF24</f>
        <v>27.684689280000011</v>
      </c>
      <c r="AG23" s="126">
        <f>'Archive Detailed Monthly'!AS120-AG24</f>
        <v>27.889372380900014</v>
      </c>
      <c r="AH23" s="126">
        <f>'Archive Detailed Monthly'!AT120-AH24</f>
        <v>54.444000000000003</v>
      </c>
      <c r="AI23" s="126">
        <f>'Archive Detailed Monthly'!AU120-AI24</f>
        <v>84.365897892000007</v>
      </c>
      <c r="AJ23" s="126">
        <f>'Archive Detailed Monthly'!AV120-AJ24</f>
        <v>74.349343137400012</v>
      </c>
      <c r="AK23" s="127">
        <f>'Archive Detailed Monthly'!AW120-AK24</f>
        <v>77.816644999999994</v>
      </c>
      <c r="AL23" s="126">
        <f>'Archive Detailed Monthly'!AX120-AL24</f>
        <v>99.739152999999988</v>
      </c>
      <c r="AM23" s="126">
        <f>'Archive Detailed Monthly'!AY120-AM24</f>
        <v>75.605353000000008</v>
      </c>
      <c r="AN23" s="126">
        <f>'Archive Detailed Monthly'!AZ120-AN24</f>
        <v>72.382471210499972</v>
      </c>
      <c r="AO23" s="126">
        <f>'Archive Detailed Monthly'!BA120-AO24</f>
        <v>64.564884261299994</v>
      </c>
      <c r="AP23" s="126">
        <f>'Archive Detailed Monthly'!BB120-AP24</f>
        <v>27.141685039999999</v>
      </c>
      <c r="AQ23" s="126">
        <f>'Archive Detailed Monthly'!BC120-AQ24</f>
        <v>27.170544939999999</v>
      </c>
      <c r="AR23" s="126">
        <f>'Archive Detailed Monthly'!BD120-AR24</f>
        <v>33.676898000000001</v>
      </c>
      <c r="AS23" s="126">
        <f>'Archive Detailed Monthly'!BE120-AS24</f>
        <v>31.287078000000001</v>
      </c>
      <c r="AT23" s="126">
        <f>'Archive Detailed Monthly'!BF120-AT24</f>
        <v>-7.3758119999999998</v>
      </c>
      <c r="AU23" s="126">
        <f>'Archive Detailed Monthly'!BG120-AU24</f>
        <v>66.301078000000004</v>
      </c>
      <c r="AV23" s="126">
        <f>'Archive Detailed Monthly'!BH120-AV24</f>
        <v>56.345666857937076</v>
      </c>
      <c r="AW23" s="127">
        <f>'Archive Detailed Monthly'!BI120-AW24</f>
        <v>58.059464262248419</v>
      </c>
      <c r="AX23" s="126">
        <v>89.85</v>
      </c>
      <c r="AY23" s="126">
        <v>61.38</v>
      </c>
      <c r="AZ23" s="126">
        <v>59.61</v>
      </c>
      <c r="BA23" s="126">
        <v>63.92</v>
      </c>
      <c r="BB23" s="126">
        <v>26</v>
      </c>
      <c r="BC23" s="126">
        <v>28.27</v>
      </c>
      <c r="BD23" s="126">
        <v>33.29</v>
      </c>
      <c r="BE23" s="126">
        <v>30.08</v>
      </c>
      <c r="BF23" s="126">
        <v>4.3600000000000003</v>
      </c>
      <c r="BG23" s="126">
        <v>72.36</v>
      </c>
      <c r="BH23" s="126">
        <v>56.36</v>
      </c>
      <c r="BI23" s="127">
        <v>64.510000000000005</v>
      </c>
      <c r="BJ23" s="126">
        <v>83.81</v>
      </c>
      <c r="BK23" s="126">
        <v>49.85</v>
      </c>
      <c r="BL23" s="126">
        <v>49.44</v>
      </c>
      <c r="BM23" s="126">
        <v>65.97</v>
      </c>
      <c r="BN23" s="126">
        <v>25.97</v>
      </c>
      <c r="BO23" s="126">
        <v>30.55</v>
      </c>
      <c r="BP23" s="126">
        <v>34.299999999999997</v>
      </c>
      <c r="BQ23" s="126">
        <v>30.15</v>
      </c>
      <c r="BR23" s="126">
        <v>16.18</v>
      </c>
      <c r="BS23" s="126">
        <v>81.41</v>
      </c>
      <c r="BT23" s="126">
        <v>58.75</v>
      </c>
      <c r="BU23" s="127">
        <v>73.62</v>
      </c>
      <c r="BV23" s="126">
        <v>65.83</v>
      </c>
      <c r="BW23" s="126">
        <v>32.18</v>
      </c>
      <c r="BX23" s="126">
        <v>33.04</v>
      </c>
      <c r="BY23" s="126">
        <v>57.79</v>
      </c>
      <c r="BZ23" s="126">
        <v>22.01</v>
      </c>
      <c r="CA23" s="126">
        <v>27.93</v>
      </c>
      <c r="CB23" s="126">
        <v>30</v>
      </c>
      <c r="CC23" s="126">
        <v>25.65</v>
      </c>
      <c r="CD23" s="126">
        <v>24.11</v>
      </c>
      <c r="CE23" s="126">
        <v>77.03</v>
      </c>
      <c r="CF23" s="126">
        <v>51.95</v>
      </c>
      <c r="CG23" s="127">
        <v>70.48</v>
      </c>
      <c r="CH23" s="126">
        <v>80.846999999999994</v>
      </c>
      <c r="CI23" s="126">
        <v>36.069000000000003</v>
      </c>
      <c r="CJ23" s="126">
        <v>52.482999999999997</v>
      </c>
      <c r="CK23" s="126">
        <v>49.569000000000003</v>
      </c>
      <c r="CL23" s="126">
        <v>32.722999999999999</v>
      </c>
      <c r="CM23" s="126">
        <v>42.13</v>
      </c>
      <c r="CN23" s="126">
        <v>44.061</v>
      </c>
      <c r="CO23" s="126">
        <v>24.962</v>
      </c>
      <c r="CP23" s="126">
        <v>66.790000000000006</v>
      </c>
      <c r="CQ23" s="126">
        <v>70.260000000000005</v>
      </c>
      <c r="CR23" s="126">
        <v>53.32</v>
      </c>
      <c r="CS23" s="127">
        <v>30.13</v>
      </c>
      <c r="CT23" s="126">
        <v>82.45</v>
      </c>
      <c r="CU23" s="126">
        <v>16.36</v>
      </c>
      <c r="CV23" s="126">
        <v>21.47</v>
      </c>
      <c r="CW23" s="126">
        <v>92.88</v>
      </c>
      <c r="CX23" s="126">
        <v>33.1</v>
      </c>
      <c r="CY23" s="126">
        <v>48.49</v>
      </c>
      <c r="CZ23" s="126">
        <v>48.07</v>
      </c>
      <c r="DA23" s="126">
        <v>38.89</v>
      </c>
      <c r="DB23" s="126">
        <v>69.37</v>
      </c>
      <c r="DC23" s="126">
        <v>141.44999999999999</v>
      </c>
      <c r="DD23" s="126">
        <v>85.02</v>
      </c>
      <c r="DE23" s="127">
        <v>131.72999999999999</v>
      </c>
      <c r="DF23" s="126">
        <v>89.73</v>
      </c>
      <c r="DG23" s="126">
        <v>73.149198600000005</v>
      </c>
      <c r="DH23" s="126">
        <f>59.780025</f>
        <v>59.780025000000002</v>
      </c>
      <c r="DI23" s="126">
        <v>87.8</v>
      </c>
      <c r="DJ23" s="126">
        <v>52.133837999999997</v>
      </c>
      <c r="DK23" s="126">
        <f>DK25-DK24</f>
        <v>65.209339999999969</v>
      </c>
      <c r="DL23" s="126">
        <f>DL25-DL24</f>
        <v>62.836491199999976</v>
      </c>
      <c r="DM23" s="126">
        <v>61.438973599999997</v>
      </c>
      <c r="DN23" s="126">
        <v>79.124564289999967</v>
      </c>
      <c r="DO23" s="126">
        <v>76.680175000000006</v>
      </c>
      <c r="DP23" s="126">
        <v>83.463973650000042</v>
      </c>
      <c r="DQ23" s="127">
        <v>49.399782000000002</v>
      </c>
      <c r="DR23" s="126">
        <v>66.535924489999999</v>
      </c>
      <c r="DS23" s="126">
        <v>90.885944850000016</v>
      </c>
      <c r="DT23" s="126">
        <v>54.432826459999959</v>
      </c>
      <c r="DU23" s="126">
        <v>98.131584029999985</v>
      </c>
      <c r="DV23" s="126">
        <v>77.879492779999978</v>
      </c>
      <c r="DW23" s="126">
        <v>39.965679629999997</v>
      </c>
      <c r="DX23" s="126">
        <v>48.080189849999982</v>
      </c>
      <c r="DY23" s="126">
        <v>63.220516579999973</v>
      </c>
      <c r="DZ23" s="126">
        <v>67.557908740000002</v>
      </c>
      <c r="EA23" s="126">
        <v>72.216125819999974</v>
      </c>
      <c r="EB23" s="126">
        <v>63.561924439999991</v>
      </c>
      <c r="EC23" s="127">
        <v>125.06031286000002</v>
      </c>
      <c r="ED23" s="126">
        <v>116.73971300000004</v>
      </c>
      <c r="EE23" s="126">
        <v>98.575464550000007</v>
      </c>
      <c r="EF23" s="126">
        <v>25.926420919999988</v>
      </c>
      <c r="EG23" s="126">
        <v>5.536321000000001E-2</v>
      </c>
      <c r="EH23" s="126">
        <v>-1.3693050000000002E-2</v>
      </c>
      <c r="EI23" s="126">
        <v>10.866503780000004</v>
      </c>
      <c r="EJ23" s="126">
        <v>83.117417880000048</v>
      </c>
      <c r="EK23" s="126">
        <v>55.173499209999989</v>
      </c>
      <c r="EL23" s="126">
        <v>76.690065309999994</v>
      </c>
      <c r="EM23" s="126">
        <v>117.62165598999999</v>
      </c>
      <c r="EN23" s="126">
        <v>-3.5714992700000017</v>
      </c>
      <c r="EO23" s="127">
        <v>-0.56824975999999972</v>
      </c>
      <c r="EP23" s="126">
        <v>-1.7494819999999998E-2</v>
      </c>
      <c r="EQ23" s="126">
        <v>5.1941399999999999E-3</v>
      </c>
      <c r="ER23" s="126">
        <v>-1.2830000000000296E-5</v>
      </c>
      <c r="ES23" s="126">
        <v>7.512760000000002E-3</v>
      </c>
      <c r="ET23" s="126">
        <v>-0.17007805000000015</v>
      </c>
      <c r="EU23" s="126">
        <v>28.335375810000002</v>
      </c>
      <c r="EV23" s="126">
        <v>34.461995170000009</v>
      </c>
      <c r="EW23" s="126">
        <v>33.57048348</v>
      </c>
      <c r="EX23" s="126">
        <v>67.868094200000002</v>
      </c>
      <c r="EY23" s="126">
        <v>41.791922730000003</v>
      </c>
      <c r="EZ23" s="126">
        <v>100.07553807000001</v>
      </c>
      <c r="FA23" s="127">
        <v>79.760696940000003</v>
      </c>
      <c r="FB23" s="126">
        <v>82.187395069999994</v>
      </c>
      <c r="FC23" s="126">
        <v>82.600026520000029</v>
      </c>
      <c r="FD23" s="126">
        <v>78.715001069999985</v>
      </c>
      <c r="FE23" s="126">
        <v>83.445950769999982</v>
      </c>
      <c r="FF23" s="126">
        <v>66.425969109999983</v>
      </c>
      <c r="FG23" s="126">
        <v>48.149551919999993</v>
      </c>
      <c r="FH23" s="126">
        <v>45.588664659999999</v>
      </c>
      <c r="FI23" s="126">
        <v>62.289695759999994</v>
      </c>
      <c r="FJ23" s="126">
        <v>101.38613679000001</v>
      </c>
      <c r="FK23" s="126">
        <v>88.628390639999992</v>
      </c>
      <c r="FL23" s="126">
        <v>74.057525060000003</v>
      </c>
      <c r="FM23" s="127">
        <v>47.632419559999995</v>
      </c>
      <c r="FN23" s="126">
        <f>FN25-FN24</f>
        <v>113.89999999999998</v>
      </c>
      <c r="FO23" s="126">
        <v>82.1</v>
      </c>
      <c r="FP23" s="126">
        <v>96.9</v>
      </c>
      <c r="FQ23" s="126">
        <v>112.2</v>
      </c>
      <c r="FR23" s="126">
        <v>86.5</v>
      </c>
      <c r="FS23" s="126">
        <v>53.2</v>
      </c>
      <c r="FT23" s="126">
        <v>51.3</v>
      </c>
      <c r="FU23" s="126">
        <v>57.7</v>
      </c>
      <c r="FV23" s="126">
        <v>62.8</v>
      </c>
      <c r="FW23" s="126">
        <v>15.7</v>
      </c>
      <c r="FX23" s="126">
        <v>101.8</v>
      </c>
      <c r="FY23" s="127">
        <v>95.5</v>
      </c>
      <c r="FZ23" s="126">
        <v>43.3</v>
      </c>
      <c r="GA23" s="126">
        <v>97.4</v>
      </c>
      <c r="GB23" s="126">
        <v>89.7</v>
      </c>
      <c r="GC23" s="126">
        <f>236.36369331-GC24</f>
        <v>91.136700340000004</v>
      </c>
      <c r="GD23" s="126">
        <f>227.0943019-GD24</f>
        <v>84.888270300000016</v>
      </c>
      <c r="GE23" s="126">
        <v>78</v>
      </c>
      <c r="GF23" s="126">
        <v>41.2</v>
      </c>
      <c r="GG23" s="126">
        <f>220.91300037-GG24</f>
        <v>78.596971959999991</v>
      </c>
      <c r="GH23" s="126">
        <v>59.5</v>
      </c>
      <c r="GI23" s="126">
        <v>90.8</v>
      </c>
      <c r="GJ23" s="126">
        <v>100.7</v>
      </c>
      <c r="GK23" s="127">
        <v>99.1</v>
      </c>
      <c r="GL23" s="126">
        <f>257.89437607-GL24</f>
        <v>98.93204209000001</v>
      </c>
      <c r="GM23" s="126">
        <v>123.6</v>
      </c>
      <c r="GN23" s="126">
        <v>84.9</v>
      </c>
      <c r="GO23" s="126">
        <v>112.6</v>
      </c>
      <c r="GP23" s="126">
        <v>93.2</v>
      </c>
      <c r="GQ23" s="126"/>
      <c r="GR23" s="126"/>
      <c r="GS23" s="126"/>
      <c r="GT23" s="126"/>
      <c r="GU23" s="126"/>
      <c r="GV23" s="126"/>
      <c r="GW23" s="127"/>
      <c r="GY23" s="126"/>
      <c r="HC23" s="5" t="s">
        <v>503</v>
      </c>
      <c r="HD23" s="126">
        <f>GP23</f>
        <v>93.2</v>
      </c>
      <c r="HE23" s="260">
        <f>GP23/GD23-1</f>
        <v>9.7913759705856362E-2</v>
      </c>
      <c r="HF23" s="260">
        <f>GP23/GO23-1</f>
        <v>-0.17229129662522191</v>
      </c>
      <c r="HG23" s="126">
        <f>SUM($GL23:GP23)</f>
        <v>513.23204209000005</v>
      </c>
      <c r="HH23" s="126">
        <f>SUM($FZ23:GD23)</f>
        <v>406.42497063999997</v>
      </c>
      <c r="HI23" s="205">
        <f>HG23/HH23-1</f>
        <v>0.26279652867246406</v>
      </c>
    </row>
    <row r="24" spans="1:217">
      <c r="A24" s="5" t="s">
        <v>447</v>
      </c>
      <c r="B24" s="126">
        <f>'Archive Detailed Monthly'!N171</f>
        <v>14.250002063617274</v>
      </c>
      <c r="C24" s="126">
        <f>'Archive Detailed Monthly'!O171</f>
        <v>15.461313780639996</v>
      </c>
      <c r="D24" s="126">
        <f>'Archive Detailed Monthly'!P171</f>
        <v>16.396237509324749</v>
      </c>
      <c r="E24" s="126">
        <f>'Archive Detailed Monthly'!Q171</f>
        <v>16.682885671038818</v>
      </c>
      <c r="F24" s="126">
        <f>'Archive Detailed Monthly'!R171</f>
        <v>16.94579410662935</v>
      </c>
      <c r="G24" s="126">
        <f>'Archive Detailed Monthly'!S171</f>
        <v>8.6271117815693295</v>
      </c>
      <c r="H24" s="126">
        <f>'Archive Detailed Monthly'!T171</f>
        <v>6.1115279820925181</v>
      </c>
      <c r="I24" s="126">
        <f>'Archive Detailed Monthly'!U171</f>
        <v>11.146398069958087</v>
      </c>
      <c r="J24" s="126">
        <f>'Archive Detailed Monthly'!V171</f>
        <v>17.401021644594397</v>
      </c>
      <c r="K24" s="126">
        <f>'Archive Detailed Monthly'!W171</f>
        <v>17.172131834762812</v>
      </c>
      <c r="L24" s="126">
        <f>'Archive Detailed Monthly'!X171</f>
        <v>16.601337842672233</v>
      </c>
      <c r="M24" s="127">
        <f>'Archive Detailed Monthly'!Y171</f>
        <v>13.941619422756244</v>
      </c>
      <c r="N24" s="126">
        <f>'Archive Detailed Monthly'!Z171</f>
        <v>19.535862999999999</v>
      </c>
      <c r="O24" s="126">
        <f>'Archive Detailed Monthly'!AA171</f>
        <v>18.978002</v>
      </c>
      <c r="P24" s="126">
        <f>'Archive Detailed Monthly'!AB171</f>
        <v>23.527740999999999</v>
      </c>
      <c r="Q24" s="126">
        <f>'Archive Detailed Monthly'!AC171</f>
        <v>20.056609999999999</v>
      </c>
      <c r="R24" s="126">
        <f>'Archive Detailed Monthly'!AD171</f>
        <v>12.276560999999999</v>
      </c>
      <c r="S24" s="126">
        <f>'Archive Detailed Monthly'!AE171</f>
        <v>24.404392999999999</v>
      </c>
      <c r="T24" s="126">
        <f>'Archive Detailed Monthly'!AF171</f>
        <v>14.170487</v>
      </c>
      <c r="U24" s="126">
        <f>'Archive Detailed Monthly'!AG171</f>
        <v>16.316355999999999</v>
      </c>
      <c r="V24" s="126">
        <f>'Archive Detailed Monthly'!AH171</f>
        <v>24.205660999999999</v>
      </c>
      <c r="W24" s="126">
        <f>'Archive Detailed Monthly'!AI171</f>
        <v>5.7519410000000004</v>
      </c>
      <c r="X24" s="126">
        <f>'Archive Detailed Monthly'!AJ171</f>
        <v>24.830553999999999</v>
      </c>
      <c r="Y24" s="127">
        <f>'Archive Detailed Monthly'!AK171</f>
        <v>8.7850280000000005</v>
      </c>
      <c r="Z24" s="126">
        <f>'Archive Detailed Monthly'!AL171</f>
        <v>18.963000000000001</v>
      </c>
      <c r="AA24" s="126">
        <f>'Archive Detailed Monthly'!AM171</f>
        <v>33.475999999999999</v>
      </c>
      <c r="AB24" s="126">
        <f>'Archive Detailed Monthly'!AN171</f>
        <v>21.638999999999999</v>
      </c>
      <c r="AC24" s="126">
        <f>'Archive Detailed Monthly'!AO171</f>
        <v>25.367999999999999</v>
      </c>
      <c r="AD24" s="126">
        <f>'Archive Detailed Monthly'!AP171</f>
        <v>7.7729999999999997</v>
      </c>
      <c r="AE24" s="126">
        <f>'Archive Detailed Monthly'!AQ171</f>
        <v>9.6329999999999991</v>
      </c>
      <c r="AF24" s="126">
        <f>'Archive Detailed Monthly'!AR171</f>
        <v>6.8979999999999997</v>
      </c>
      <c r="AG24" s="126">
        <f>'Archive Detailed Monthly'!AS171</f>
        <v>8.1940000000000008</v>
      </c>
      <c r="AH24" s="126">
        <f>'Archive Detailed Monthly'!AT171</f>
        <v>15.555999999999999</v>
      </c>
      <c r="AI24" s="126">
        <f>'Archive Detailed Monthly'!AU171</f>
        <v>24.273</v>
      </c>
      <c r="AJ24" s="126">
        <f>'Archive Detailed Monthly'!AV171</f>
        <v>22.479357</v>
      </c>
      <c r="AK24" s="127">
        <f>'Archive Detailed Monthly'!AW171</f>
        <v>14.582350999999999</v>
      </c>
      <c r="AL24" s="126">
        <f>'Archive Detailed Monthly'!AX171</f>
        <v>5.3599800000000002</v>
      </c>
      <c r="AM24" s="126">
        <f>'Archive Detailed Monthly'!AY171</f>
        <v>25.587458000000002</v>
      </c>
      <c r="AN24" s="126">
        <f>'Archive Detailed Monthly'!AZ171</f>
        <v>22.846583996699998</v>
      </c>
      <c r="AO24" s="126">
        <f>'Archive Detailed Monthly'!BA171</f>
        <v>17.986381994700004</v>
      </c>
      <c r="AP24" s="126">
        <f>'Archive Detailed Monthly'!BB171</f>
        <v>7.8583149600000031</v>
      </c>
      <c r="AQ24" s="126">
        <f>'Archive Detailed Monthly'!BC171</f>
        <v>8.0337320000000005</v>
      </c>
      <c r="AR24" s="126">
        <f>'Archive Detailed Monthly'!BD171</f>
        <v>9.3231020000000004</v>
      </c>
      <c r="AS24" s="126">
        <f>'Archive Detailed Monthly'!BE171</f>
        <v>9.7129220000000007</v>
      </c>
      <c r="AT24" s="126">
        <f>'Archive Detailed Monthly'!BF171</f>
        <v>-0.62418799999999997</v>
      </c>
      <c r="AU24" s="126">
        <f>'Archive Detailed Monthly'!BG171</f>
        <v>21.698922</v>
      </c>
      <c r="AV24" s="126">
        <f>'Archive Detailed Monthly'!BH171</f>
        <v>24.743487999999999</v>
      </c>
      <c r="AW24" s="127">
        <f>'Archive Detailed Monthly'!BI171</f>
        <v>14.379591</v>
      </c>
      <c r="AX24" s="126">
        <v>8.19</v>
      </c>
      <c r="AY24" s="126">
        <v>24.76</v>
      </c>
      <c r="AZ24" s="126">
        <v>22.95</v>
      </c>
      <c r="BA24" s="126">
        <v>20.420000000000002</v>
      </c>
      <c r="BB24" s="126">
        <v>9.2200000000000006</v>
      </c>
      <c r="BC24" s="126">
        <v>9.75</v>
      </c>
      <c r="BD24" s="126">
        <v>11.2</v>
      </c>
      <c r="BE24" s="126">
        <v>11.61</v>
      </c>
      <c r="BF24" s="126">
        <v>2.71</v>
      </c>
      <c r="BG24" s="126">
        <v>25.28</v>
      </c>
      <c r="BH24" s="126">
        <v>27</v>
      </c>
      <c r="BI24" s="127">
        <v>18.920000000000002</v>
      </c>
      <c r="BJ24" s="126">
        <v>11.38</v>
      </c>
      <c r="BK24" s="126">
        <v>22.4</v>
      </c>
      <c r="BL24" s="126">
        <v>21.86</v>
      </c>
      <c r="BM24" s="126">
        <v>22.46</v>
      </c>
      <c r="BN24" s="126">
        <v>10.47</v>
      </c>
      <c r="BO24" s="126">
        <v>11.42</v>
      </c>
      <c r="BP24" s="126">
        <v>13</v>
      </c>
      <c r="BQ24" s="126">
        <v>13.43</v>
      </c>
      <c r="BR24" s="126">
        <v>6.85</v>
      </c>
      <c r="BS24" s="126">
        <v>28.53</v>
      </c>
      <c r="BT24" s="126">
        <v>28.47</v>
      </c>
      <c r="BU24" s="127">
        <v>23.73</v>
      </c>
      <c r="BV24" s="126">
        <v>17</v>
      </c>
      <c r="BW24" s="126">
        <v>21.45</v>
      </c>
      <c r="BX24" s="126">
        <v>22.63</v>
      </c>
      <c r="BY24" s="126">
        <v>27.64</v>
      </c>
      <c r="BZ24" s="126">
        <v>13.32</v>
      </c>
      <c r="CA24" s="126">
        <v>14.96</v>
      </c>
      <c r="CB24" s="126">
        <v>16.88</v>
      </c>
      <c r="CC24" s="126">
        <v>17.36</v>
      </c>
      <c r="CD24" s="126">
        <v>13.32</v>
      </c>
      <c r="CE24" s="126">
        <v>36.049999999999997</v>
      </c>
      <c r="CF24" s="126">
        <v>33.5</v>
      </c>
      <c r="CG24" s="127">
        <v>32.92</v>
      </c>
      <c r="CH24" s="126">
        <v>30.044</v>
      </c>
      <c r="CI24" s="126">
        <v>28.134</v>
      </c>
      <c r="CJ24" s="126">
        <v>44.906999999999996</v>
      </c>
      <c r="CK24" s="126">
        <v>25.648</v>
      </c>
      <c r="CL24" s="126">
        <v>22.86</v>
      </c>
      <c r="CM24" s="126">
        <v>24.885999999999999</v>
      </c>
      <c r="CN24" s="126">
        <v>28.286000000000001</v>
      </c>
      <c r="CO24" s="126">
        <v>19.741</v>
      </c>
      <c r="CP24" s="126">
        <v>39.228999999999999</v>
      </c>
      <c r="CQ24" s="126">
        <v>37.450000000000003</v>
      </c>
      <c r="CR24" s="126">
        <v>29.13</v>
      </c>
      <c r="CS24" s="127">
        <v>25.33</v>
      </c>
      <c r="CT24" s="126">
        <v>47.61</v>
      </c>
      <c r="CU24" s="126">
        <v>17.8</v>
      </c>
      <c r="CV24" s="126">
        <v>28.11</v>
      </c>
      <c r="CW24" s="126">
        <v>56.58</v>
      </c>
      <c r="CX24" s="126">
        <v>29.07</v>
      </c>
      <c r="CY24" s="126">
        <v>34.43</v>
      </c>
      <c r="CZ24" s="126">
        <v>38.28</v>
      </c>
      <c r="DA24" s="126">
        <v>39.090000000000003</v>
      </c>
      <c r="DB24" s="126">
        <v>48.11</v>
      </c>
      <c r="DC24" s="126">
        <v>77.739999999999995</v>
      </c>
      <c r="DD24" s="126">
        <v>61.96</v>
      </c>
      <c r="DE24" s="127">
        <v>83.19</v>
      </c>
      <c r="DF24" s="126">
        <v>60.76</v>
      </c>
      <c r="DG24" s="126">
        <v>50.866530820000001</v>
      </c>
      <c r="DH24" s="126">
        <v>51.286889000000002</v>
      </c>
      <c r="DI24" s="126">
        <v>58.7</v>
      </c>
      <c r="DJ24" s="126">
        <v>40.802765000000001</v>
      </c>
      <c r="DK24" s="126">
        <f>499.434342-451.841281</f>
        <v>47.593061000000034</v>
      </c>
      <c r="DL24" s="126">
        <f>51.4792148</f>
        <v>51.479214800000001</v>
      </c>
      <c r="DM24" s="126">
        <v>49.956369849999987</v>
      </c>
      <c r="DN24" s="126">
        <v>60.385169840000003</v>
      </c>
      <c r="DO24" s="126">
        <v>56.894812999999999</v>
      </c>
      <c r="DP24" s="126">
        <v>65.059459590000003</v>
      </c>
      <c r="DQ24" s="127">
        <v>47.036439000000001</v>
      </c>
      <c r="DR24" s="126">
        <v>58.054727459999981</v>
      </c>
      <c r="DS24" s="126">
        <v>69.095324260000012</v>
      </c>
      <c r="DT24" s="126">
        <v>51.976993150000006</v>
      </c>
      <c r="DU24" s="126">
        <v>75.50613534</v>
      </c>
      <c r="DV24" s="126">
        <v>56.196695299999988</v>
      </c>
      <c r="DW24" s="126">
        <v>42.504221889999997</v>
      </c>
      <c r="DX24" s="126">
        <v>47.247418319999994</v>
      </c>
      <c r="DY24" s="126">
        <v>56.354305340000003</v>
      </c>
      <c r="DZ24" s="126">
        <v>61.052811240000011</v>
      </c>
      <c r="EA24" s="126">
        <v>56.583900519999986</v>
      </c>
      <c r="EB24" s="126">
        <v>59.862524259999979</v>
      </c>
      <c r="EC24" s="127">
        <v>91.174803409999996</v>
      </c>
      <c r="ED24" s="126">
        <v>95.249746500000015</v>
      </c>
      <c r="EE24" s="126">
        <v>86.676731829999994</v>
      </c>
      <c r="EF24" s="126">
        <v>49.391668080000009</v>
      </c>
      <c r="EG24" s="126">
        <v>20.899308209999997</v>
      </c>
      <c r="EH24" s="126">
        <v>35.365157090000004</v>
      </c>
      <c r="EI24" s="126">
        <v>62.684143649999974</v>
      </c>
      <c r="EJ24" s="126">
        <v>88.216347110000015</v>
      </c>
      <c r="EK24" s="126">
        <v>69.578502369999981</v>
      </c>
      <c r="EL24" s="126">
        <v>75.758434909999963</v>
      </c>
      <c r="EM24" s="126">
        <v>125.76851247999997</v>
      </c>
      <c r="EN24" s="126">
        <v>111.05516151000003</v>
      </c>
      <c r="EO24" s="127">
        <v>177.09596590000001</v>
      </c>
      <c r="EP24" s="126">
        <v>144.84260818000001</v>
      </c>
      <c r="EQ24" s="126">
        <v>185.50649856000001</v>
      </c>
      <c r="ER24" s="126">
        <v>132.32191820000003</v>
      </c>
      <c r="ES24" s="126">
        <v>103.54220643000002</v>
      </c>
      <c r="ET24" s="126">
        <v>153.70405179999997</v>
      </c>
      <c r="EU24" s="126">
        <v>113.21929914</v>
      </c>
      <c r="EV24" s="126">
        <v>63.189526259999994</v>
      </c>
      <c r="EW24" s="126">
        <v>81.390533430000019</v>
      </c>
      <c r="EX24" s="126">
        <v>119.43826003</v>
      </c>
      <c r="EY24" s="126">
        <v>76.066223469999983</v>
      </c>
      <c r="EZ24" s="126">
        <v>143.98827944000004</v>
      </c>
      <c r="FA24" s="127">
        <v>125.13792185000004</v>
      </c>
      <c r="FB24" s="126">
        <v>128.84919049999996</v>
      </c>
      <c r="FC24" s="126">
        <v>122.10167034000003</v>
      </c>
      <c r="FD24" s="126">
        <v>127.52114061</v>
      </c>
      <c r="FE24" s="126">
        <v>118.94508986000004</v>
      </c>
      <c r="FF24" s="126">
        <v>97.489711360000001</v>
      </c>
      <c r="FG24" s="126">
        <v>74.302094339999982</v>
      </c>
      <c r="FH24" s="126">
        <v>80.376295949999985</v>
      </c>
      <c r="FI24" s="126">
        <v>107.87800773000001</v>
      </c>
      <c r="FJ24" s="126">
        <v>149.15188270000002</v>
      </c>
      <c r="FK24" s="126">
        <v>132.03496484000004</v>
      </c>
      <c r="FL24" s="126">
        <v>126.30987244000002</v>
      </c>
      <c r="FM24" s="127">
        <v>86.522249530000011</v>
      </c>
      <c r="FN24" s="126">
        <v>180.8</v>
      </c>
      <c r="FO24" s="126">
        <v>128.6</v>
      </c>
      <c r="FP24" s="126">
        <v>146.6</v>
      </c>
      <c r="FQ24" s="126">
        <v>154.6</v>
      </c>
      <c r="FR24" s="126">
        <v>126.3</v>
      </c>
      <c r="FS24" s="126">
        <v>88.3</v>
      </c>
      <c r="FT24" s="126">
        <v>88.7</v>
      </c>
      <c r="FU24" s="126">
        <v>107.4</v>
      </c>
      <c r="FV24" s="126">
        <v>110.2</v>
      </c>
      <c r="FW24" s="126">
        <v>57.3</v>
      </c>
      <c r="FX24" s="126">
        <v>151.30000000000001</v>
      </c>
      <c r="FY24" s="127">
        <v>135.19999999999999</v>
      </c>
      <c r="FZ24" s="126">
        <v>88.2</v>
      </c>
      <c r="GA24" s="126">
        <v>147</v>
      </c>
      <c r="GB24" s="126">
        <v>143.6</v>
      </c>
      <c r="GC24" s="126">
        <v>145.22699297</v>
      </c>
      <c r="GD24" s="126">
        <v>142.20603159999999</v>
      </c>
      <c r="GE24" s="126">
        <v>125.03</v>
      </c>
      <c r="GF24" s="126">
        <v>103.9218</v>
      </c>
      <c r="GG24" s="126">
        <v>142.31602841</v>
      </c>
      <c r="GH24" s="126">
        <v>112.1</v>
      </c>
      <c r="GI24" s="126">
        <v>160.4</v>
      </c>
      <c r="GJ24" s="126">
        <v>156.9</v>
      </c>
      <c r="GK24" s="127">
        <v>155.93773905</v>
      </c>
      <c r="GL24" s="126">
        <v>158.96233398000001</v>
      </c>
      <c r="GM24" s="126">
        <v>191.2</v>
      </c>
      <c r="GN24" s="126">
        <v>132.9</v>
      </c>
      <c r="GO24" s="126">
        <v>167.7</v>
      </c>
      <c r="GP24" s="126">
        <v>142.1</v>
      </c>
      <c r="GQ24" s="126"/>
      <c r="GR24" s="126"/>
      <c r="GS24" s="126"/>
      <c r="GT24" s="126"/>
      <c r="GU24" s="126"/>
      <c r="GV24" s="126"/>
      <c r="GW24" s="127"/>
      <c r="GY24" s="843"/>
      <c r="HC24" s="5" t="s">
        <v>447</v>
      </c>
      <c r="HD24" s="126">
        <f>GP24</f>
        <v>142.1</v>
      </c>
      <c r="HE24" s="260">
        <f>GP24/GD24-1</f>
        <v>-7.4561956906471494E-4</v>
      </c>
      <c r="HF24" s="260">
        <f>GP24/GO24-1</f>
        <v>-0.15265354800238518</v>
      </c>
      <c r="HG24" s="126">
        <f>SUM($GL24:GP24)</f>
        <v>792.86233398000002</v>
      </c>
      <c r="HH24" s="126">
        <f>SUM($FZ24:GD24)</f>
        <v>666.23302456999988</v>
      </c>
      <c r="HI24" s="205">
        <f>HG24/HH24-1</f>
        <v>0.19006759608130985</v>
      </c>
    </row>
    <row r="25" spans="1:217">
      <c r="A25" s="653" t="s">
        <v>448</v>
      </c>
      <c r="B25" s="648">
        <f>SUM(B23:B24)</f>
        <v>101.59402799999999</v>
      </c>
      <c r="C25" s="648">
        <f t="shared" ref="C25:N25" si="22">SUM(C23:C24)</f>
        <v>156.21499999999997</v>
      </c>
      <c r="D25" s="648">
        <f t="shared" si="22"/>
        <v>109.24380000000002</v>
      </c>
      <c r="E25" s="648">
        <f t="shared" si="22"/>
        <v>73.48439999999998</v>
      </c>
      <c r="F25" s="648">
        <f t="shared" si="22"/>
        <v>57.749999999999979</v>
      </c>
      <c r="G25" s="648">
        <f t="shared" si="22"/>
        <v>42.630800000000008</v>
      </c>
      <c r="H25" s="648">
        <f t="shared" si="22"/>
        <v>29.067399999999999</v>
      </c>
      <c r="I25" s="648">
        <f t="shared" si="22"/>
        <v>4.1495999999999977</v>
      </c>
      <c r="J25" s="648">
        <f t="shared" si="22"/>
        <v>110.93179999999998</v>
      </c>
      <c r="K25" s="648">
        <f t="shared" si="22"/>
        <v>119.85120000000001</v>
      </c>
      <c r="L25" s="648">
        <f t="shared" si="22"/>
        <v>130.33510000000001</v>
      </c>
      <c r="M25" s="650">
        <f t="shared" si="22"/>
        <v>43.212476000000152</v>
      </c>
      <c r="N25" s="648">
        <f t="shared" si="22"/>
        <v>71.550000000000011</v>
      </c>
      <c r="O25" s="648">
        <f t="shared" ref="O25" si="23">SUM(O23:O24)</f>
        <v>69.595200000000006</v>
      </c>
      <c r="P25" s="648">
        <f t="shared" ref="P25" si="24">SUM(P23:P24)</f>
        <v>90.470400000000012</v>
      </c>
      <c r="Q25" s="648">
        <f t="shared" ref="Q25" si="25">SUM(Q23:Q24)</f>
        <v>82.752799999999979</v>
      </c>
      <c r="R25" s="648">
        <f t="shared" ref="R25" si="26">SUM(R23:R24)</f>
        <v>48.757799999999996</v>
      </c>
      <c r="S25" s="648">
        <f t="shared" ref="S25" si="27">SUM(S23:S24)</f>
        <v>62.467939660728554</v>
      </c>
      <c r="T25" s="648">
        <f t="shared" ref="T25" si="28">SUM(T23:T24)</f>
        <v>64.519199999999998</v>
      </c>
      <c r="U25" s="648">
        <f t="shared" ref="U25" si="29">SUM(U23:U24)</f>
        <v>68.123406336299993</v>
      </c>
      <c r="V25" s="648">
        <f t="shared" ref="V25" si="30">SUM(V23:V24)</f>
        <v>98.244999999999976</v>
      </c>
      <c r="W25" s="648">
        <f t="shared" ref="W25" si="31">SUM(W23:W24)</f>
        <v>15.189399999999985</v>
      </c>
      <c r="X25" s="648">
        <f t="shared" ref="X25" si="32">SUM(X23:X24)</f>
        <v>100.55600000000001</v>
      </c>
      <c r="Y25" s="650">
        <f t="shared" ref="Y25:Z25" si="33">SUM(Y23:Y24)</f>
        <v>38.055852619500001</v>
      </c>
      <c r="Z25" s="648">
        <f t="shared" si="33"/>
        <v>73.006257319199975</v>
      </c>
      <c r="AA25" s="648">
        <f t="shared" ref="AA25" si="34">SUM(AA23:AA24)</f>
        <v>130.16953916699998</v>
      </c>
      <c r="AB25" s="648">
        <f t="shared" ref="AB25" si="35">SUM(AB23:AB24)</f>
        <v>30.626382784600011</v>
      </c>
      <c r="AC25" s="648">
        <f t="shared" ref="AC25" si="36">SUM(AC23:AC24)</f>
        <v>107.13183050130002</v>
      </c>
      <c r="AD25" s="648">
        <f t="shared" ref="AD25" si="37">SUM(AD23:AD24)</f>
        <v>29.533537576450009</v>
      </c>
      <c r="AE25" s="648">
        <f t="shared" ref="AE25" si="38">SUM(AE23:AE24)</f>
        <v>14.393186933980006</v>
      </c>
      <c r="AF25" s="648">
        <f t="shared" ref="AF25" si="39">SUM(AF23:AF24)</f>
        <v>34.582689280000011</v>
      </c>
      <c r="AG25" s="648">
        <f t="shared" ref="AG25" si="40">SUM(AG23:AG24)</f>
        <v>36.083372380900016</v>
      </c>
      <c r="AH25" s="648">
        <f t="shared" ref="AH25" si="41">SUM(AH23:AH24)</f>
        <v>70</v>
      </c>
      <c r="AI25" s="648">
        <f t="shared" ref="AI25" si="42">SUM(AI23:AI24)</f>
        <v>108.638897892</v>
      </c>
      <c r="AJ25" s="648">
        <f t="shared" ref="AJ25" si="43">SUM(AJ23:AJ24)</f>
        <v>96.828700137400006</v>
      </c>
      <c r="AK25" s="650">
        <f t="shared" ref="AK25:AL25" si="44">SUM(AK23:AK24)</f>
        <v>92.398995999999997</v>
      </c>
      <c r="AL25" s="648">
        <f t="shared" si="44"/>
        <v>105.09913299999999</v>
      </c>
      <c r="AM25" s="648">
        <f t="shared" ref="AM25" si="45">SUM(AM23:AM24)</f>
        <v>101.19281100000001</v>
      </c>
      <c r="AN25" s="648">
        <f t="shared" ref="AN25" si="46">SUM(AN23:AN24)</f>
        <v>95.229055207199963</v>
      </c>
      <c r="AO25" s="648">
        <f t="shared" ref="AO25" si="47">SUM(AO23:AO24)</f>
        <v>82.551266255999991</v>
      </c>
      <c r="AP25" s="648">
        <f t="shared" ref="AP25" si="48">SUM(AP23:AP24)</f>
        <v>35</v>
      </c>
      <c r="AQ25" s="648">
        <f t="shared" ref="AQ25" si="49">SUM(AQ23:AQ24)</f>
        <v>35.20427694</v>
      </c>
      <c r="AR25" s="648">
        <f t="shared" ref="AR25" si="50">SUM(AR23:AR24)</f>
        <v>43</v>
      </c>
      <c r="AS25" s="648">
        <f t="shared" ref="AS25" si="51">SUM(AS23:AS24)</f>
        <v>41</v>
      </c>
      <c r="AT25" s="648">
        <f t="shared" ref="AT25" si="52">SUM(AT23:AT24)</f>
        <v>-8</v>
      </c>
      <c r="AU25" s="648">
        <f t="shared" ref="AU25" si="53">SUM(AU23:AU24)</f>
        <v>88</v>
      </c>
      <c r="AV25" s="648">
        <f t="shared" ref="AV25" si="54">SUM(AV23:AV24)</f>
        <v>81.089154857937075</v>
      </c>
      <c r="AW25" s="650">
        <f t="shared" ref="AW25" si="55">SUM(AW23:AW24)</f>
        <v>72.439055262248417</v>
      </c>
      <c r="AX25" s="648">
        <f t="shared" ref="AX25" si="56">SUM(AX23:AX24)</f>
        <v>98.039999999999992</v>
      </c>
      <c r="AY25" s="648">
        <f t="shared" ref="AY25" si="57">SUM(AY23:AY24)</f>
        <v>86.14</v>
      </c>
      <c r="AZ25" s="648">
        <f t="shared" ref="AZ25" si="58">SUM(AZ23:AZ24)</f>
        <v>82.56</v>
      </c>
      <c r="BA25" s="648">
        <f t="shared" ref="BA25" si="59">SUM(BA23:BA24)</f>
        <v>84.34</v>
      </c>
      <c r="BB25" s="648">
        <f t="shared" ref="BB25" si="60">SUM(BB23:BB24)</f>
        <v>35.22</v>
      </c>
      <c r="BC25" s="648">
        <f t="shared" ref="BC25" si="61">SUM(BC23:BC24)</f>
        <v>38.019999999999996</v>
      </c>
      <c r="BD25" s="648">
        <f t="shared" ref="BD25" si="62">SUM(BD23:BD24)</f>
        <v>44.489999999999995</v>
      </c>
      <c r="BE25" s="648">
        <f t="shared" ref="BE25" si="63">SUM(BE23:BE24)</f>
        <v>41.69</v>
      </c>
      <c r="BF25" s="648">
        <f t="shared" ref="BF25" si="64">SUM(BF23:BF24)</f>
        <v>7.07</v>
      </c>
      <c r="BG25" s="648">
        <f t="shared" ref="BG25" si="65">SUM(BG23:BG24)</f>
        <v>97.64</v>
      </c>
      <c r="BH25" s="648">
        <f t="shared" ref="BH25" si="66">SUM(BH23:BH24)</f>
        <v>83.36</v>
      </c>
      <c r="BI25" s="650">
        <f t="shared" ref="BI25" si="67">SUM(BI23:BI24)</f>
        <v>83.43</v>
      </c>
      <c r="BJ25" s="648">
        <f t="shared" ref="BJ25" si="68">SUM(BJ23:BJ24)</f>
        <v>95.19</v>
      </c>
      <c r="BK25" s="648">
        <f t="shared" ref="BK25" si="69">SUM(BK23:BK24)</f>
        <v>72.25</v>
      </c>
      <c r="BL25" s="648">
        <f t="shared" ref="BL25" si="70">SUM(BL23:BL24)</f>
        <v>71.3</v>
      </c>
      <c r="BM25" s="648">
        <f t="shared" ref="BM25" si="71">SUM(BM23:BM24)</f>
        <v>88.43</v>
      </c>
      <c r="BN25" s="648">
        <f t="shared" ref="BN25" si="72">SUM(BN23:BN24)</f>
        <v>36.44</v>
      </c>
      <c r="BO25" s="648">
        <f t="shared" ref="BO25" si="73">SUM(BO23:BO24)</f>
        <v>41.97</v>
      </c>
      <c r="BP25" s="648">
        <f t="shared" ref="BP25" si="74">SUM(BP23:BP24)</f>
        <v>47.3</v>
      </c>
      <c r="BQ25" s="648">
        <f t="shared" ref="BQ25" si="75">SUM(BQ23:BQ24)</f>
        <v>43.58</v>
      </c>
      <c r="BR25" s="648">
        <f t="shared" ref="BR25" si="76">SUM(BR23:BR24)</f>
        <v>23.03</v>
      </c>
      <c r="BS25" s="648">
        <f t="shared" ref="BS25" si="77">SUM(BS23:BS24)</f>
        <v>109.94</v>
      </c>
      <c r="BT25" s="648">
        <f t="shared" ref="BT25" si="78">SUM(BT23:BT24)</f>
        <v>87.22</v>
      </c>
      <c r="BU25" s="650">
        <f t="shared" ref="BU25" si="79">SUM(BU23:BU24)</f>
        <v>97.350000000000009</v>
      </c>
      <c r="BV25" s="648">
        <f t="shared" ref="BV25" si="80">SUM(BV23:BV24)</f>
        <v>82.83</v>
      </c>
      <c r="BW25" s="648">
        <f t="shared" ref="BW25" si="81">SUM(BW23:BW24)</f>
        <v>53.629999999999995</v>
      </c>
      <c r="BX25" s="648">
        <f t="shared" ref="BX25" si="82">SUM(BX23:BX24)</f>
        <v>55.67</v>
      </c>
      <c r="BY25" s="648">
        <f t="shared" ref="BY25" si="83">SUM(BY23:BY24)</f>
        <v>85.43</v>
      </c>
      <c r="BZ25" s="648">
        <f t="shared" ref="BZ25" si="84">SUM(BZ23:BZ24)</f>
        <v>35.33</v>
      </c>
      <c r="CA25" s="648">
        <f t="shared" ref="CA25" si="85">SUM(CA23:CA24)</f>
        <v>42.89</v>
      </c>
      <c r="CB25" s="648">
        <f t="shared" ref="CB25" si="86">SUM(CB23:CB24)</f>
        <v>46.879999999999995</v>
      </c>
      <c r="CC25" s="648">
        <f t="shared" ref="CC25" si="87">SUM(CC23:CC24)</f>
        <v>43.01</v>
      </c>
      <c r="CD25" s="648">
        <f t="shared" ref="CD25" si="88">SUM(CD23:CD24)</f>
        <v>37.43</v>
      </c>
      <c r="CE25" s="648">
        <f t="shared" ref="CE25" si="89">SUM(CE23:CE24)</f>
        <v>113.08</v>
      </c>
      <c r="CF25" s="648">
        <f t="shared" ref="CF25" si="90">SUM(CF23:CF24)</f>
        <v>85.45</v>
      </c>
      <c r="CG25" s="650">
        <f t="shared" ref="CG25" si="91">SUM(CG23:CG24)</f>
        <v>103.4</v>
      </c>
      <c r="CH25" s="648">
        <f t="shared" ref="CH25" si="92">SUM(CH23:CH24)</f>
        <v>110.89099999999999</v>
      </c>
      <c r="CI25" s="648">
        <f t="shared" ref="CI25" si="93">SUM(CI23:CI24)</f>
        <v>64.203000000000003</v>
      </c>
      <c r="CJ25" s="648">
        <f t="shared" ref="CJ25" si="94">SUM(CJ23:CJ24)</f>
        <v>97.389999999999986</v>
      </c>
      <c r="CK25" s="648">
        <f t="shared" ref="CK25" si="95">SUM(CK23:CK24)</f>
        <v>75.216999999999999</v>
      </c>
      <c r="CL25" s="648">
        <f t="shared" ref="CL25" si="96">SUM(CL23:CL24)</f>
        <v>55.582999999999998</v>
      </c>
      <c r="CM25" s="648">
        <f t="shared" ref="CM25" si="97">SUM(CM23:CM24)</f>
        <v>67.016000000000005</v>
      </c>
      <c r="CN25" s="648">
        <f t="shared" ref="CN25" si="98">SUM(CN23:CN24)</f>
        <v>72.347000000000008</v>
      </c>
      <c r="CO25" s="648">
        <f t="shared" ref="CO25" si="99">SUM(CO23:CO24)</f>
        <v>44.703000000000003</v>
      </c>
      <c r="CP25" s="648">
        <f t="shared" ref="CP25" si="100">SUM(CP23:CP24)</f>
        <v>106.01900000000001</v>
      </c>
      <c r="CQ25" s="648">
        <f t="shared" ref="CQ25" si="101">SUM(CQ23:CQ24)</f>
        <v>107.71000000000001</v>
      </c>
      <c r="CR25" s="648">
        <f t="shared" ref="CR25:CS25" si="102">SUM(CR23:CR24)</f>
        <v>82.45</v>
      </c>
      <c r="CS25" s="650">
        <f t="shared" si="102"/>
        <v>55.459999999999994</v>
      </c>
      <c r="CT25" s="648">
        <f t="shared" ref="CT25" si="103">SUM(CT23:CT24)</f>
        <v>130.06</v>
      </c>
      <c r="CU25" s="648">
        <f t="shared" ref="CU25" si="104">SUM(CU23:CU24)</f>
        <v>34.159999999999997</v>
      </c>
      <c r="CV25" s="648">
        <f t="shared" ref="CV25" si="105">SUM(CV23:CV24)</f>
        <v>49.58</v>
      </c>
      <c r="CW25" s="648">
        <f t="shared" ref="CW25" si="106">SUM(CW23:CW24)</f>
        <v>149.45999999999998</v>
      </c>
      <c r="CX25" s="648">
        <f t="shared" ref="CX25" si="107">SUM(CX23:CX24)</f>
        <v>62.17</v>
      </c>
      <c r="CY25" s="648">
        <f t="shared" ref="CY25" si="108">SUM(CY23:CY24)</f>
        <v>82.92</v>
      </c>
      <c r="CZ25" s="648">
        <f t="shared" ref="CZ25" si="109">SUM(CZ23:CZ24)</f>
        <v>86.35</v>
      </c>
      <c r="DA25" s="648">
        <f t="shared" ref="DA25" si="110">SUM(DA23:DA24)</f>
        <v>77.98</v>
      </c>
      <c r="DB25" s="648">
        <f t="shared" ref="DB25" si="111">SUM(DB23:DB24)</f>
        <v>117.48</v>
      </c>
      <c r="DC25" s="648">
        <f t="shared" ref="DC25" si="112">SUM(DC23:DC24)</f>
        <v>219.19</v>
      </c>
      <c r="DD25" s="648">
        <f t="shared" ref="DD25" si="113">SUM(DD23:DD24)</f>
        <v>146.97999999999999</v>
      </c>
      <c r="DE25" s="650">
        <f t="shared" ref="DE25" si="114">SUM(DE23:DE24)</f>
        <v>214.92</v>
      </c>
      <c r="DF25" s="648">
        <f>SUM(DF23:DF24)</f>
        <v>150.49</v>
      </c>
      <c r="DG25" s="648">
        <f t="shared" ref="DG25:DH25" si="115">SUM(DG23:DG24)</f>
        <v>124.01572942000001</v>
      </c>
      <c r="DH25" s="648">
        <f t="shared" si="115"/>
        <v>111.066914</v>
      </c>
      <c r="DI25" s="648">
        <f t="shared" ref="DI25" si="116">SUM(DI23:DI24)</f>
        <v>146.5</v>
      </c>
      <c r="DJ25" s="648">
        <f t="shared" ref="DJ25" si="117">SUM(DJ23:DJ24)</f>
        <v>92.936602999999991</v>
      </c>
      <c r="DK25" s="648">
        <v>112.802401</v>
      </c>
      <c r="DL25" s="648">
        <f>792.511724-678.196018</f>
        <v>114.31570599999998</v>
      </c>
      <c r="DM25" s="648">
        <f t="shared" ref="DM25" si="118">SUM(DM23:DM24)</f>
        <v>111.39534344999998</v>
      </c>
      <c r="DN25" s="648">
        <f t="shared" ref="DN25:DP25" si="119">SUM(DN23:DN24)</f>
        <v>139.50973412999997</v>
      </c>
      <c r="DO25" s="648">
        <f t="shared" si="119"/>
        <v>133.57498800000002</v>
      </c>
      <c r="DP25" s="648">
        <f t="shared" si="119"/>
        <v>148.52343324000003</v>
      </c>
      <c r="DQ25" s="650">
        <f t="shared" ref="DQ25:DY25" si="120">SUM(DQ23:DQ24)</f>
        <v>96.436221000000003</v>
      </c>
      <c r="DR25" s="648">
        <f t="shared" si="120"/>
        <v>124.59065194999998</v>
      </c>
      <c r="DS25" s="648">
        <f t="shared" si="120"/>
        <v>159.98126911000003</v>
      </c>
      <c r="DT25" s="648">
        <f t="shared" si="120"/>
        <v>106.40981960999997</v>
      </c>
      <c r="DU25" s="648">
        <f t="shared" si="120"/>
        <v>173.63771936999999</v>
      </c>
      <c r="DV25" s="648">
        <f t="shared" si="120"/>
        <v>134.07618807999995</v>
      </c>
      <c r="DW25" s="648">
        <f t="shared" si="120"/>
        <v>82.469901519999993</v>
      </c>
      <c r="DX25" s="648">
        <f>SUM(DX23:DX24)</f>
        <v>95.327608169999976</v>
      </c>
      <c r="DY25" s="648">
        <f t="shared" si="120"/>
        <v>119.57482191999998</v>
      </c>
      <c r="DZ25" s="648">
        <f t="shared" ref="DZ25:EL25" si="121">SUM(DZ23:DZ24)</f>
        <v>128.61071998</v>
      </c>
      <c r="EA25" s="648">
        <f t="shared" si="121"/>
        <v>128.80002633999996</v>
      </c>
      <c r="EB25" s="648">
        <f t="shared" si="121"/>
        <v>123.42444869999997</v>
      </c>
      <c r="EC25" s="650">
        <f t="shared" si="121"/>
        <v>216.23511627000002</v>
      </c>
      <c r="ED25" s="648">
        <f t="shared" si="121"/>
        <v>211.98945950000007</v>
      </c>
      <c r="EE25" s="648">
        <f t="shared" si="121"/>
        <v>185.25219637999999</v>
      </c>
      <c r="EF25" s="648">
        <f t="shared" si="121"/>
        <v>75.318089000000001</v>
      </c>
      <c r="EG25" s="648">
        <f t="shared" si="121"/>
        <v>20.954671419999997</v>
      </c>
      <c r="EH25" s="648">
        <f t="shared" si="121"/>
        <v>35.351464040000003</v>
      </c>
      <c r="EI25" s="648">
        <f t="shared" si="121"/>
        <v>73.550647429999984</v>
      </c>
      <c r="EJ25" s="648">
        <f t="shared" si="121"/>
        <v>171.33376499000008</v>
      </c>
      <c r="EK25" s="648">
        <f t="shared" si="121"/>
        <v>124.75200157999997</v>
      </c>
      <c r="EL25" s="648">
        <f t="shared" si="121"/>
        <v>152.44850021999997</v>
      </c>
      <c r="EM25" s="648">
        <f t="shared" ref="EM25:EX25" si="122">SUM(EM23:EM24)</f>
        <v>243.39016846999996</v>
      </c>
      <c r="EN25" s="648">
        <f t="shared" si="122"/>
        <v>107.48366224000003</v>
      </c>
      <c r="EO25" s="650">
        <f t="shared" si="122"/>
        <v>176.52771614000002</v>
      </c>
      <c r="EP25" s="648">
        <f t="shared" si="122"/>
        <v>144.82511336000002</v>
      </c>
      <c r="EQ25" s="648">
        <f t="shared" si="122"/>
        <v>185.5116927</v>
      </c>
      <c r="ER25" s="648">
        <f t="shared" si="122"/>
        <v>132.32190537000002</v>
      </c>
      <c r="ES25" s="648">
        <f t="shared" si="122"/>
        <v>103.54971919000002</v>
      </c>
      <c r="ET25" s="648">
        <f t="shared" si="122"/>
        <v>153.53397374999997</v>
      </c>
      <c r="EU25" s="648">
        <f t="shared" si="122"/>
        <v>141.55467494999999</v>
      </c>
      <c r="EV25" s="648">
        <f t="shared" si="122"/>
        <v>97.651521430000003</v>
      </c>
      <c r="EW25" s="648">
        <f t="shared" si="122"/>
        <v>114.96101691000001</v>
      </c>
      <c r="EX25" s="648">
        <f t="shared" si="122"/>
        <v>187.30635423000001</v>
      </c>
      <c r="EY25" s="648">
        <f t="shared" ref="EY25:FM25" si="123">SUM(EY23:EY24)</f>
        <v>117.85814619999999</v>
      </c>
      <c r="EZ25" s="648">
        <f t="shared" si="123"/>
        <v>244.06381751000004</v>
      </c>
      <c r="FA25" s="650">
        <f t="shared" si="123"/>
        <v>204.89861879000006</v>
      </c>
      <c r="FB25" s="648">
        <f t="shared" si="123"/>
        <v>211.03658556999994</v>
      </c>
      <c r="FC25" s="648">
        <f t="shared" si="123"/>
        <v>204.70169686000006</v>
      </c>
      <c r="FD25" s="648">
        <f t="shared" si="123"/>
        <v>206.23614168</v>
      </c>
      <c r="FE25" s="648">
        <f t="shared" si="123"/>
        <v>202.39104063000002</v>
      </c>
      <c r="FF25" s="648">
        <f t="shared" si="123"/>
        <v>163.91568046999998</v>
      </c>
      <c r="FG25" s="648">
        <f t="shared" si="123"/>
        <v>122.45164625999998</v>
      </c>
      <c r="FH25" s="648">
        <f t="shared" si="123"/>
        <v>125.96496060999999</v>
      </c>
      <c r="FI25" s="648">
        <f t="shared" si="123"/>
        <v>170.16770349000001</v>
      </c>
      <c r="FJ25" s="648">
        <f t="shared" si="123"/>
        <v>250.53801949000001</v>
      </c>
      <c r="FK25" s="648">
        <f t="shared" si="123"/>
        <v>220.66335548000004</v>
      </c>
      <c r="FL25" s="648">
        <f t="shared" si="123"/>
        <v>200.36739750000004</v>
      </c>
      <c r="FM25" s="650">
        <f t="shared" si="123"/>
        <v>134.15466909</v>
      </c>
      <c r="FN25" s="648">
        <v>294.7</v>
      </c>
      <c r="FO25" s="648">
        <f t="shared" ref="FO25:FY25" si="124">SUM(FO23:FO24)</f>
        <v>210.7</v>
      </c>
      <c r="FP25" s="648">
        <f t="shared" si="124"/>
        <v>243.5</v>
      </c>
      <c r="FQ25" s="648">
        <f t="shared" si="124"/>
        <v>266.8</v>
      </c>
      <c r="FR25" s="648">
        <f t="shared" si="124"/>
        <v>212.8</v>
      </c>
      <c r="FS25" s="648">
        <f t="shared" si="124"/>
        <v>141.5</v>
      </c>
      <c r="FT25" s="648">
        <f t="shared" si="124"/>
        <v>140</v>
      </c>
      <c r="FU25" s="648">
        <f t="shared" si="124"/>
        <v>165.10000000000002</v>
      </c>
      <c r="FV25" s="648">
        <f t="shared" si="124"/>
        <v>173</v>
      </c>
      <c r="FW25" s="648">
        <f t="shared" si="124"/>
        <v>73</v>
      </c>
      <c r="FX25" s="648">
        <f t="shared" si="124"/>
        <v>253.10000000000002</v>
      </c>
      <c r="FY25" s="650">
        <f t="shared" si="124"/>
        <v>230.7</v>
      </c>
      <c r="FZ25" s="648">
        <f>SUM(FZ23:FZ24)</f>
        <v>131.5</v>
      </c>
      <c r="GA25" s="648">
        <f t="shared" ref="GA25:GK25" si="125">SUM(GA23:GA24)</f>
        <v>244.4</v>
      </c>
      <c r="GB25" s="648">
        <f t="shared" si="125"/>
        <v>233.3</v>
      </c>
      <c r="GC25" s="648">
        <f t="shared" si="125"/>
        <v>236.36369331</v>
      </c>
      <c r="GD25" s="648">
        <f t="shared" si="125"/>
        <v>227.0943019</v>
      </c>
      <c r="GE25" s="648">
        <f t="shared" si="125"/>
        <v>203.03</v>
      </c>
      <c r="GF25" s="648">
        <f t="shared" si="125"/>
        <v>145.12180000000001</v>
      </c>
      <c r="GG25" s="648">
        <f t="shared" si="125"/>
        <v>220.91300036999999</v>
      </c>
      <c r="GH25" s="648">
        <f t="shared" si="125"/>
        <v>171.6</v>
      </c>
      <c r="GI25" s="648">
        <f t="shared" si="125"/>
        <v>251.2</v>
      </c>
      <c r="GJ25" s="648">
        <f t="shared" si="125"/>
        <v>257.60000000000002</v>
      </c>
      <c r="GK25" s="650">
        <f t="shared" si="125"/>
        <v>255.03773905</v>
      </c>
      <c r="GL25" s="648">
        <f>SUM(GL23:GL24)</f>
        <v>257.89437607000002</v>
      </c>
      <c r="GM25" s="648">
        <f t="shared" ref="GM25:GW25" si="126">SUM(GM23:GM24)</f>
        <v>314.79999999999995</v>
      </c>
      <c r="GN25" s="648">
        <f t="shared" si="126"/>
        <v>217.8</v>
      </c>
      <c r="GO25" s="648">
        <f t="shared" si="126"/>
        <v>280.29999999999995</v>
      </c>
      <c r="GP25" s="648">
        <f t="shared" si="126"/>
        <v>235.3</v>
      </c>
      <c r="GQ25" s="648">
        <f t="shared" si="126"/>
        <v>0</v>
      </c>
      <c r="GR25" s="648">
        <f t="shared" si="126"/>
        <v>0</v>
      </c>
      <c r="GS25" s="648">
        <f t="shared" si="126"/>
        <v>0</v>
      </c>
      <c r="GT25" s="648">
        <f t="shared" si="126"/>
        <v>0</v>
      </c>
      <c r="GU25" s="648">
        <f t="shared" si="126"/>
        <v>0</v>
      </c>
      <c r="GV25" s="648">
        <f t="shared" si="126"/>
        <v>0</v>
      </c>
      <c r="GW25" s="650">
        <f t="shared" si="126"/>
        <v>0</v>
      </c>
      <c r="HC25" s="653" t="s">
        <v>448</v>
      </c>
      <c r="HD25" s="648">
        <f>SUM(HD23:HD24)</f>
        <v>235.3</v>
      </c>
      <c r="HE25" s="811">
        <f>GP25/GD25-1</f>
        <v>3.6133438978197541E-2</v>
      </c>
      <c r="HF25" s="811">
        <f>GP25/GO25-1</f>
        <v>-0.16054227613271477</v>
      </c>
      <c r="HG25" s="648">
        <f>SUM(HG23:HG24)</f>
        <v>1306.0943760700002</v>
      </c>
      <c r="HH25" s="648">
        <f>SUM(HH23:HH24)</f>
        <v>1072.6579952099999</v>
      </c>
      <c r="HI25" s="774">
        <f>HG25/HH25-1</f>
        <v>0.21762423988113677</v>
      </c>
    </row>
    <row r="26" spans="1:217">
      <c r="A26" s="654" t="s">
        <v>454</v>
      </c>
      <c r="B26" s="655">
        <f>B24/B25</f>
        <v>0.14026417048467921</v>
      </c>
      <c r="C26" s="655">
        <f t="shared" ref="C26:N26" si="127">C24/C25</f>
        <v>9.8974578501680371E-2</v>
      </c>
      <c r="D26" s="655">
        <f t="shared" si="127"/>
        <v>0.15008849481000061</v>
      </c>
      <c r="E26" s="655">
        <f t="shared" si="127"/>
        <v>0.22702622149788013</v>
      </c>
      <c r="F26" s="655">
        <f t="shared" si="127"/>
        <v>0.29343366418405814</v>
      </c>
      <c r="G26" s="655">
        <f t="shared" si="127"/>
        <v>0.20236804802089869</v>
      </c>
      <c r="H26" s="655">
        <f t="shared" si="127"/>
        <v>0.21025368564414149</v>
      </c>
      <c r="I26" s="655">
        <f t="shared" si="127"/>
        <v>2.686137957865359</v>
      </c>
      <c r="J26" s="655">
        <f t="shared" si="127"/>
        <v>0.15686233924442225</v>
      </c>
      <c r="K26" s="655">
        <f t="shared" si="127"/>
        <v>0.14327876429074396</v>
      </c>
      <c r="L26" s="655">
        <f t="shared" si="127"/>
        <v>0.12737426712123007</v>
      </c>
      <c r="M26" s="651">
        <f t="shared" si="127"/>
        <v>0.32262949761907173</v>
      </c>
      <c r="N26" s="655">
        <f t="shared" si="127"/>
        <v>0.27303791754018164</v>
      </c>
      <c r="O26" s="655">
        <f t="shared" ref="O26" si="128">O24/O25</f>
        <v>0.27269124882175783</v>
      </c>
      <c r="P26" s="655">
        <f t="shared" ref="P26" si="129">P24/P25</f>
        <v>0.26006009700410293</v>
      </c>
      <c r="Q26" s="655">
        <f t="shared" ref="Q26" si="130">Q24/Q25</f>
        <v>0.24236775069846583</v>
      </c>
      <c r="R26" s="655">
        <f t="shared" ref="R26" si="131">R24/R25</f>
        <v>0.2517866064506602</v>
      </c>
      <c r="S26" s="655">
        <f t="shared" ref="S26" si="132">S24/S25</f>
        <v>0.3906706885570968</v>
      </c>
      <c r="T26" s="655">
        <f t="shared" ref="T26" si="133">T24/T25</f>
        <v>0.219632094012325</v>
      </c>
      <c r="U26" s="655">
        <f t="shared" ref="U26" si="134">U24/U25</f>
        <v>0.23951174607230002</v>
      </c>
      <c r="V26" s="655">
        <f t="shared" ref="V26" si="135">V24/V25</f>
        <v>0.24638058934296916</v>
      </c>
      <c r="W26" s="655">
        <f t="shared" ref="W26" si="136">W24/W25</f>
        <v>0.37868125139900233</v>
      </c>
      <c r="X26" s="655">
        <f t="shared" ref="X26" si="137">X24/X25</f>
        <v>0.24693259477306173</v>
      </c>
      <c r="Y26" s="651">
        <f t="shared" ref="Y26:Z26" si="138">Y24/Y25</f>
        <v>0.2308456490999366</v>
      </c>
      <c r="Z26" s="655">
        <f t="shared" si="138"/>
        <v>0.25974485881517589</v>
      </c>
      <c r="AA26" s="655">
        <f t="shared" ref="AA26" si="139">AA24/AA25</f>
        <v>0.25717230170917504</v>
      </c>
      <c r="AB26" s="655">
        <f t="shared" ref="AB26" si="140">AB24/AB25</f>
        <v>0.70654768968932324</v>
      </c>
      <c r="AC26" s="655">
        <f t="shared" ref="AC26" si="141">AC24/AC25</f>
        <v>0.23679236956277122</v>
      </c>
      <c r="AD26" s="655">
        <f t="shared" ref="AD26" si="142">AD24/AD25</f>
        <v>0.26319231077140504</v>
      </c>
      <c r="AE26" s="655">
        <f t="shared" ref="AE26" si="143">AE24/AE25</f>
        <v>0.66927498713005884</v>
      </c>
      <c r="AF26" s="655">
        <f t="shared" ref="AF26" si="144">AF24/AF25</f>
        <v>0.19946395562676142</v>
      </c>
      <c r="AG26" s="655">
        <f t="shared" ref="AG26" si="145">AG24/AG25</f>
        <v>0.22708520460624473</v>
      </c>
      <c r="AH26" s="655">
        <f t="shared" ref="AH26" si="146">AH24/AH25</f>
        <v>0.22222857142857141</v>
      </c>
      <c r="AI26" s="655">
        <f t="shared" ref="AI26" si="147">AI24/AI25</f>
        <v>0.22342826069655319</v>
      </c>
      <c r="AJ26" s="655">
        <f t="shared" ref="AJ26" si="148">AJ24/AJ25</f>
        <v>0.23215593071167717</v>
      </c>
      <c r="AK26" s="651">
        <f t="shared" ref="AK26:AL26" si="149">AK24/AK25</f>
        <v>0.15781936634895902</v>
      </c>
      <c r="AL26" s="655">
        <f t="shared" si="149"/>
        <v>5.0999278937914741E-2</v>
      </c>
      <c r="AM26" s="655">
        <f t="shared" ref="AM26" si="150">AM24/AM25</f>
        <v>0.252858456516244</v>
      </c>
      <c r="AN26" s="655">
        <f t="shared" ref="AN26" si="151">AN24/AN25</f>
        <v>0.23991190448115085</v>
      </c>
      <c r="AO26" s="655">
        <f t="shared" ref="AO26" si="152">AO24/AO25</f>
        <v>0.2178813579784758</v>
      </c>
      <c r="AP26" s="655">
        <f t="shared" ref="AP26" si="153">AP24/AP25</f>
        <v>0.22452328457142867</v>
      </c>
      <c r="AQ26" s="655">
        <f t="shared" ref="AQ26" si="154">AQ24/AQ25</f>
        <v>0.228203295119289</v>
      </c>
      <c r="AR26" s="655">
        <f t="shared" ref="AR26" si="155">AR24/AR25</f>
        <v>0.21681632558139535</v>
      </c>
      <c r="AS26" s="655">
        <f t="shared" ref="AS26" si="156">AS24/AS25</f>
        <v>0.23690053658536586</v>
      </c>
      <c r="AT26" s="655">
        <f t="shared" ref="AT26" si="157">AT24/AT25</f>
        <v>7.8023499999999996E-2</v>
      </c>
      <c r="AU26" s="655">
        <f t="shared" ref="AU26" si="158">AU24/AU25</f>
        <v>0.24657865909090909</v>
      </c>
      <c r="AV26" s="655">
        <f t="shared" ref="AV26" si="159">AV24/AV25</f>
        <v>0.30513930060498201</v>
      </c>
      <c r="AW26" s="651">
        <f t="shared" ref="AW26" si="160">AW24/AW25</f>
        <v>0.19850605378468977</v>
      </c>
      <c r="AX26" s="655">
        <f t="shared" ref="AX26" si="161">AX24/AX25</f>
        <v>8.353733170134639E-2</v>
      </c>
      <c r="AY26" s="655">
        <f t="shared" ref="AY26" si="162">AY24/AY25</f>
        <v>0.287439052704899</v>
      </c>
      <c r="AZ26" s="655">
        <f t="shared" ref="AZ26" si="163">AZ24/AZ25</f>
        <v>0.27797965116279066</v>
      </c>
      <c r="BA26" s="655">
        <f t="shared" ref="BA26" si="164">BA24/BA25</f>
        <v>0.24211524780649751</v>
      </c>
      <c r="BB26" s="655">
        <f t="shared" ref="BB26" si="165">BB24/BB25</f>
        <v>0.26178307779670645</v>
      </c>
      <c r="BC26" s="655">
        <f t="shared" ref="BC26" si="166">BC24/BC25</f>
        <v>0.25644397685428727</v>
      </c>
      <c r="BD26" s="655">
        <f t="shared" ref="BD26" si="167">BD24/BD25</f>
        <v>0.25174196448640146</v>
      </c>
      <c r="BE26" s="655">
        <f t="shared" ref="BE26" si="168">BE24/BE25</f>
        <v>0.27848404893259776</v>
      </c>
      <c r="BF26" s="655">
        <f t="shared" ref="BF26" si="169">BF24/BF25</f>
        <v>0.38330975954738328</v>
      </c>
      <c r="BG26" s="655">
        <f t="shared" ref="BG26" si="170">BG24/BG25</f>
        <v>0.2589102826710365</v>
      </c>
      <c r="BH26" s="655">
        <f t="shared" ref="BH26" si="171">BH24/BH25</f>
        <v>0.32389635316698656</v>
      </c>
      <c r="BI26" s="651">
        <f t="shared" ref="BI26" si="172">BI24/BI25</f>
        <v>0.22677693875104879</v>
      </c>
      <c r="BJ26" s="655">
        <f t="shared" ref="BJ26" si="173">BJ24/BJ25</f>
        <v>0.11955037293833387</v>
      </c>
      <c r="BK26" s="655">
        <f t="shared" ref="BK26" si="174">BK24/BK25</f>
        <v>0.31003460207612454</v>
      </c>
      <c r="BL26" s="655">
        <f t="shared" ref="BL26" si="175">BL24/BL25</f>
        <v>0.30659186535764377</v>
      </c>
      <c r="BM26" s="655">
        <f t="shared" ref="BM26" si="176">BM24/BM25</f>
        <v>0.25398620377699876</v>
      </c>
      <c r="BN26" s="655">
        <f t="shared" ref="BN26" si="177">BN24/BN25</f>
        <v>0.28732162458836447</v>
      </c>
      <c r="BO26" s="655">
        <f t="shared" ref="BO26" si="178">BO24/BO25</f>
        <v>0.27209911841791756</v>
      </c>
      <c r="BP26" s="655">
        <f t="shared" ref="BP26" si="179">BP24/BP25</f>
        <v>0.27484143763213531</v>
      </c>
      <c r="BQ26" s="655">
        <f t="shared" ref="BQ26" si="180">BQ24/BQ25</f>
        <v>0.30816888480954568</v>
      </c>
      <c r="BR26" s="655">
        <f t="shared" ref="BR26" si="181">BR24/BR25</f>
        <v>0.29743812418584453</v>
      </c>
      <c r="BS26" s="655">
        <f t="shared" ref="BS26" si="182">BS24/BS25</f>
        <v>0.25950518464617067</v>
      </c>
      <c r="BT26" s="655">
        <f t="shared" ref="BT26" si="183">BT24/BT25</f>
        <v>0.32641595964228387</v>
      </c>
      <c r="BU26" s="651">
        <f t="shared" ref="BU26" si="184">BU24/BU25</f>
        <v>0.24375963020030814</v>
      </c>
      <c r="BV26" s="655">
        <f t="shared" ref="BV26" si="185">BV24/BV25</f>
        <v>0.20523964747072318</v>
      </c>
      <c r="BW26" s="655">
        <f t="shared" ref="BW26" si="186">BW24/BW25</f>
        <v>0.39996270743986578</v>
      </c>
      <c r="BX26" s="655">
        <f t="shared" ref="BX26" si="187">BX24/BX25</f>
        <v>0.40650260463445298</v>
      </c>
      <c r="BY26" s="655">
        <f t="shared" ref="BY26" si="188">BY24/BY25</f>
        <v>0.32353974013812475</v>
      </c>
      <c r="BZ26" s="655">
        <f t="shared" ref="BZ26" si="189">BZ24/BZ25</f>
        <v>0.37701669968864993</v>
      </c>
      <c r="CA26" s="655">
        <f t="shared" ref="CA26" si="190">CA24/CA25</f>
        <v>0.34879925390533928</v>
      </c>
      <c r="CB26" s="655">
        <f t="shared" ref="CB26" si="191">CB24/CB25</f>
        <v>0.36006825938566556</v>
      </c>
      <c r="CC26" s="655">
        <f t="shared" ref="CC26" si="192">CC24/CC25</f>
        <v>0.40362706347361077</v>
      </c>
      <c r="CD26" s="655">
        <f t="shared" ref="CD26" si="193">CD24/CD25</f>
        <v>0.35586427998931341</v>
      </c>
      <c r="CE26" s="655">
        <f t="shared" ref="CE26" si="194">CE24/CE25</f>
        <v>0.31880084895649097</v>
      </c>
      <c r="CF26" s="655">
        <f t="shared" ref="CF26" si="195">CF24/CF25</f>
        <v>0.39204212990052661</v>
      </c>
      <c r="CG26" s="651">
        <f t="shared" ref="CG26" si="196">CG24/CG25</f>
        <v>0.31837524177949711</v>
      </c>
      <c r="CH26" s="655">
        <f t="shared" ref="CH26" si="197">CH24/CH25</f>
        <v>0.27093271771379107</v>
      </c>
      <c r="CI26" s="655">
        <f t="shared" ref="CI26" si="198">CI24/CI25</f>
        <v>0.43820382225129667</v>
      </c>
      <c r="CJ26" s="655">
        <f t="shared" ref="CJ26" si="199">CJ24/CJ25</f>
        <v>0.4611048362254852</v>
      </c>
      <c r="CK26" s="655">
        <f t="shared" ref="CK26" si="200">CK24/CK25</f>
        <v>0.34098674501774867</v>
      </c>
      <c r="CL26" s="655">
        <f t="shared" ref="CL26" si="201">CL24/CL25</f>
        <v>0.41127682924635228</v>
      </c>
      <c r="CM26" s="655">
        <f t="shared" ref="CM26" si="202">CM24/CM25</f>
        <v>0.37134415661931475</v>
      </c>
      <c r="CN26" s="655">
        <f t="shared" ref="CN26" si="203">CN24/CN25</f>
        <v>0.39097682004782502</v>
      </c>
      <c r="CO26" s="655">
        <f t="shared" ref="CO26" si="204">CO24/CO25</f>
        <v>0.44160347180278725</v>
      </c>
      <c r="CP26" s="655">
        <f t="shared" ref="CP26" si="205">CP24/CP25</f>
        <v>0.37001858157500067</v>
      </c>
      <c r="CQ26" s="655">
        <f t="shared" ref="CQ26" si="206">CQ24/CQ25</f>
        <v>0.34769287902701701</v>
      </c>
      <c r="CR26" s="655">
        <f t="shared" ref="CR26:CS26" si="207">CR24/CR25</f>
        <v>0.35330503335354757</v>
      </c>
      <c r="CS26" s="651">
        <f t="shared" si="207"/>
        <v>0.45672556797692032</v>
      </c>
      <c r="CT26" s="655">
        <f t="shared" ref="CT26" si="208">CT24/CT25</f>
        <v>0.36606181762263568</v>
      </c>
      <c r="CU26" s="655">
        <f t="shared" ref="CU26" si="209">CU24/CU25</f>
        <v>0.52107728337236536</v>
      </c>
      <c r="CV26" s="655">
        <f t="shared" ref="CV26" si="210">CV24/CV25</f>
        <v>0.56696248487293266</v>
      </c>
      <c r="CW26" s="655">
        <f t="shared" ref="CW26" si="211">CW24/CW25</f>
        <v>0.37856282617422726</v>
      </c>
      <c r="CX26" s="655">
        <f t="shared" ref="CX26" si="212">CX24/CX25</f>
        <v>0.46758886922953191</v>
      </c>
      <c r="CY26" s="655">
        <f t="shared" ref="CY26" si="213">CY24/CY25</f>
        <v>0.41521948866377228</v>
      </c>
      <c r="CZ26" s="655">
        <f t="shared" ref="CZ26" si="214">CZ24/CZ25</f>
        <v>0.44331210191082809</v>
      </c>
      <c r="DA26" s="655">
        <f t="shared" ref="DA26" si="215">DA24/DA25</f>
        <v>0.50128238009746096</v>
      </c>
      <c r="DB26" s="655">
        <f t="shared" ref="DB26" si="216">DB24/DB25</f>
        <v>0.40951651344909767</v>
      </c>
      <c r="DC26" s="655">
        <f t="shared" ref="DC26" si="217">DC24/DC25</f>
        <v>0.35466946484784889</v>
      </c>
      <c r="DD26" s="655">
        <f t="shared" ref="DD26" si="218">DD24/DD25</f>
        <v>0.42155395291876452</v>
      </c>
      <c r="DE26" s="651">
        <f t="shared" ref="DE26" si="219">DE24/DE25</f>
        <v>0.38707426018983809</v>
      </c>
      <c r="DF26" s="655">
        <f t="shared" ref="DF26" si="220">DF24/DF25</f>
        <v>0.40374775732606816</v>
      </c>
      <c r="DG26" s="655">
        <f t="shared" ref="DG26" si="221">DG24/DG25</f>
        <v>0.4101619291189425</v>
      </c>
      <c r="DH26" s="655">
        <f t="shared" ref="DH26" si="222">DH24/DH25</f>
        <v>0.46176567938135027</v>
      </c>
      <c r="DI26" s="655">
        <f t="shared" ref="DI26" si="223">DI24/DI25</f>
        <v>0.40068259385665533</v>
      </c>
      <c r="DJ26" s="655">
        <f t="shared" ref="DJ26" si="224">DJ24/DJ25</f>
        <v>0.43903869608834317</v>
      </c>
      <c r="DK26" s="655">
        <f t="shared" ref="DK26" si="225">DK24/DK25</f>
        <v>0.42191531898332585</v>
      </c>
      <c r="DL26" s="655">
        <f t="shared" ref="DL26" si="226">DL24/DL25</f>
        <v>0.45032495184869881</v>
      </c>
      <c r="DM26" s="655">
        <f t="shared" ref="DM26" si="227">DM24/DM25</f>
        <v>0.44846012681331693</v>
      </c>
      <c r="DN26" s="655">
        <f t="shared" ref="DN26" si="228">DN24/DN25</f>
        <v>0.4328383980986662</v>
      </c>
      <c r="DO26" s="655">
        <f t="shared" ref="DO26" si="229">DO24/DO25</f>
        <v>0.4259391211773868</v>
      </c>
      <c r="DP26" s="655">
        <f t="shared" ref="DP26" si="230">DP24/DP25</f>
        <v>0.43804171618407162</v>
      </c>
      <c r="DQ26" s="651">
        <f t="shared" ref="DQ26:EB26" si="231">DQ24/DQ25</f>
        <v>0.48774660093742161</v>
      </c>
      <c r="DR26" s="655">
        <f t="shared" si="231"/>
        <v>0.46596375050110644</v>
      </c>
      <c r="DS26" s="655">
        <f t="shared" si="231"/>
        <v>0.43189633789247794</v>
      </c>
      <c r="DT26" s="655">
        <f t="shared" si="231"/>
        <v>0.48846049491014659</v>
      </c>
      <c r="DU26" s="655">
        <f t="shared" si="231"/>
        <v>0.4348486930947647</v>
      </c>
      <c r="DV26" s="655">
        <f t="shared" si="231"/>
        <v>0.41914001363514902</v>
      </c>
      <c r="DW26" s="655">
        <f t="shared" si="231"/>
        <v>0.51539071960322624</v>
      </c>
      <c r="DX26" s="655">
        <f t="shared" si="231"/>
        <v>0.49563205483706835</v>
      </c>
      <c r="DY26" s="655">
        <f t="shared" si="231"/>
        <v>0.4712890593113585</v>
      </c>
      <c r="DZ26" s="655">
        <f t="shared" si="231"/>
        <v>0.47471012719230726</v>
      </c>
      <c r="EA26" s="655">
        <f t="shared" si="231"/>
        <v>0.43931590798461945</v>
      </c>
      <c r="EB26" s="655">
        <f t="shared" si="231"/>
        <v>0.48501350332545573</v>
      </c>
      <c r="EC26" s="651">
        <f t="shared" ref="EC26:EO26" si="232">EC24/EC25</f>
        <v>0.42164660848220137</v>
      </c>
      <c r="ED26" s="655">
        <f t="shared" si="232"/>
        <v>0.44931359665078058</v>
      </c>
      <c r="EE26" s="655">
        <f t="shared" si="232"/>
        <v>0.46788504278893234</v>
      </c>
      <c r="EF26" s="655">
        <f t="shared" si="232"/>
        <v>0.6557743131268241</v>
      </c>
      <c r="EG26" s="655">
        <f t="shared" si="232"/>
        <v>0.99735795379987879</v>
      </c>
      <c r="EH26" s="655">
        <f t="shared" si="232"/>
        <v>1.0003873403937247</v>
      </c>
      <c r="EI26" s="655">
        <f t="shared" si="232"/>
        <v>0.8522582171646832</v>
      </c>
      <c r="EJ26" s="655">
        <f t="shared" si="232"/>
        <v>0.51488010617842184</v>
      </c>
      <c r="EK26" s="655">
        <f t="shared" si="232"/>
        <v>0.55773455727186261</v>
      </c>
      <c r="EL26" s="655">
        <f t="shared" si="232"/>
        <v>0.49694444222588086</v>
      </c>
      <c r="EM26" s="655">
        <f t="shared" si="232"/>
        <v>0.516736207015289</v>
      </c>
      <c r="EN26" s="655">
        <f t="shared" si="232"/>
        <v>1.0332282990323238</v>
      </c>
      <c r="EO26" s="651">
        <f t="shared" si="232"/>
        <v>1.00321903989031</v>
      </c>
      <c r="EP26" s="655">
        <f t="shared" ref="EP26:FM26" si="233">EP24/EP25</f>
        <v>1.00012079962925</v>
      </c>
      <c r="EQ26" s="655">
        <f t="shared" si="233"/>
        <v>0.99997200101015526</v>
      </c>
      <c r="ER26" s="655">
        <f t="shared" si="233"/>
        <v>1.0000000969605143</v>
      </c>
      <c r="ES26" s="655">
        <f t="shared" si="233"/>
        <v>0.99992744779938791</v>
      </c>
      <c r="ET26" s="655">
        <f t="shared" si="233"/>
        <v>1.0011077551492085</v>
      </c>
      <c r="EU26" s="655">
        <f t="shared" si="233"/>
        <v>0.7998273400718936</v>
      </c>
      <c r="EV26" s="655">
        <f t="shared" si="233"/>
        <v>0.64709208146128516</v>
      </c>
      <c r="EW26" s="655">
        <f t="shared" si="233"/>
        <v>0.70798376369372717</v>
      </c>
      <c r="EX26" s="655">
        <f t="shared" si="233"/>
        <v>0.63766261705856275</v>
      </c>
      <c r="EY26" s="655">
        <f t="shared" si="233"/>
        <v>0.64540488648887295</v>
      </c>
      <c r="EZ26" s="655">
        <f t="shared" si="233"/>
        <v>0.58996159655701697</v>
      </c>
      <c r="FA26" s="651">
        <f t="shared" si="233"/>
        <v>0.61073091946146063</v>
      </c>
      <c r="FB26" s="655">
        <f t="shared" si="233"/>
        <v>0.61055380588149832</v>
      </c>
      <c r="FC26" s="655">
        <f t="shared" si="233"/>
        <v>0.59648587292125876</v>
      </c>
      <c r="FD26" s="655">
        <f t="shared" si="233"/>
        <v>0.61832586457064487</v>
      </c>
      <c r="FE26" s="655">
        <f t="shared" si="233"/>
        <v>0.58769938377583031</v>
      </c>
      <c r="FF26" s="655">
        <f t="shared" si="233"/>
        <v>0.59475524904307531</v>
      </c>
      <c r="FG26" s="655">
        <f t="shared" si="233"/>
        <v>0.60678722262529095</v>
      </c>
      <c r="FH26" s="655">
        <f t="shared" si="233"/>
        <v>0.63808455590164448</v>
      </c>
      <c r="FI26" s="655">
        <f t="shared" si="233"/>
        <v>0.63395112890114025</v>
      </c>
      <c r="FJ26" s="655">
        <f t="shared" si="233"/>
        <v>0.59532634210015889</v>
      </c>
      <c r="FK26" s="655">
        <f t="shared" si="233"/>
        <v>0.59835474065365202</v>
      </c>
      <c r="FL26" s="655">
        <f t="shared" si="233"/>
        <v>0.63039134118613283</v>
      </c>
      <c r="FM26" s="651">
        <f t="shared" si="233"/>
        <v>0.64494400468428759</v>
      </c>
      <c r="FN26" s="655">
        <f t="shared" ref="FN26:FY26" si="234">FN24/FN25</f>
        <v>0.61350525958601976</v>
      </c>
      <c r="FO26" s="655">
        <f t="shared" si="234"/>
        <v>0.61034646416706217</v>
      </c>
      <c r="FP26" s="655">
        <f t="shared" si="234"/>
        <v>0.60205338809034903</v>
      </c>
      <c r="FQ26" s="655">
        <f t="shared" si="234"/>
        <v>0.57946026986506738</v>
      </c>
      <c r="FR26" s="655">
        <f t="shared" si="234"/>
        <v>0.59351503759398494</v>
      </c>
      <c r="FS26" s="655">
        <f t="shared" si="234"/>
        <v>0.62402826855123672</v>
      </c>
      <c r="FT26" s="655">
        <f t="shared" si="234"/>
        <v>0.63357142857142856</v>
      </c>
      <c r="FU26" s="655">
        <f t="shared" si="234"/>
        <v>0.65051483949121736</v>
      </c>
      <c r="FV26" s="655">
        <f t="shared" si="234"/>
        <v>0.63699421965317926</v>
      </c>
      <c r="FW26" s="655">
        <f t="shared" si="234"/>
        <v>0.78493150684931501</v>
      </c>
      <c r="FX26" s="655">
        <f t="shared" si="234"/>
        <v>0.59778743579612803</v>
      </c>
      <c r="FY26" s="651">
        <f t="shared" si="234"/>
        <v>0.58604247941048981</v>
      </c>
      <c r="FZ26" s="655">
        <f t="shared" ref="FZ26:GK26" si="235">FZ24/FZ25</f>
        <v>0.6707224334600761</v>
      </c>
      <c r="GA26" s="655">
        <f t="shared" si="235"/>
        <v>0.60147299509001639</v>
      </c>
      <c r="GB26" s="655">
        <f t="shared" si="235"/>
        <v>0.61551650235747957</v>
      </c>
      <c r="GC26" s="655">
        <f t="shared" si="235"/>
        <v>0.61442174530387483</v>
      </c>
      <c r="GD26" s="655">
        <f t="shared" si="235"/>
        <v>0.62619814944815211</v>
      </c>
      <c r="GE26" s="655">
        <f t="shared" si="235"/>
        <v>0.6158203221198838</v>
      </c>
      <c r="GF26" s="655">
        <f t="shared" si="235"/>
        <v>0.71610054450813043</v>
      </c>
      <c r="GG26" s="655">
        <f t="shared" si="235"/>
        <v>0.64421753437615492</v>
      </c>
      <c r="GH26" s="655">
        <f t="shared" si="235"/>
        <v>0.65326340326340326</v>
      </c>
      <c r="GI26" s="655">
        <f t="shared" si="235"/>
        <v>0.63853503184713378</v>
      </c>
      <c r="GJ26" s="655">
        <f t="shared" si="235"/>
        <v>0.60908385093167694</v>
      </c>
      <c r="GK26" s="651">
        <f t="shared" si="235"/>
        <v>0.61143005592371769</v>
      </c>
      <c r="GL26" s="655">
        <f t="shared" ref="GL26:GW26" si="236">GL24/GL25</f>
        <v>0.61638542259972751</v>
      </c>
      <c r="GM26" s="655">
        <f t="shared" si="236"/>
        <v>0.60736975857687425</v>
      </c>
      <c r="GN26" s="655">
        <f t="shared" si="236"/>
        <v>0.61019283746556474</v>
      </c>
      <c r="GO26" s="655">
        <f t="shared" si="236"/>
        <v>0.59828754905458448</v>
      </c>
      <c r="GP26" s="655">
        <f t="shared" si="236"/>
        <v>0.60390990225244368</v>
      </c>
      <c r="GQ26" s="655" t="e">
        <f t="shared" si="236"/>
        <v>#DIV/0!</v>
      </c>
      <c r="GR26" s="655" t="e">
        <f t="shared" si="236"/>
        <v>#DIV/0!</v>
      </c>
      <c r="GS26" s="655" t="e">
        <f t="shared" si="236"/>
        <v>#DIV/0!</v>
      </c>
      <c r="GT26" s="655" t="e">
        <f t="shared" si="236"/>
        <v>#DIV/0!</v>
      </c>
      <c r="GU26" s="655" t="e">
        <f t="shared" si="236"/>
        <v>#DIV/0!</v>
      </c>
      <c r="GV26" s="655" t="e">
        <f t="shared" si="236"/>
        <v>#DIV/0!</v>
      </c>
      <c r="GW26" s="651" t="e">
        <f t="shared" si="236"/>
        <v>#DIV/0!</v>
      </c>
      <c r="HC26" s="654" t="s">
        <v>454</v>
      </c>
      <c r="HD26" s="655">
        <f>HD24/HD25</f>
        <v>0.60390990225244368</v>
      </c>
      <c r="HE26" s="655"/>
      <c r="HF26" s="655"/>
      <c r="HG26" s="655">
        <f>HG24/HG25</f>
        <v>0.60704827193705524</v>
      </c>
      <c r="HH26" s="655">
        <f>HH24/HH25</f>
        <v>0.62110479532627538</v>
      </c>
      <c r="HI26" s="651"/>
    </row>
    <row r="27" spans="1:217">
      <c r="A27" s="659" t="s">
        <v>396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7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7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7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7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  <c r="BI27" s="127"/>
      <c r="BJ27" s="126"/>
      <c r="BK27" s="126"/>
      <c r="BL27" s="126"/>
      <c r="BM27" s="126"/>
      <c r="BN27" s="126"/>
      <c r="BO27" s="126"/>
      <c r="BP27" s="126"/>
      <c r="BQ27" s="126"/>
      <c r="BR27" s="126"/>
      <c r="BS27" s="126"/>
      <c r="BT27" s="126"/>
      <c r="BU27" s="127"/>
      <c r="BV27" s="126"/>
      <c r="BW27" s="126"/>
      <c r="BX27" s="126"/>
      <c r="BY27" s="126"/>
      <c r="BZ27" s="126"/>
      <c r="CA27" s="126"/>
      <c r="CB27" s="126"/>
      <c r="CC27" s="126"/>
      <c r="CD27" s="126"/>
      <c r="CE27" s="126"/>
      <c r="CF27" s="126"/>
      <c r="CG27" s="127"/>
      <c r="CH27" s="126"/>
      <c r="CI27" s="126"/>
      <c r="CJ27" s="126"/>
      <c r="CK27" s="126"/>
      <c r="CL27" s="126"/>
      <c r="CM27" s="126"/>
      <c r="CN27" s="126"/>
      <c r="CO27" s="126"/>
      <c r="CP27" s="126"/>
      <c r="CQ27" s="126"/>
      <c r="CR27" s="126"/>
      <c r="CS27" s="127"/>
      <c r="CT27" s="126"/>
      <c r="CU27" s="126"/>
      <c r="CV27" s="126"/>
      <c r="CW27" s="126"/>
      <c r="CX27" s="126"/>
      <c r="CY27" s="126"/>
      <c r="CZ27" s="126"/>
      <c r="DA27" s="126"/>
      <c r="DB27" s="126"/>
      <c r="DC27" s="126"/>
      <c r="DD27" s="126"/>
      <c r="DE27" s="127"/>
      <c r="DF27" s="126"/>
      <c r="DG27" s="126"/>
      <c r="DH27" s="126"/>
      <c r="DI27" s="126"/>
      <c r="DJ27" s="126"/>
      <c r="DK27" s="126"/>
      <c r="DL27" s="126"/>
      <c r="DM27" s="126"/>
      <c r="DN27" s="126"/>
      <c r="DO27" s="126"/>
      <c r="DP27" s="126"/>
      <c r="DQ27" s="127"/>
      <c r="DR27" s="126"/>
      <c r="DS27" s="126"/>
      <c r="DT27" s="126"/>
      <c r="DU27" s="126"/>
      <c r="DV27" s="126"/>
      <c r="DW27" s="126"/>
      <c r="DX27" s="126"/>
      <c r="DY27" s="126"/>
      <c r="DZ27" s="126"/>
      <c r="EA27" s="126"/>
      <c r="EB27" s="126"/>
      <c r="EC27" s="127"/>
      <c r="ED27" s="126"/>
      <c r="EE27" s="126"/>
      <c r="EF27" s="126"/>
      <c r="EG27" s="126"/>
      <c r="EH27" s="126"/>
      <c r="EI27" s="126"/>
      <c r="EJ27" s="126"/>
      <c r="EK27" s="126"/>
      <c r="EL27" s="126"/>
      <c r="EM27" s="126"/>
      <c r="EN27" s="126"/>
      <c r="EO27" s="127"/>
      <c r="EP27" s="126"/>
      <c r="EQ27" s="126"/>
      <c r="ER27" s="126"/>
      <c r="ES27" s="126"/>
      <c r="ET27" s="126"/>
      <c r="EU27" s="126"/>
      <c r="EV27" s="126"/>
      <c r="EW27" s="126"/>
      <c r="EX27" s="126"/>
      <c r="EY27" s="126"/>
      <c r="EZ27" s="126"/>
      <c r="FA27" s="127"/>
      <c r="FB27" s="126"/>
      <c r="FC27" s="126"/>
      <c r="FD27" s="126"/>
      <c r="FE27" s="126"/>
      <c r="FF27" s="126"/>
      <c r="FG27" s="126"/>
      <c r="FH27" s="126"/>
      <c r="FI27" s="126"/>
      <c r="FJ27" s="126"/>
      <c r="FK27" s="126"/>
      <c r="FL27" s="126"/>
      <c r="FM27" s="127"/>
      <c r="FN27" s="126"/>
      <c r="FO27" s="126"/>
      <c r="FP27" s="126"/>
      <c r="FQ27" s="126"/>
      <c r="FR27" s="126"/>
      <c r="FS27" s="126"/>
      <c r="FT27" s="126"/>
      <c r="FU27" s="126"/>
      <c r="FV27" s="126"/>
      <c r="FW27" s="126"/>
      <c r="FX27" s="126"/>
      <c r="FY27" s="127"/>
      <c r="FZ27" s="126"/>
      <c r="GA27" s="126"/>
      <c r="GB27" s="126"/>
      <c r="GC27" s="126"/>
      <c r="GD27" s="126"/>
      <c r="GE27" s="126"/>
      <c r="GF27" s="126"/>
      <c r="GG27" s="126"/>
      <c r="GH27" s="126"/>
      <c r="GI27" s="126"/>
      <c r="GJ27" s="126"/>
      <c r="GK27" s="127"/>
      <c r="GL27" s="126"/>
      <c r="GM27" s="126"/>
      <c r="GN27" s="126"/>
      <c r="GO27" s="126"/>
      <c r="GP27" s="126"/>
      <c r="GQ27" s="126"/>
      <c r="GR27" s="126"/>
      <c r="GS27" s="126"/>
      <c r="GT27" s="126"/>
      <c r="GU27" s="126"/>
      <c r="GV27" s="126"/>
      <c r="GW27" s="127"/>
      <c r="HC27" s="654"/>
      <c r="HE27" s="260"/>
      <c r="HF27" s="260"/>
      <c r="HG27" s="126"/>
      <c r="HH27" s="126"/>
      <c r="HI27" s="205"/>
    </row>
    <row r="28" spans="1:217">
      <c r="A28" s="5" t="s">
        <v>449</v>
      </c>
      <c r="B28" s="559"/>
      <c r="C28" s="559"/>
      <c r="D28" s="559"/>
      <c r="E28" s="559"/>
      <c r="F28" s="559"/>
      <c r="G28" s="559"/>
      <c r="H28" s="559"/>
      <c r="I28" s="559"/>
      <c r="J28" s="559"/>
      <c r="K28" s="559"/>
      <c r="L28" s="559"/>
      <c r="M28" s="560"/>
      <c r="N28" s="559"/>
      <c r="O28" s="559"/>
      <c r="P28" s="559"/>
      <c r="Q28" s="559"/>
      <c r="R28" s="559"/>
      <c r="S28" s="559"/>
      <c r="T28" s="559"/>
      <c r="U28" s="559"/>
      <c r="V28" s="559"/>
      <c r="W28" s="559"/>
      <c r="X28" s="559"/>
      <c r="Y28" s="560"/>
      <c r="Z28" s="559"/>
      <c r="AA28" s="559"/>
      <c r="AB28" s="559"/>
      <c r="AC28" s="559"/>
      <c r="AD28" s="559"/>
      <c r="AE28" s="559"/>
      <c r="AF28" s="126">
        <f>'Archive Detailed Monthly'!AR176</f>
        <v>2.345898</v>
      </c>
      <c r="AG28" s="126">
        <f>'Archive Detailed Monthly'!AS176</f>
        <v>7.2486230000000003</v>
      </c>
      <c r="AH28" s="126">
        <f>'Archive Detailed Monthly'!AT176</f>
        <v>8.8703199999999995</v>
      </c>
      <c r="AI28" s="126">
        <f>'Archive Detailed Monthly'!AU176</f>
        <v>9.9404990000000009</v>
      </c>
      <c r="AJ28" s="126">
        <f>'Archive Detailed Monthly'!AV176</f>
        <v>9.8974270000000004</v>
      </c>
      <c r="AK28" s="127">
        <f>'Archive Detailed Monthly'!AW176</f>
        <v>10.856248000000001</v>
      </c>
      <c r="AL28" s="126">
        <f>'Archive Detailed Monthly'!AX176</f>
        <v>11.49231</v>
      </c>
      <c r="AM28" s="126">
        <f>'Archive Detailed Monthly'!AY176</f>
        <v>10.107549000000001</v>
      </c>
      <c r="AN28" s="126">
        <f>'Archive Detailed Monthly'!AZ176</f>
        <v>10.760793</v>
      </c>
      <c r="AO28" s="126">
        <f>'Archive Detailed Monthly'!BA176</f>
        <v>10.661536999999999</v>
      </c>
      <c r="AP28" s="126">
        <f>'Archive Detailed Monthly'!BB176</f>
        <v>11.991652</v>
      </c>
      <c r="AQ28" s="126">
        <f>'Archive Detailed Monthly'!BC176</f>
        <v>11.320459</v>
      </c>
      <c r="AR28" s="126">
        <f>'Archive Detailed Monthly'!BD176</f>
        <v>11.016285</v>
      </c>
      <c r="AS28" s="126">
        <f>'Archive Detailed Monthly'!BE176</f>
        <v>10.522715</v>
      </c>
      <c r="AT28" s="126">
        <f>'Archive Detailed Monthly'!BF176</f>
        <v>12.995785</v>
      </c>
      <c r="AU28" s="126">
        <f>'Archive Detailed Monthly'!BG176</f>
        <v>13.581498</v>
      </c>
      <c r="AV28" s="126">
        <f>'Archive Detailed Monthly'!BH176</f>
        <v>13.506392</v>
      </c>
      <c r="AW28" s="127">
        <f>'Archive Detailed Monthly'!BI176</f>
        <v>18.934376</v>
      </c>
      <c r="AX28" s="126">
        <v>19.54</v>
      </c>
      <c r="AY28" s="126">
        <v>17.18</v>
      </c>
      <c r="AZ28" s="126">
        <v>18.39</v>
      </c>
      <c r="BA28" s="126">
        <v>18.05</v>
      </c>
      <c r="BB28" s="126">
        <v>19.78</v>
      </c>
      <c r="BC28" s="126">
        <v>18.84</v>
      </c>
      <c r="BD28" s="126">
        <v>18.54</v>
      </c>
      <c r="BE28" s="126">
        <v>17.899999999999999</v>
      </c>
      <c r="BF28" s="126">
        <v>21.44</v>
      </c>
      <c r="BG28" s="126">
        <v>22.34</v>
      </c>
      <c r="BH28" s="126">
        <v>22.37</v>
      </c>
      <c r="BI28" s="127">
        <v>29.88</v>
      </c>
      <c r="BJ28" s="126">
        <v>20.89</v>
      </c>
      <c r="BK28" s="126">
        <v>18.37</v>
      </c>
      <c r="BL28" s="126">
        <v>19.760000000000002</v>
      </c>
      <c r="BM28" s="126">
        <v>19.21</v>
      </c>
      <c r="BN28" s="126">
        <v>20.53</v>
      </c>
      <c r="BO28" s="126">
        <v>19.73</v>
      </c>
      <c r="BP28" s="126">
        <v>19.62</v>
      </c>
      <c r="BQ28" s="126">
        <v>19.13</v>
      </c>
      <c r="BR28" s="126">
        <v>22.25</v>
      </c>
      <c r="BS28" s="126">
        <v>23.11</v>
      </c>
      <c r="BT28" s="126">
        <v>23.31</v>
      </c>
      <c r="BU28" s="127">
        <v>29.57</v>
      </c>
      <c r="BV28" s="126">
        <v>28.26</v>
      </c>
      <c r="BW28" s="126">
        <v>24.85</v>
      </c>
      <c r="BX28" s="126">
        <v>26.86</v>
      </c>
      <c r="BY28" s="126">
        <v>25.88</v>
      </c>
      <c r="BZ28" s="126">
        <v>26.97</v>
      </c>
      <c r="CA28" s="126">
        <v>26.15</v>
      </c>
      <c r="CB28" s="126">
        <v>26.3</v>
      </c>
      <c r="CC28" s="126">
        <v>25.89</v>
      </c>
      <c r="CD28" s="126">
        <v>29.23</v>
      </c>
      <c r="CE28" s="126">
        <v>30.26</v>
      </c>
      <c r="CF28" s="126">
        <v>30.75</v>
      </c>
      <c r="CG28" s="127">
        <v>36.93</v>
      </c>
      <c r="CH28" s="126">
        <v>37.43</v>
      </c>
      <c r="CI28" s="126">
        <v>32.909999999999997</v>
      </c>
      <c r="CJ28" s="126">
        <v>35.74</v>
      </c>
      <c r="CK28" s="126">
        <v>34.14</v>
      </c>
      <c r="CL28" s="126">
        <v>34.71</v>
      </c>
      <c r="CM28" s="126">
        <v>33.96</v>
      </c>
      <c r="CN28" s="126">
        <v>34.51</v>
      </c>
      <c r="CO28" s="126">
        <v>34.299999999999997</v>
      </c>
      <c r="CP28" s="126">
        <v>37.619999999999997</v>
      </c>
      <c r="CQ28" s="126">
        <v>38.82</v>
      </c>
      <c r="CR28" s="126">
        <v>39.729999999999997</v>
      </c>
      <c r="CS28" s="127">
        <v>45.02</v>
      </c>
      <c r="CT28" s="126">
        <v>45.77</v>
      </c>
      <c r="CU28" s="126">
        <v>41.1</v>
      </c>
      <c r="CV28" s="126">
        <v>47.7</v>
      </c>
      <c r="CW28" s="126">
        <v>45.19</v>
      </c>
      <c r="CX28" s="126">
        <v>46.32</v>
      </c>
      <c r="CY28" s="126">
        <v>42.78</v>
      </c>
      <c r="CZ28" s="126">
        <v>44.42</v>
      </c>
      <c r="DA28" s="126">
        <v>44.83</v>
      </c>
      <c r="DB28" s="126">
        <v>50.2</v>
      </c>
      <c r="DC28" s="126">
        <v>51.94</v>
      </c>
      <c r="DD28" s="126">
        <v>48.24</v>
      </c>
      <c r="DE28" s="127">
        <v>58.56</v>
      </c>
      <c r="DF28" s="126">
        <v>59.7</v>
      </c>
      <c r="DG28" s="126">
        <v>54.891883640000003</v>
      </c>
      <c r="DH28" s="126">
        <v>60.641289999999998</v>
      </c>
      <c r="DI28" s="126">
        <v>58.1</v>
      </c>
      <c r="DJ28" s="126">
        <v>57.302202999999999</v>
      </c>
      <c r="DK28" s="126">
        <v>55.494256999999998</v>
      </c>
      <c r="DL28" s="126">
        <v>56.258000000000003</v>
      </c>
      <c r="DM28" s="126">
        <v>56.464994500000003</v>
      </c>
      <c r="DN28" s="126">
        <v>58.65</v>
      </c>
      <c r="DO28" s="126">
        <v>64.913787999999997</v>
      </c>
      <c r="DP28" s="126">
        <v>57.200574770000003</v>
      </c>
      <c r="DQ28" s="127">
        <v>70.420872000000003</v>
      </c>
      <c r="DR28" s="126">
        <v>71.942071190361759</v>
      </c>
      <c r="DS28" s="126">
        <v>61.40534213136182</v>
      </c>
      <c r="DT28" s="126">
        <v>72.571528158493095</v>
      </c>
      <c r="DU28" s="126">
        <v>67.422118842051447</v>
      </c>
      <c r="DV28" s="126">
        <v>69.915004660313983</v>
      </c>
      <c r="DW28" s="126">
        <v>62.550703943263557</v>
      </c>
      <c r="DX28" s="126">
        <v>64.478732467207024</v>
      </c>
      <c r="DY28" s="126">
        <v>67.044378711617981</v>
      </c>
      <c r="DZ28" s="126">
        <v>71.743824963628995</v>
      </c>
      <c r="EA28" s="126">
        <v>65.681182734199965</v>
      </c>
      <c r="EB28" s="126">
        <v>71.348908267882976</v>
      </c>
      <c r="EC28" s="127">
        <v>85.06591521084998</v>
      </c>
      <c r="ED28" s="126">
        <v>81.824983610000032</v>
      </c>
      <c r="EE28" s="126">
        <v>78.129455380000024</v>
      </c>
      <c r="EF28" s="126">
        <v>93.995830549999994</v>
      </c>
      <c r="EG28" s="126">
        <v>98.281219379999996</v>
      </c>
      <c r="EH28" s="126">
        <v>105.50681990000004</v>
      </c>
      <c r="EI28" s="126">
        <v>98.658382449999976</v>
      </c>
      <c r="EJ28" s="126">
        <v>92.973815129999963</v>
      </c>
      <c r="EK28" s="126">
        <v>94.804208550000027</v>
      </c>
      <c r="EL28" s="126">
        <v>92.707567770000026</v>
      </c>
      <c r="EM28" s="126">
        <v>103.55499985999997</v>
      </c>
      <c r="EN28" s="126">
        <v>123.59264278999997</v>
      </c>
      <c r="EO28" s="127">
        <v>153.84213118999995</v>
      </c>
      <c r="EP28" s="126">
        <v>162.84849324999993</v>
      </c>
      <c r="EQ28" s="126">
        <v>142.9743348100001</v>
      </c>
      <c r="ER28" s="126">
        <v>158.72486277999994</v>
      </c>
      <c r="ES28" s="126">
        <v>161.20574770999997</v>
      </c>
      <c r="ET28" s="126">
        <v>155.10037652999998</v>
      </c>
      <c r="EU28" s="126">
        <v>133.95609898000001</v>
      </c>
      <c r="EV28" s="126">
        <v>128.8395903</v>
      </c>
      <c r="EW28" s="126">
        <v>134.22394301000006</v>
      </c>
      <c r="EX28" s="126">
        <v>139.68392421000001</v>
      </c>
      <c r="EY28" s="126">
        <v>148.80530187999994</v>
      </c>
      <c r="EZ28" s="126">
        <v>141.77767768999999</v>
      </c>
      <c r="FA28" s="127">
        <v>165.46579620999995</v>
      </c>
      <c r="FB28" s="126">
        <v>171.27230837000005</v>
      </c>
      <c r="FC28" s="126">
        <v>147.92658824</v>
      </c>
      <c r="FD28" s="126">
        <v>160.60141478999995</v>
      </c>
      <c r="FE28" s="126">
        <v>158.52532664000003</v>
      </c>
      <c r="FF28" s="126">
        <v>163.53260316999996</v>
      </c>
      <c r="FG28" s="126">
        <v>152.92269152000006</v>
      </c>
      <c r="FH28" s="126">
        <v>160.35304239999999</v>
      </c>
      <c r="FI28" s="126">
        <v>170.74622260999999</v>
      </c>
      <c r="FJ28" s="126">
        <v>165.07424562</v>
      </c>
      <c r="FK28" s="126">
        <v>179.99062419000006</v>
      </c>
      <c r="FL28" s="126">
        <v>176.12401583000005</v>
      </c>
      <c r="FM28" s="127">
        <v>206.09441701</v>
      </c>
      <c r="FN28" s="126">
        <v>204.7</v>
      </c>
      <c r="FO28" s="126">
        <v>178.9</v>
      </c>
      <c r="FP28" s="126">
        <v>196.8</v>
      </c>
      <c r="FQ28" s="126">
        <v>191.5</v>
      </c>
      <c r="FR28" s="126">
        <v>191.5</v>
      </c>
      <c r="FS28" s="126">
        <v>175.7</v>
      </c>
      <c r="FT28" s="126">
        <v>183.5</v>
      </c>
      <c r="FU28" s="126">
        <v>193.5</v>
      </c>
      <c r="FV28" s="126">
        <v>197</v>
      </c>
      <c r="FW28" s="126">
        <v>210.5</v>
      </c>
      <c r="FX28" s="126">
        <v>210.2</v>
      </c>
      <c r="FY28" s="127">
        <v>234.5</v>
      </c>
      <c r="FZ28" s="126">
        <v>236</v>
      </c>
      <c r="GA28" s="126">
        <v>215.8</v>
      </c>
      <c r="GB28" s="126">
        <v>225.7</v>
      </c>
      <c r="GC28" s="126">
        <v>214.53544214999999</v>
      </c>
      <c r="GD28" s="126">
        <v>221.7196673</v>
      </c>
      <c r="GE28" s="126">
        <v>215.85576171</v>
      </c>
      <c r="GF28" s="126">
        <v>228.06066853999999</v>
      </c>
      <c r="GG28" s="126">
        <v>228.0328581</v>
      </c>
      <c r="GH28" s="126">
        <v>241.1</v>
      </c>
      <c r="GI28" s="126">
        <v>251.8</v>
      </c>
      <c r="GJ28" s="126">
        <v>237.1</v>
      </c>
      <c r="GK28" s="127">
        <v>281.90270817999999</v>
      </c>
      <c r="GL28" s="126">
        <v>273.61724055000002</v>
      </c>
      <c r="GM28" s="126">
        <v>240.6</v>
      </c>
      <c r="GN28" s="126">
        <v>262.5</v>
      </c>
      <c r="GO28" s="126">
        <v>251.4</v>
      </c>
      <c r="GP28" s="126">
        <v>257</v>
      </c>
      <c r="GQ28" s="126"/>
      <c r="GR28" s="126"/>
      <c r="GS28" s="126"/>
      <c r="GT28" s="126"/>
      <c r="GU28" s="126"/>
      <c r="GV28" s="126"/>
      <c r="GW28" s="127"/>
      <c r="GY28" s="260"/>
      <c r="HC28" s="5" t="s">
        <v>449</v>
      </c>
      <c r="HD28" s="126">
        <f>GP28</f>
        <v>257</v>
      </c>
      <c r="HE28" s="260">
        <f t="shared" ref="HE28:HE33" si="237">GP28/GD28-1</f>
        <v>0.1591213496286894</v>
      </c>
      <c r="HF28" s="260">
        <f>GP28/GO28-1</f>
        <v>2.2275258552108212E-2</v>
      </c>
      <c r="HG28" s="126">
        <f>SUM($GL28:GP28)</f>
        <v>1285.1172405500001</v>
      </c>
      <c r="HH28" s="126">
        <f>SUM($FZ28:GD28)</f>
        <v>1113.75510945</v>
      </c>
      <c r="HI28" s="205">
        <f t="shared" ref="HI28:HI33" si="238">HG28/HH28-1</f>
        <v>0.1538597934555137</v>
      </c>
    </row>
    <row r="29" spans="1:217">
      <c r="A29" s="5" t="s">
        <v>450</v>
      </c>
      <c r="B29" s="559"/>
      <c r="C29" s="559"/>
      <c r="D29" s="559"/>
      <c r="E29" s="559"/>
      <c r="F29" s="559"/>
      <c r="G29" s="559"/>
      <c r="H29" s="559"/>
      <c r="I29" s="559"/>
      <c r="J29" s="559"/>
      <c r="K29" s="559"/>
      <c r="L29" s="559"/>
      <c r="M29" s="560"/>
      <c r="N29" s="559"/>
      <c r="O29" s="559"/>
      <c r="P29" s="559"/>
      <c r="Q29" s="559"/>
      <c r="R29" s="559"/>
      <c r="S29" s="559"/>
      <c r="T29" s="559"/>
      <c r="U29" s="559"/>
      <c r="V29" s="559"/>
      <c r="W29" s="559"/>
      <c r="X29" s="559"/>
      <c r="Y29" s="560"/>
      <c r="Z29" s="559"/>
      <c r="AA29" s="559"/>
      <c r="AB29" s="559"/>
      <c r="AC29" s="559"/>
      <c r="AD29" s="559"/>
      <c r="AE29" s="559"/>
      <c r="AF29" s="126">
        <f>'Archive Detailed Monthly'!AR175</f>
        <v>9.0994930000000007</v>
      </c>
      <c r="AG29" s="126">
        <f>'Archive Detailed Monthly'!AS175</f>
        <v>24.132829999999998</v>
      </c>
      <c r="AH29" s="126">
        <f>'Archive Detailed Monthly'!AT175</f>
        <v>23.948098000000002</v>
      </c>
      <c r="AI29" s="126">
        <f>'Archive Detailed Monthly'!AU175</f>
        <v>24.725905999999998</v>
      </c>
      <c r="AJ29" s="126">
        <f>'Archive Detailed Monthly'!AV175</f>
        <v>23.426553999999999</v>
      </c>
      <c r="AK29" s="127">
        <f>'Archive Detailed Monthly'!AW175</f>
        <v>22.655217</v>
      </c>
      <c r="AL29" s="126">
        <f>'Archive Detailed Monthly'!AX175</f>
        <v>24.649000000000001</v>
      </c>
      <c r="AM29" s="126">
        <f>'Archive Detailed Monthly'!AY175</f>
        <v>21.354621999999999</v>
      </c>
      <c r="AN29" s="126">
        <f>'Archive Detailed Monthly'!AZ175</f>
        <v>19.971533000000001</v>
      </c>
      <c r="AO29" s="126">
        <f>'Archive Detailed Monthly'!BA175</f>
        <v>18.087416000000001</v>
      </c>
      <c r="AP29" s="126">
        <f>'Archive Detailed Monthly'!BB175</f>
        <v>17.985623</v>
      </c>
      <c r="AQ29" s="126">
        <f>'Archive Detailed Monthly'!BC175</f>
        <v>15.032588000000001</v>
      </c>
      <c r="AR29" s="126">
        <f>'Archive Detailed Monthly'!BD175</f>
        <v>14.712372</v>
      </c>
      <c r="AS29" s="126">
        <f>'Archive Detailed Monthly'!BE175</f>
        <v>14.23644</v>
      </c>
      <c r="AT29" s="126">
        <f>'Archive Detailed Monthly'!BF175</f>
        <v>16.536321999999998</v>
      </c>
      <c r="AU29" s="126">
        <f>'Archive Detailed Monthly'!BG175</f>
        <v>16.603355000000001</v>
      </c>
      <c r="AV29" s="126">
        <f>'Archive Detailed Monthly'!BH175</f>
        <v>15.444825</v>
      </c>
      <c r="AW29" s="127">
        <f>'Archive Detailed Monthly'!BI175</f>
        <v>14.776595</v>
      </c>
      <c r="AX29" s="126">
        <v>15.27</v>
      </c>
      <c r="AY29" s="126">
        <v>13.27</v>
      </c>
      <c r="AZ29" s="126">
        <v>12.49</v>
      </c>
      <c r="BA29" s="126">
        <v>11.37</v>
      </c>
      <c r="BB29" s="126">
        <v>11.31</v>
      </c>
      <c r="BC29" s="126">
        <v>9.6199999999999992</v>
      </c>
      <c r="BD29" s="126">
        <v>9.4499999999999993</v>
      </c>
      <c r="BE29" s="126">
        <v>9.25</v>
      </c>
      <c r="BF29" s="126">
        <v>10.59</v>
      </c>
      <c r="BG29" s="126">
        <v>10.62</v>
      </c>
      <c r="BH29" s="126">
        <v>9.4700000000000006</v>
      </c>
      <c r="BI29" s="127">
        <v>10.039999999999999</v>
      </c>
      <c r="BJ29" s="126">
        <v>12.3</v>
      </c>
      <c r="BK29" s="126">
        <v>10.73</v>
      </c>
      <c r="BL29" s="126">
        <v>10.17</v>
      </c>
      <c r="BM29" s="126">
        <v>9.3000000000000007</v>
      </c>
      <c r="BN29" s="126">
        <v>9.26</v>
      </c>
      <c r="BO29" s="126">
        <v>8.01</v>
      </c>
      <c r="BP29" s="126">
        <v>7.89</v>
      </c>
      <c r="BQ29" s="126">
        <v>7.81</v>
      </c>
      <c r="BR29" s="126">
        <v>8.82</v>
      </c>
      <c r="BS29" s="126">
        <v>8.85</v>
      </c>
      <c r="BT29" s="126">
        <v>7.55</v>
      </c>
      <c r="BU29" s="127">
        <v>8.85</v>
      </c>
      <c r="BV29" s="126">
        <v>7.96</v>
      </c>
      <c r="BW29" s="126">
        <v>6.97</v>
      </c>
      <c r="BX29" s="126">
        <v>6.65</v>
      </c>
      <c r="BY29" s="126">
        <v>6.11</v>
      </c>
      <c r="BZ29" s="126">
        <v>6.1</v>
      </c>
      <c r="CA29" s="126">
        <v>5.37</v>
      </c>
      <c r="CB29" s="126">
        <v>5.3</v>
      </c>
      <c r="CC29" s="126">
        <v>5.31</v>
      </c>
      <c r="CD29" s="126">
        <v>5.91</v>
      </c>
      <c r="CE29" s="126">
        <v>5.92</v>
      </c>
      <c r="CF29" s="126">
        <v>4.83</v>
      </c>
      <c r="CG29" s="127">
        <v>6.24</v>
      </c>
      <c r="CH29" s="126">
        <v>7.61</v>
      </c>
      <c r="CI29" s="126">
        <v>6.69</v>
      </c>
      <c r="CJ29" s="126">
        <v>6.43</v>
      </c>
      <c r="CK29" s="126">
        <v>5.94</v>
      </c>
      <c r="CL29" s="126">
        <v>5.93</v>
      </c>
      <c r="CM29" s="126">
        <v>5.31</v>
      </c>
      <c r="CN29" s="126">
        <v>5.26</v>
      </c>
      <c r="CO29" s="126">
        <v>5.32</v>
      </c>
      <c r="CP29" s="126">
        <v>5.85</v>
      </c>
      <c r="CQ29" s="126">
        <v>5.86</v>
      </c>
      <c r="CR29" s="126">
        <v>4.5599999999999996</v>
      </c>
      <c r="CS29" s="127">
        <v>6.48</v>
      </c>
      <c r="CT29" s="126">
        <v>7.47</v>
      </c>
      <c r="CU29" s="126">
        <v>5.97</v>
      </c>
      <c r="CV29" s="126">
        <v>6.08</v>
      </c>
      <c r="CW29" s="126">
        <v>5.6</v>
      </c>
      <c r="CX29" s="126">
        <v>5.44</v>
      </c>
      <c r="CY29" s="126">
        <v>5.16</v>
      </c>
      <c r="CZ29" s="126">
        <v>5.0999999999999996</v>
      </c>
      <c r="DA29" s="126">
        <v>5.12</v>
      </c>
      <c r="DB29" s="126">
        <v>5.95</v>
      </c>
      <c r="DC29" s="126">
        <v>6.01</v>
      </c>
      <c r="DD29" s="126">
        <v>5.8</v>
      </c>
      <c r="DE29" s="127">
        <v>6.13</v>
      </c>
      <c r="DF29" s="126">
        <v>6.76</v>
      </c>
      <c r="DG29" s="126">
        <v>5.9633873299999998</v>
      </c>
      <c r="DH29" s="126">
        <v>6.25793</v>
      </c>
      <c r="DI29" s="126">
        <v>5.3</v>
      </c>
      <c r="DJ29" s="126">
        <v>5.4849620000000003</v>
      </c>
      <c r="DK29" s="126">
        <v>4.8</v>
      </c>
      <c r="DL29" s="126">
        <v>4.7</v>
      </c>
      <c r="DM29" s="126">
        <v>4.7674830000000004</v>
      </c>
      <c r="DN29" s="126">
        <v>4.8784890000000001</v>
      </c>
      <c r="DO29" s="126">
        <v>5.3035290000000002</v>
      </c>
      <c r="DP29" s="126">
        <v>5.2063285700000002</v>
      </c>
      <c r="DQ29" s="127">
        <v>5.683497</v>
      </c>
      <c r="DR29" s="126">
        <v>6.0786627429329982</v>
      </c>
      <c r="DS29" s="126">
        <v>4.9907051425139981</v>
      </c>
      <c r="DT29" s="126">
        <v>5.3235894457140009</v>
      </c>
      <c r="DU29" s="126">
        <v>5.165297418094001</v>
      </c>
      <c r="DV29" s="126">
        <v>5.0321047392000011</v>
      </c>
      <c r="DW29" s="126">
        <v>4.3625463717330017</v>
      </c>
      <c r="DX29" s="126">
        <v>4.390644245489999</v>
      </c>
      <c r="DY29" s="126">
        <v>4.5536391200000006</v>
      </c>
      <c r="DZ29" s="126">
        <v>4.6975901020440007</v>
      </c>
      <c r="EA29" s="126">
        <v>4.8984750899999989</v>
      </c>
      <c r="EB29" s="126">
        <v>5.0848529038559995</v>
      </c>
      <c r="EC29" s="127">
        <v>5.5227381167579992</v>
      </c>
      <c r="ED29" s="126">
        <v>5.6994854028209989</v>
      </c>
      <c r="EE29" s="126">
        <v>5.0180422681199994</v>
      </c>
      <c r="EF29" s="126">
        <v>9.9563137518219964</v>
      </c>
      <c r="EG29" s="126">
        <v>11.694142900907995</v>
      </c>
      <c r="EH29" s="126">
        <v>8.7942623156959971</v>
      </c>
      <c r="EI29" s="126">
        <v>5.9150875320899994</v>
      </c>
      <c r="EJ29" s="126">
        <v>4.9194407514120009</v>
      </c>
      <c r="EK29" s="126">
        <v>4.967413364016001</v>
      </c>
      <c r="EL29" s="126">
        <v>4.7818694148040013</v>
      </c>
      <c r="EM29" s="126">
        <v>5.3492510640309963</v>
      </c>
      <c r="EN29" s="126">
        <v>7.2110247265559977</v>
      </c>
      <c r="EO29" s="127">
        <v>8.3407749100000022</v>
      </c>
      <c r="EP29" s="126">
        <v>8.836083529999998</v>
      </c>
      <c r="EQ29" s="126">
        <v>6.7331452900000031</v>
      </c>
      <c r="ER29" s="126">
        <v>6.9429714099999975</v>
      </c>
      <c r="ES29" s="126">
        <v>6.4865620900000014</v>
      </c>
      <c r="ET29" s="126">
        <v>5.6466210099999969</v>
      </c>
      <c r="EU29" s="126">
        <v>4.5722172999999984</v>
      </c>
      <c r="EV29" s="126">
        <v>4.5310968299999992</v>
      </c>
      <c r="EW29" s="126">
        <v>4.8893148899999979</v>
      </c>
      <c r="EX29" s="126">
        <v>5.1844404500000003</v>
      </c>
      <c r="EY29" s="126">
        <v>5.6169932699999991</v>
      </c>
      <c r="EZ29" s="126">
        <v>5.4686664399999989</v>
      </c>
      <c r="FA29" s="127">
        <v>6.3202255799999989</v>
      </c>
      <c r="FB29" s="126">
        <v>7.5362684499999961</v>
      </c>
      <c r="FC29" s="126">
        <v>5.6391598000000007</v>
      </c>
      <c r="FD29" s="126">
        <v>5.7079136099999985</v>
      </c>
      <c r="FE29" s="126">
        <v>5.2597775299999991</v>
      </c>
      <c r="FF29" s="126">
        <v>5.0156082999999994</v>
      </c>
      <c r="FG29" s="126">
        <v>4.6498427700000002</v>
      </c>
      <c r="FH29" s="126">
        <v>4.8610965299999993</v>
      </c>
      <c r="FI29" s="126">
        <v>5.4527443699999987</v>
      </c>
      <c r="FJ29" s="126">
        <v>5.5561879899999989</v>
      </c>
      <c r="FK29" s="126">
        <v>5.6767546900000001</v>
      </c>
      <c r="FL29" s="126">
        <v>5.6877054500000028</v>
      </c>
      <c r="FM29" s="127">
        <v>6.6747265599999999</v>
      </c>
      <c r="FN29" s="126">
        <f>66.2-SUM(FO29:FY29)</f>
        <v>8.0000000000000071</v>
      </c>
      <c r="FO29" s="126">
        <v>5.5</v>
      </c>
      <c r="FP29" s="126">
        <v>5.3</v>
      </c>
      <c r="FQ29" s="126">
        <v>5.6</v>
      </c>
      <c r="FR29" s="126">
        <v>5.3</v>
      </c>
      <c r="FS29" s="126">
        <v>4.8</v>
      </c>
      <c r="FT29" s="126">
        <v>4.7</v>
      </c>
      <c r="FU29" s="126">
        <v>5.0999999999999996</v>
      </c>
      <c r="FV29" s="126">
        <v>5.2</v>
      </c>
      <c r="FW29" s="126">
        <v>5.4</v>
      </c>
      <c r="FX29" s="126">
        <v>5.3</v>
      </c>
      <c r="FY29" s="127">
        <v>6</v>
      </c>
      <c r="FZ29" s="126">
        <v>6.5</v>
      </c>
      <c r="GA29" s="126">
        <v>5.4</v>
      </c>
      <c r="GB29" s="126">
        <v>5.5</v>
      </c>
      <c r="GC29" s="126">
        <v>5.0154050400000001</v>
      </c>
      <c r="GD29" s="126">
        <v>5.0368210400000004</v>
      </c>
      <c r="GE29" s="126">
        <v>4.3805234200000003</v>
      </c>
      <c r="GF29" s="126">
        <v>4.4000000000000004</v>
      </c>
      <c r="GG29" s="126">
        <v>4.5328575100000004</v>
      </c>
      <c r="GH29" s="126">
        <v>4.8</v>
      </c>
      <c r="GI29" s="126">
        <v>5.08535336</v>
      </c>
      <c r="GJ29" s="126">
        <v>4.8</v>
      </c>
      <c r="GK29" s="127">
        <v>5.8035454399999997</v>
      </c>
      <c r="GL29" s="126">
        <v>6.2007370100000001</v>
      </c>
      <c r="GM29" s="126">
        <v>5.0158153900000002</v>
      </c>
      <c r="GN29" s="126">
        <v>5.2538322600000003</v>
      </c>
      <c r="GO29" s="126">
        <v>4.7086698299999998</v>
      </c>
      <c r="GP29" s="126">
        <v>4.7183225899999996</v>
      </c>
      <c r="GQ29" s="126"/>
      <c r="GR29" s="126"/>
      <c r="GS29" s="126"/>
      <c r="GT29" s="126"/>
      <c r="GU29" s="126"/>
      <c r="GV29" s="126"/>
      <c r="GW29" s="127"/>
      <c r="HC29" s="5" t="s">
        <v>450</v>
      </c>
      <c r="HD29" s="126">
        <f>GP29</f>
        <v>4.7183225899999996</v>
      </c>
      <c r="HE29" s="260">
        <f t="shared" si="237"/>
        <v>-6.3234021512902694E-2</v>
      </c>
      <c r="HF29" s="260">
        <f t="shared" ref="HF29:HF33" si="239">GP29/GO29-1</f>
        <v>2.0499972069605299E-3</v>
      </c>
      <c r="HG29" s="126">
        <f>SUM($GL29:GP29)</f>
        <v>25.897377079999998</v>
      </c>
      <c r="HH29" s="126">
        <f>SUM($FZ29:GD29)</f>
        <v>27.452226079999999</v>
      </c>
      <c r="HI29" s="205">
        <f t="shared" si="238"/>
        <v>-5.6638357686146557E-2</v>
      </c>
    </row>
    <row r="30" spans="1:217">
      <c r="A30" s="5" t="s">
        <v>451</v>
      </c>
      <c r="B30" s="126">
        <f>'Archive Detailed Monthly'!N174</f>
        <v>17.323044469027497</v>
      </c>
      <c r="C30" s="126">
        <f>'Archive Detailed Monthly'!O174</f>
        <v>17.50631949592583</v>
      </c>
      <c r="D30" s="126">
        <f>'Archive Detailed Monthly'!P174</f>
        <v>22.263719460767707</v>
      </c>
      <c r="E30" s="126">
        <f>'Archive Detailed Monthly'!Q174</f>
        <v>22.935770766253135</v>
      </c>
      <c r="F30" s="126">
        <f>'Archive Detailed Monthly'!R174</f>
        <v>24.418241117344543</v>
      </c>
      <c r="G30" s="126">
        <f>'Archive Detailed Monthly'!S174</f>
        <v>23.061506547693185</v>
      </c>
      <c r="H30" s="126">
        <f>'Archive Detailed Monthly'!T174</f>
        <v>22.523740623975041</v>
      </c>
      <c r="I30" s="126">
        <f>'Archive Detailed Monthly'!U174</f>
        <v>21.693075819625946</v>
      </c>
      <c r="J30" s="126">
        <f>'Archive Detailed Monthly'!V174</f>
        <v>25.824516860085375</v>
      </c>
      <c r="K30" s="126">
        <f>'Archive Detailed Monthly'!W174</f>
        <v>29.153011319084811</v>
      </c>
      <c r="L30" s="126">
        <f>'Archive Detailed Monthly'!X174</f>
        <v>29.547807160199881</v>
      </c>
      <c r="M30" s="127">
        <f>'Archive Detailed Monthly'!Y174</f>
        <v>30.763765532791471</v>
      </c>
      <c r="N30" s="126">
        <f>'Archive Detailed Monthly'!Z174</f>
        <v>36.428260999999999</v>
      </c>
      <c r="O30" s="126">
        <f>'Archive Detailed Monthly'!AA174</f>
        <v>31.910487</v>
      </c>
      <c r="P30" s="126">
        <f>'Archive Detailed Monthly'!AB174</f>
        <v>35.385094000000002</v>
      </c>
      <c r="Q30" s="126">
        <f>'Archive Detailed Monthly'!AC174</f>
        <v>32.945965999999999</v>
      </c>
      <c r="R30" s="126">
        <f>'Archive Detailed Monthly'!AD174</f>
        <v>33.921692999999998</v>
      </c>
      <c r="S30" s="126">
        <f>'Archive Detailed Monthly'!AE174</f>
        <v>29.194009000000001</v>
      </c>
      <c r="T30" s="126">
        <f>'Archive Detailed Monthly'!AF174</f>
        <v>27.479068999999999</v>
      </c>
      <c r="U30" s="126">
        <f>'Archive Detailed Monthly'!AG174</f>
        <v>26.379859</v>
      </c>
      <c r="V30" s="126">
        <f>'Archive Detailed Monthly'!AH174</f>
        <v>29.452586</v>
      </c>
      <c r="W30" s="126">
        <f>'Archive Detailed Monthly'!AI174</f>
        <v>31.646061</v>
      </c>
      <c r="X30" s="126">
        <f>'Archive Detailed Monthly'!AJ174</f>
        <v>30.230405999999999</v>
      </c>
      <c r="Y30" s="127">
        <f>'Archive Detailed Monthly'!AK174</f>
        <v>31.510586</v>
      </c>
      <c r="Z30" s="126">
        <f>'Archive Detailed Monthly'!AL174</f>
        <v>35.274630999999999</v>
      </c>
      <c r="AA30" s="126">
        <f>'Archive Detailed Monthly'!AM174</f>
        <v>30.003291000000001</v>
      </c>
      <c r="AB30" s="126">
        <f>'Archive Detailed Monthly'!AN174</f>
        <v>31.470037999999999</v>
      </c>
      <c r="AC30" s="126">
        <f>'Archive Detailed Monthly'!AO174</f>
        <v>27.418716</v>
      </c>
      <c r="AD30" s="126">
        <f>'Archive Detailed Monthly'!AP174</f>
        <v>27.653503000000001</v>
      </c>
      <c r="AE30" s="126">
        <f>'Archive Detailed Monthly'!AQ174</f>
        <v>24.966937999999999</v>
      </c>
      <c r="AF30" s="126">
        <f>'Archive Detailed Monthly'!AR174</f>
        <v>15.946391999999999</v>
      </c>
      <c r="AG30" s="126">
        <f>'Archive Detailed Monthly'!AS174</f>
        <v>9.6246829999999992</v>
      </c>
      <c r="AH30" s="126">
        <f>'Archive Detailed Monthly'!AT174</f>
        <v>11.720795000000001</v>
      </c>
      <c r="AI30" s="126">
        <f>'Archive Detailed Monthly'!AU174</f>
        <v>14.631342</v>
      </c>
      <c r="AJ30" s="126">
        <f>'Archive Detailed Monthly'!AV174</f>
        <v>13.514194</v>
      </c>
      <c r="AK30" s="127">
        <f>'Archive Detailed Monthly'!AW174</f>
        <v>14.157679999999999</v>
      </c>
      <c r="AL30" s="126">
        <f>'Archive Detailed Monthly'!AX174</f>
        <v>16.40175</v>
      </c>
      <c r="AM30" s="126">
        <f>'Archive Detailed Monthly'!AY174</f>
        <v>15.382429999999999</v>
      </c>
      <c r="AN30" s="126">
        <f>'Archive Detailed Monthly'!AZ174</f>
        <v>13.392795</v>
      </c>
      <c r="AO30" s="126">
        <f>'Archive Detailed Monthly'!BA174</f>
        <v>14.421913</v>
      </c>
      <c r="AP30" s="126">
        <f>'Archive Detailed Monthly'!BB174</f>
        <v>12.509782</v>
      </c>
      <c r="AQ30" s="126">
        <f>'Archive Detailed Monthly'!BC174</f>
        <v>11.613861999999999</v>
      </c>
      <c r="AR30" s="126">
        <f>'Archive Detailed Monthly'!BD174</f>
        <v>11.623082999999999</v>
      </c>
      <c r="AS30" s="126">
        <f>'Archive Detailed Monthly'!BE174</f>
        <v>9.1362539999999992</v>
      </c>
      <c r="AT30" s="126">
        <f>'Archive Detailed Monthly'!BF174</f>
        <v>12.699629</v>
      </c>
      <c r="AU30" s="126">
        <f>'Archive Detailed Monthly'!BG174</f>
        <v>11.081866</v>
      </c>
      <c r="AV30" s="126">
        <f>'Archive Detailed Monthly'!BH174</f>
        <v>11.750123</v>
      </c>
      <c r="AW30" s="127">
        <f>'Archive Detailed Monthly'!BI174</f>
        <v>11.224372000000001</v>
      </c>
      <c r="AX30" s="126">
        <v>10.36</v>
      </c>
      <c r="AY30" s="126">
        <v>9.6300000000000008</v>
      </c>
      <c r="AZ30" s="126">
        <v>8.67</v>
      </c>
      <c r="BA30" s="126">
        <v>9.01</v>
      </c>
      <c r="BB30" s="126">
        <v>8.07</v>
      </c>
      <c r="BC30" s="126">
        <v>7.36</v>
      </c>
      <c r="BD30" s="126">
        <v>7.27</v>
      </c>
      <c r="BE30" s="126">
        <v>6.11</v>
      </c>
      <c r="BF30" s="126">
        <v>8.1999999999999993</v>
      </c>
      <c r="BG30" s="126">
        <v>7.3</v>
      </c>
      <c r="BH30" s="126">
        <v>7.09</v>
      </c>
      <c r="BI30" s="127">
        <v>7.92</v>
      </c>
      <c r="BJ30" s="126">
        <v>8.31</v>
      </c>
      <c r="BK30" s="126">
        <v>7.66</v>
      </c>
      <c r="BL30" s="126">
        <v>7.13</v>
      </c>
      <c r="BM30" s="126">
        <v>7.15</v>
      </c>
      <c r="BN30" s="126">
        <v>6.62</v>
      </c>
      <c r="BO30" s="126">
        <v>5.92</v>
      </c>
      <c r="BP30" s="126">
        <v>5.77</v>
      </c>
      <c r="BQ30" s="126">
        <v>5.18</v>
      </c>
      <c r="BR30" s="126">
        <v>6.72</v>
      </c>
      <c r="BS30" s="126">
        <v>6.1</v>
      </c>
      <c r="BT30" s="126">
        <v>5.41</v>
      </c>
      <c r="BU30" s="127">
        <v>7.03</v>
      </c>
      <c r="BV30" s="126">
        <v>7.36</v>
      </c>
      <c r="BW30" s="126">
        <v>6.71</v>
      </c>
      <c r="BX30" s="126">
        <v>6.47</v>
      </c>
      <c r="BY30" s="126">
        <v>6.25</v>
      </c>
      <c r="BZ30" s="126">
        <v>5.98</v>
      </c>
      <c r="CA30" s="126">
        <v>5.26</v>
      </c>
      <c r="CB30" s="126">
        <v>5.05</v>
      </c>
      <c r="CC30" s="126">
        <v>4.84</v>
      </c>
      <c r="CD30" s="126">
        <v>6.07</v>
      </c>
      <c r="CE30" s="126">
        <v>5.62</v>
      </c>
      <c r="CF30" s="126">
        <v>4.54</v>
      </c>
      <c r="CG30" s="127">
        <v>6.84</v>
      </c>
      <c r="CH30" s="126">
        <v>7.1</v>
      </c>
      <c r="CI30" s="126">
        <v>6.41</v>
      </c>
      <c r="CJ30" s="126">
        <v>6.4</v>
      </c>
      <c r="CK30" s="126">
        <v>5.96</v>
      </c>
      <c r="CL30" s="126">
        <v>5.9</v>
      </c>
      <c r="CM30" s="126">
        <v>5.09</v>
      </c>
      <c r="CN30" s="126">
        <v>4.8099999999999996</v>
      </c>
      <c r="CO30" s="126">
        <v>4.92</v>
      </c>
      <c r="CP30" s="126">
        <v>5.99</v>
      </c>
      <c r="CQ30" s="126">
        <v>5.65</v>
      </c>
      <c r="CR30" s="126">
        <v>4.13</v>
      </c>
      <c r="CS30" s="127">
        <v>7.22</v>
      </c>
      <c r="CT30" s="126">
        <v>8.77</v>
      </c>
      <c r="CU30" s="126">
        <v>7.47</v>
      </c>
      <c r="CV30" s="126">
        <v>7.39</v>
      </c>
      <c r="CW30" s="126">
        <v>6.61</v>
      </c>
      <c r="CX30" s="126">
        <v>6.89</v>
      </c>
      <c r="CY30" s="126">
        <v>5.98</v>
      </c>
      <c r="CZ30" s="126">
        <v>5.91</v>
      </c>
      <c r="DA30" s="126">
        <v>5.9</v>
      </c>
      <c r="DB30" s="126">
        <v>6.86</v>
      </c>
      <c r="DC30" s="126">
        <v>7.02</v>
      </c>
      <c r="DD30" s="126">
        <v>7.17</v>
      </c>
      <c r="DE30" s="127">
        <v>7.24</v>
      </c>
      <c r="DF30" s="126">
        <v>8.67</v>
      </c>
      <c r="DG30" s="126">
        <v>7.5733411400000001</v>
      </c>
      <c r="DH30" s="126">
        <v>7.9879579999999999</v>
      </c>
      <c r="DI30" s="126">
        <v>6.6</v>
      </c>
      <c r="DJ30" s="126">
        <v>6.467733</v>
      </c>
      <c r="DK30" s="126">
        <f>43.4-SUM(DF30:DJ30)</f>
        <v>6.1009678599999972</v>
      </c>
      <c r="DL30" s="126">
        <v>5.9</v>
      </c>
      <c r="DM30" s="126">
        <v>5.5541289999999996</v>
      </c>
      <c r="DN30" s="126">
        <v>6.1042413199999999</v>
      </c>
      <c r="DO30" s="126">
        <v>6.6950799999999999</v>
      </c>
      <c r="DP30" s="126">
        <v>6.9657905499999995</v>
      </c>
      <c r="DQ30" s="127">
        <v>7.2713219999999996</v>
      </c>
      <c r="DR30" s="126">
        <v>8.9256289878360011</v>
      </c>
      <c r="DS30" s="126">
        <v>7.2490175292699979</v>
      </c>
      <c r="DT30" s="126">
        <v>7.2416205361700037</v>
      </c>
      <c r="DU30" s="126">
        <v>6.6948621799999994</v>
      </c>
      <c r="DV30" s="126">
        <v>6.2827961375520003</v>
      </c>
      <c r="DW30" s="126">
        <v>5.4561484505879996</v>
      </c>
      <c r="DX30" s="126">
        <v>5.278564674473996</v>
      </c>
      <c r="DY30" s="126">
        <v>5.2841556927330009</v>
      </c>
      <c r="DZ30" s="126">
        <v>5.9746895499999999</v>
      </c>
      <c r="EA30" s="126">
        <v>5.7885450566259973</v>
      </c>
      <c r="EB30" s="126">
        <v>6.4777378500000014</v>
      </c>
      <c r="EC30" s="127">
        <v>7.0057774729109976</v>
      </c>
      <c r="ED30" s="126">
        <v>7.6061921656560045</v>
      </c>
      <c r="EE30" s="126">
        <v>6.8642644319729991</v>
      </c>
      <c r="EF30" s="126">
        <v>16.087922394809997</v>
      </c>
      <c r="EG30" s="126">
        <v>20.572945926431991</v>
      </c>
      <c r="EH30" s="126">
        <v>14.378521230497999</v>
      </c>
      <c r="EI30" s="126">
        <v>8.4246717186019975</v>
      </c>
      <c r="EJ30" s="126">
        <v>6.1490575899999982</v>
      </c>
      <c r="EK30" s="126">
        <v>6.2291207056319999</v>
      </c>
      <c r="EL30" s="126">
        <v>6.8263220595239993</v>
      </c>
      <c r="EM30" s="126">
        <v>7.7515176900000018</v>
      </c>
      <c r="EN30" s="126">
        <v>11.21855794</v>
      </c>
      <c r="EO30" s="127">
        <v>12.178951063091999</v>
      </c>
      <c r="EP30" s="126">
        <v>12.963964030000005</v>
      </c>
      <c r="EQ30" s="126">
        <v>9.8240351000000032</v>
      </c>
      <c r="ER30" s="126">
        <v>10.843267739999993</v>
      </c>
      <c r="ES30" s="126">
        <v>10.53478286</v>
      </c>
      <c r="ET30" s="126">
        <v>8.2807782499999991</v>
      </c>
      <c r="EU30" s="126">
        <v>6.4047261600000001</v>
      </c>
      <c r="EV30" s="126">
        <v>6.0923092799999967</v>
      </c>
      <c r="EW30" s="126">
        <v>6.7769664299999999</v>
      </c>
      <c r="EX30" s="126">
        <v>8.0549913800000006</v>
      </c>
      <c r="EY30" s="126">
        <v>8.4438047900000033</v>
      </c>
      <c r="EZ30" s="126">
        <v>8.3907702000000004</v>
      </c>
      <c r="FA30" s="127">
        <v>9.3448009099999982</v>
      </c>
      <c r="FB30" s="126">
        <v>11.366463630000002</v>
      </c>
      <c r="FC30" s="126">
        <v>8.2168475099999991</v>
      </c>
      <c r="FD30" s="126">
        <v>8.6265780599999999</v>
      </c>
      <c r="FE30" s="126">
        <v>8.0810740600000024</v>
      </c>
      <c r="FF30" s="126">
        <v>7.4463741900000011</v>
      </c>
      <c r="FG30" s="126">
        <v>7.0383410700000004</v>
      </c>
      <c r="FH30" s="126">
        <v>7.5929471999999993</v>
      </c>
      <c r="FI30" s="126">
        <v>7.8685500199999989</v>
      </c>
      <c r="FJ30" s="126">
        <v>7.9925505099999992</v>
      </c>
      <c r="FK30" s="126">
        <v>8.4696804799999992</v>
      </c>
      <c r="FL30" s="126">
        <v>9.1723798399999978</v>
      </c>
      <c r="FM30" s="127">
        <v>10.192706320000001</v>
      </c>
      <c r="FN30" s="126">
        <v>11.46</v>
      </c>
      <c r="FO30" s="579">
        <f>FP30/FP29*FO29</f>
        <v>10.066037735849056</v>
      </c>
      <c r="FP30" s="126">
        <v>9.6999999999999993</v>
      </c>
      <c r="FQ30" s="126">
        <v>9.5</v>
      </c>
      <c r="FR30" s="126">
        <v>8.7684005700000007</v>
      </c>
      <c r="FS30" s="126">
        <v>8.0043912299999995</v>
      </c>
      <c r="FT30" s="126">
        <v>8.1</v>
      </c>
      <c r="FU30" s="126">
        <v>8.4</v>
      </c>
      <c r="FV30" s="126">
        <v>8.8000000000000007</v>
      </c>
      <c r="FW30" s="126">
        <v>9.3000000000000007</v>
      </c>
      <c r="FX30" s="126">
        <v>9.4</v>
      </c>
      <c r="FY30" s="127">
        <v>9.8000000000000007</v>
      </c>
      <c r="FZ30" s="126">
        <v>11.85787178</v>
      </c>
      <c r="GA30" s="126">
        <v>9.6896865900000009</v>
      </c>
      <c r="GB30" s="126">
        <v>9.6999999999999993</v>
      </c>
      <c r="GC30" s="126">
        <v>9.2496476300000001</v>
      </c>
      <c r="GD30" s="126">
        <v>9.1955472700000005</v>
      </c>
      <c r="GE30" s="126">
        <v>8.4989450800000004</v>
      </c>
      <c r="GF30" s="126">
        <v>8.2560000000000002</v>
      </c>
      <c r="GG30" s="126">
        <v>8.2639999999999993</v>
      </c>
      <c r="GH30" s="126">
        <v>9.5</v>
      </c>
      <c r="GI30" s="126">
        <v>9.6082289900000006</v>
      </c>
      <c r="GJ30" s="126">
        <v>9.24</v>
      </c>
      <c r="GK30" s="127">
        <v>10.60181993</v>
      </c>
      <c r="GL30" s="126">
        <v>12.605878450000001</v>
      </c>
      <c r="GM30" s="126">
        <v>10.1654745</v>
      </c>
      <c r="GN30" s="126">
        <v>10.997753210000001</v>
      </c>
      <c r="GO30" s="126">
        <v>9.8736787899999996</v>
      </c>
      <c r="GP30" s="126">
        <v>11.3</v>
      </c>
      <c r="GQ30" s="126"/>
      <c r="GR30" s="126"/>
      <c r="GS30" s="126"/>
      <c r="GT30" s="126"/>
      <c r="GU30" s="126"/>
      <c r="GV30" s="126"/>
      <c r="GW30" s="127"/>
      <c r="HC30" s="5" t="s">
        <v>451</v>
      </c>
      <c r="HD30" s="126">
        <f>GP30</f>
        <v>11.3</v>
      </c>
      <c r="HE30" s="260">
        <f t="shared" si="237"/>
        <v>0.22885562633837675</v>
      </c>
      <c r="HF30" s="260">
        <f t="shared" si="239"/>
        <v>0.14445691827088503</v>
      </c>
      <c r="HG30" s="126">
        <f>SUM($GL30:GP30)</f>
        <v>54.942784950000004</v>
      </c>
      <c r="HH30" s="126">
        <f>SUM($FZ30:GD30)</f>
        <v>49.692753269999997</v>
      </c>
      <c r="HI30" s="205">
        <f t="shared" si="238"/>
        <v>0.10564984498795127</v>
      </c>
    </row>
    <row r="31" spans="1:217">
      <c r="A31" s="656" t="s">
        <v>452</v>
      </c>
      <c r="B31" s="649">
        <f>SUM(B29:B30)</f>
        <v>17.323044469027497</v>
      </c>
      <c r="C31" s="649">
        <f t="shared" ref="C31:N31" si="240">SUM(C29:C30)</f>
        <v>17.50631949592583</v>
      </c>
      <c r="D31" s="649">
        <f t="shared" si="240"/>
        <v>22.263719460767707</v>
      </c>
      <c r="E31" s="649">
        <f t="shared" si="240"/>
        <v>22.935770766253135</v>
      </c>
      <c r="F31" s="649">
        <f t="shared" si="240"/>
        <v>24.418241117344543</v>
      </c>
      <c r="G31" s="649">
        <f t="shared" si="240"/>
        <v>23.061506547693185</v>
      </c>
      <c r="H31" s="649">
        <f t="shared" si="240"/>
        <v>22.523740623975041</v>
      </c>
      <c r="I31" s="649">
        <f t="shared" si="240"/>
        <v>21.693075819625946</v>
      </c>
      <c r="J31" s="649">
        <f t="shared" si="240"/>
        <v>25.824516860085375</v>
      </c>
      <c r="K31" s="649">
        <f t="shared" si="240"/>
        <v>29.153011319084811</v>
      </c>
      <c r="L31" s="649">
        <f t="shared" si="240"/>
        <v>29.547807160199881</v>
      </c>
      <c r="M31" s="652">
        <f t="shared" si="240"/>
        <v>30.763765532791471</v>
      </c>
      <c r="N31" s="649">
        <f t="shared" si="240"/>
        <v>36.428260999999999</v>
      </c>
      <c r="O31" s="649">
        <f t="shared" ref="O31" si="241">SUM(O29:O30)</f>
        <v>31.910487</v>
      </c>
      <c r="P31" s="649">
        <f t="shared" ref="P31" si="242">SUM(P29:P30)</f>
        <v>35.385094000000002</v>
      </c>
      <c r="Q31" s="649">
        <f t="shared" ref="Q31" si="243">SUM(Q29:Q30)</f>
        <v>32.945965999999999</v>
      </c>
      <c r="R31" s="649">
        <f t="shared" ref="R31" si="244">SUM(R29:R30)</f>
        <v>33.921692999999998</v>
      </c>
      <c r="S31" s="649">
        <f t="shared" ref="S31" si="245">SUM(S29:S30)</f>
        <v>29.194009000000001</v>
      </c>
      <c r="T31" s="649">
        <f t="shared" ref="T31" si="246">SUM(T29:T30)</f>
        <v>27.479068999999999</v>
      </c>
      <c r="U31" s="649">
        <f t="shared" ref="U31" si="247">SUM(U29:U30)</f>
        <v>26.379859</v>
      </c>
      <c r="V31" s="649">
        <f t="shared" ref="V31" si="248">SUM(V29:V30)</f>
        <v>29.452586</v>
      </c>
      <c r="W31" s="649">
        <f t="shared" ref="W31" si="249">SUM(W29:W30)</f>
        <v>31.646061</v>
      </c>
      <c r="X31" s="649">
        <f t="shared" ref="X31" si="250">SUM(X29:X30)</f>
        <v>30.230405999999999</v>
      </c>
      <c r="Y31" s="652">
        <f t="shared" ref="Y31:Z31" si="251">SUM(Y29:Y30)</f>
        <v>31.510586</v>
      </c>
      <c r="Z31" s="649">
        <f t="shared" si="251"/>
        <v>35.274630999999999</v>
      </c>
      <c r="AA31" s="649">
        <f t="shared" ref="AA31" si="252">SUM(AA29:AA30)</f>
        <v>30.003291000000001</v>
      </c>
      <c r="AB31" s="649">
        <f t="shared" ref="AB31" si="253">SUM(AB29:AB30)</f>
        <v>31.470037999999999</v>
      </c>
      <c r="AC31" s="649">
        <f t="shared" ref="AC31" si="254">SUM(AC29:AC30)</f>
        <v>27.418716</v>
      </c>
      <c r="AD31" s="649">
        <f t="shared" ref="AD31" si="255">SUM(AD29:AD30)</f>
        <v>27.653503000000001</v>
      </c>
      <c r="AE31" s="649">
        <f t="shared" ref="AE31" si="256">SUM(AE29:AE30)</f>
        <v>24.966937999999999</v>
      </c>
      <c r="AF31" s="649">
        <f t="shared" ref="AF31" si="257">SUM(AF29:AF30)</f>
        <v>25.045884999999998</v>
      </c>
      <c r="AG31" s="649">
        <f t="shared" ref="AG31" si="258">SUM(AG29:AG30)</f>
        <v>33.757512999999996</v>
      </c>
      <c r="AH31" s="649">
        <f t="shared" ref="AH31" si="259">SUM(AH29:AH30)</f>
        <v>35.668893000000004</v>
      </c>
      <c r="AI31" s="649">
        <f t="shared" ref="AI31" si="260">SUM(AI29:AI30)</f>
        <v>39.357247999999998</v>
      </c>
      <c r="AJ31" s="649">
        <f t="shared" ref="AJ31" si="261">SUM(AJ29:AJ30)</f>
        <v>36.940747999999999</v>
      </c>
      <c r="AK31" s="652">
        <f t="shared" ref="AK31:AL31" si="262">SUM(AK29:AK30)</f>
        <v>36.812897</v>
      </c>
      <c r="AL31" s="649">
        <f t="shared" si="262"/>
        <v>41.050750000000001</v>
      </c>
      <c r="AM31" s="649">
        <f t="shared" ref="AM31" si="263">SUM(AM29:AM30)</f>
        <v>36.737051999999998</v>
      </c>
      <c r="AN31" s="649">
        <f t="shared" ref="AN31" si="264">SUM(AN29:AN30)</f>
        <v>33.364328</v>
      </c>
      <c r="AO31" s="649">
        <f t="shared" ref="AO31" si="265">SUM(AO29:AO30)</f>
        <v>32.509329000000001</v>
      </c>
      <c r="AP31" s="649">
        <f t="shared" ref="AP31" si="266">SUM(AP29:AP30)</f>
        <v>30.495404999999998</v>
      </c>
      <c r="AQ31" s="649">
        <f t="shared" ref="AQ31" si="267">SUM(AQ29:AQ30)</f>
        <v>26.646450000000002</v>
      </c>
      <c r="AR31" s="649">
        <f t="shared" ref="AR31" si="268">SUM(AR29:AR30)</f>
        <v>26.335455</v>
      </c>
      <c r="AS31" s="649">
        <f t="shared" ref="AS31" si="269">SUM(AS29:AS30)</f>
        <v>23.372693999999999</v>
      </c>
      <c r="AT31" s="649">
        <f t="shared" ref="AT31" si="270">SUM(AT29:AT30)</f>
        <v>29.235951</v>
      </c>
      <c r="AU31" s="649">
        <f t="shared" ref="AU31" si="271">SUM(AU29:AU30)</f>
        <v>27.685220999999999</v>
      </c>
      <c r="AV31" s="649">
        <f t="shared" ref="AV31" si="272">SUM(AV29:AV30)</f>
        <v>27.194948</v>
      </c>
      <c r="AW31" s="652">
        <f t="shared" ref="AW31" si="273">SUM(AW29:AW30)</f>
        <v>26.000967000000003</v>
      </c>
      <c r="AX31" s="649">
        <f t="shared" ref="AX31" si="274">SUM(AX29:AX30)</f>
        <v>25.63</v>
      </c>
      <c r="AY31" s="649">
        <f t="shared" ref="AY31" si="275">SUM(AY29:AY30)</f>
        <v>22.9</v>
      </c>
      <c r="AZ31" s="649">
        <f t="shared" ref="AZ31" si="276">SUM(AZ29:AZ30)</f>
        <v>21.16</v>
      </c>
      <c r="BA31" s="649">
        <f t="shared" ref="BA31" si="277">SUM(BA29:BA30)</f>
        <v>20.38</v>
      </c>
      <c r="BB31" s="649">
        <f t="shared" ref="BB31" si="278">SUM(BB29:BB30)</f>
        <v>19.380000000000003</v>
      </c>
      <c r="BC31" s="649">
        <f t="shared" ref="BC31" si="279">SUM(BC29:BC30)</f>
        <v>16.98</v>
      </c>
      <c r="BD31" s="649">
        <f t="shared" ref="BD31" si="280">SUM(BD29:BD30)</f>
        <v>16.72</v>
      </c>
      <c r="BE31" s="649">
        <f t="shared" ref="BE31" si="281">SUM(BE29:BE30)</f>
        <v>15.36</v>
      </c>
      <c r="BF31" s="649">
        <f t="shared" ref="BF31" si="282">SUM(BF29:BF30)</f>
        <v>18.79</v>
      </c>
      <c r="BG31" s="649">
        <f t="shared" ref="BG31" si="283">SUM(BG29:BG30)</f>
        <v>17.919999999999998</v>
      </c>
      <c r="BH31" s="649">
        <f t="shared" ref="BH31" si="284">SUM(BH29:BH30)</f>
        <v>16.560000000000002</v>
      </c>
      <c r="BI31" s="652">
        <f t="shared" ref="BI31:BJ31" si="285">SUM(BI29:BI30)</f>
        <v>17.96</v>
      </c>
      <c r="BJ31" s="649">
        <f t="shared" si="285"/>
        <v>20.61</v>
      </c>
      <c r="BK31" s="649">
        <f t="shared" ref="BK31" si="286">SUM(BK29:BK30)</f>
        <v>18.39</v>
      </c>
      <c r="BL31" s="649">
        <f t="shared" ref="BL31" si="287">SUM(BL29:BL30)</f>
        <v>17.3</v>
      </c>
      <c r="BM31" s="649">
        <f t="shared" ref="BM31" si="288">SUM(BM29:BM30)</f>
        <v>16.450000000000003</v>
      </c>
      <c r="BN31" s="649">
        <f t="shared" ref="BN31" si="289">SUM(BN29:BN30)</f>
        <v>15.879999999999999</v>
      </c>
      <c r="BO31" s="649">
        <f t="shared" ref="BO31" si="290">SUM(BO29:BO30)</f>
        <v>13.93</v>
      </c>
      <c r="BP31" s="649">
        <f t="shared" ref="BP31" si="291">SUM(BP29:BP30)</f>
        <v>13.66</v>
      </c>
      <c r="BQ31" s="649">
        <f t="shared" ref="BQ31" si="292">SUM(BQ29:BQ30)</f>
        <v>12.989999999999998</v>
      </c>
      <c r="BR31" s="649">
        <f t="shared" ref="BR31" si="293">SUM(BR29:BR30)</f>
        <v>15.54</v>
      </c>
      <c r="BS31" s="649">
        <f t="shared" ref="BS31" si="294">SUM(BS29:BS30)</f>
        <v>14.95</v>
      </c>
      <c r="BT31" s="649">
        <f t="shared" ref="BT31" si="295">SUM(BT29:BT30)</f>
        <v>12.96</v>
      </c>
      <c r="BU31" s="652">
        <f t="shared" ref="BU31:BV31" si="296">SUM(BU29:BU30)</f>
        <v>15.879999999999999</v>
      </c>
      <c r="BV31" s="649">
        <f t="shared" si="296"/>
        <v>15.32</v>
      </c>
      <c r="BW31" s="649">
        <f t="shared" ref="BW31" si="297">SUM(BW29:BW30)</f>
        <v>13.68</v>
      </c>
      <c r="BX31" s="649">
        <f t="shared" ref="BX31" si="298">SUM(BX29:BX30)</f>
        <v>13.120000000000001</v>
      </c>
      <c r="BY31" s="649">
        <f t="shared" ref="BY31" si="299">SUM(BY29:BY30)</f>
        <v>12.36</v>
      </c>
      <c r="BZ31" s="649">
        <f t="shared" ref="BZ31" si="300">SUM(BZ29:BZ30)</f>
        <v>12.08</v>
      </c>
      <c r="CA31" s="649">
        <f t="shared" ref="CA31" si="301">SUM(CA29:CA30)</f>
        <v>10.629999999999999</v>
      </c>
      <c r="CB31" s="649">
        <f t="shared" ref="CB31" si="302">SUM(CB29:CB30)</f>
        <v>10.35</v>
      </c>
      <c r="CC31" s="649">
        <f t="shared" ref="CC31" si="303">SUM(CC29:CC30)</f>
        <v>10.149999999999999</v>
      </c>
      <c r="CD31" s="649">
        <f t="shared" ref="CD31" si="304">SUM(CD29:CD30)</f>
        <v>11.98</v>
      </c>
      <c r="CE31" s="649">
        <f t="shared" ref="CE31" si="305">SUM(CE29:CE30)</f>
        <v>11.54</v>
      </c>
      <c r="CF31" s="649">
        <f t="shared" ref="CF31" si="306">SUM(CF29:CF30)</f>
        <v>9.370000000000001</v>
      </c>
      <c r="CG31" s="652">
        <f t="shared" ref="CG31" si="307">SUM(CG29:CG30)</f>
        <v>13.08</v>
      </c>
      <c r="CH31" s="649">
        <f t="shared" ref="CH31" si="308">SUM(CH29:CH30)</f>
        <v>14.71</v>
      </c>
      <c r="CI31" s="649">
        <f t="shared" ref="CI31" si="309">SUM(CI29:CI30)</f>
        <v>13.100000000000001</v>
      </c>
      <c r="CJ31" s="649">
        <f t="shared" ref="CJ31" si="310">SUM(CJ29:CJ30)</f>
        <v>12.83</v>
      </c>
      <c r="CK31" s="649">
        <f t="shared" ref="CK31" si="311">SUM(CK29:CK30)</f>
        <v>11.9</v>
      </c>
      <c r="CL31" s="649">
        <f t="shared" ref="CL31" si="312">SUM(CL29:CL30)</f>
        <v>11.83</v>
      </c>
      <c r="CM31" s="649">
        <f t="shared" ref="CM31" si="313">SUM(CM29:CM30)</f>
        <v>10.399999999999999</v>
      </c>
      <c r="CN31" s="649">
        <f t="shared" ref="CN31" si="314">SUM(CN29:CN30)</f>
        <v>10.07</v>
      </c>
      <c r="CO31" s="649">
        <f t="shared" ref="CO31" si="315">SUM(CO29:CO30)</f>
        <v>10.24</v>
      </c>
      <c r="CP31" s="649">
        <f t="shared" ref="CP31" si="316">SUM(CP29:CP30)</f>
        <v>11.84</v>
      </c>
      <c r="CQ31" s="649">
        <f t="shared" ref="CQ31" si="317">SUM(CQ29:CQ30)</f>
        <v>11.510000000000002</v>
      </c>
      <c r="CR31" s="649">
        <f t="shared" ref="CR31" si="318">SUM(CR29:CR30)</f>
        <v>8.69</v>
      </c>
      <c r="CS31" s="652">
        <f t="shared" ref="CS31" si="319">SUM(CS29:CS30)</f>
        <v>13.7</v>
      </c>
      <c r="CT31" s="649">
        <f t="shared" ref="CT31" si="320">SUM(CT29:CT30)</f>
        <v>16.239999999999998</v>
      </c>
      <c r="CU31" s="649">
        <f t="shared" ref="CU31" si="321">SUM(CU29:CU30)</f>
        <v>13.44</v>
      </c>
      <c r="CV31" s="649">
        <f t="shared" ref="CV31" si="322">SUM(CV29:CV30)</f>
        <v>13.469999999999999</v>
      </c>
      <c r="CW31" s="649">
        <f t="shared" ref="CW31" si="323">SUM(CW29:CW30)</f>
        <v>12.21</v>
      </c>
      <c r="CX31" s="649">
        <f t="shared" ref="CX31" si="324">SUM(CX29:CX30)</f>
        <v>12.33</v>
      </c>
      <c r="CY31" s="649">
        <f t="shared" ref="CY31" si="325">SUM(CY29:CY30)</f>
        <v>11.14</v>
      </c>
      <c r="CZ31" s="649">
        <f t="shared" ref="CZ31" si="326">SUM(CZ29:CZ30)</f>
        <v>11.01</v>
      </c>
      <c r="DA31" s="649">
        <f t="shared" ref="DA31" si="327">SUM(DA29:DA30)</f>
        <v>11.02</v>
      </c>
      <c r="DB31" s="649">
        <f t="shared" ref="DB31" si="328">SUM(DB29:DB30)</f>
        <v>12.81</v>
      </c>
      <c r="DC31" s="649">
        <f t="shared" ref="DC31" si="329">SUM(DC29:DC30)</f>
        <v>13.03</v>
      </c>
      <c r="DD31" s="649">
        <f t="shared" ref="DD31" si="330">SUM(DD29:DD30)</f>
        <v>12.969999999999999</v>
      </c>
      <c r="DE31" s="652">
        <f t="shared" ref="DE31" si="331">SUM(DE29:DE30)</f>
        <v>13.370000000000001</v>
      </c>
      <c r="DF31" s="649">
        <f t="shared" ref="DF31:DG31" si="332">SUM(DF29:DF30)</f>
        <v>15.43</v>
      </c>
      <c r="DG31" s="649">
        <f t="shared" si="332"/>
        <v>13.53672847</v>
      </c>
      <c r="DH31" s="649">
        <f t="shared" ref="DH31" si="333">SUM(DH29:DH30)</f>
        <v>14.245888000000001</v>
      </c>
      <c r="DI31" s="649">
        <f t="shared" ref="DI31" si="334">SUM(DI29:DI30)</f>
        <v>11.899999999999999</v>
      </c>
      <c r="DJ31" s="649">
        <f t="shared" ref="DJ31" si="335">SUM(DJ29:DJ30)</f>
        <v>11.952695</v>
      </c>
      <c r="DK31" s="649">
        <f t="shared" ref="DK31" si="336">SUM(DK29:DK30)</f>
        <v>10.900967859999998</v>
      </c>
      <c r="DL31" s="649">
        <f t="shared" ref="DL31" si="337">SUM(DL29:DL30)</f>
        <v>10.600000000000001</v>
      </c>
      <c r="DM31" s="649">
        <f t="shared" ref="DM31" si="338">SUM(DM29:DM30)</f>
        <v>10.321612</v>
      </c>
      <c r="DN31" s="649">
        <v>10.98273032</v>
      </c>
      <c r="DO31" s="649">
        <f t="shared" ref="DO31:DP31" si="339">SUM(DO29:DO30)</f>
        <v>11.998609</v>
      </c>
      <c r="DP31" s="649">
        <f t="shared" si="339"/>
        <v>12.17211912</v>
      </c>
      <c r="DQ31" s="652">
        <f t="shared" ref="DQ31:DY31" si="340">SUM(DQ29:DQ30)</f>
        <v>12.954819000000001</v>
      </c>
      <c r="DR31" s="649">
        <f t="shared" si="340"/>
        <v>15.004291730768999</v>
      </c>
      <c r="DS31" s="649">
        <f t="shared" si="340"/>
        <v>12.239722671783996</v>
      </c>
      <c r="DT31" s="649">
        <f t="shared" si="340"/>
        <v>12.565209981884005</v>
      </c>
      <c r="DU31" s="649">
        <f t="shared" si="340"/>
        <v>11.860159598094</v>
      </c>
      <c r="DV31" s="649">
        <f t="shared" si="340"/>
        <v>11.314900876752002</v>
      </c>
      <c r="DW31" s="649">
        <f t="shared" si="340"/>
        <v>9.8186948223210013</v>
      </c>
      <c r="DX31" s="649">
        <f t="shared" si="340"/>
        <v>9.6692089199639959</v>
      </c>
      <c r="DY31" s="649">
        <f t="shared" si="340"/>
        <v>9.8377948127330015</v>
      </c>
      <c r="DZ31" s="649">
        <v>10.98273032</v>
      </c>
      <c r="EA31" s="649">
        <f t="shared" ref="EA31:EK31" si="341">SUM(EA29:EA30)</f>
        <v>10.687020146625997</v>
      </c>
      <c r="EB31" s="649">
        <f t="shared" si="341"/>
        <v>11.562590753856</v>
      </c>
      <c r="EC31" s="652">
        <f t="shared" si="341"/>
        <v>12.528515589668997</v>
      </c>
      <c r="ED31" s="649">
        <f t="shared" si="341"/>
        <v>13.305677568477003</v>
      </c>
      <c r="EE31" s="649">
        <f t="shared" si="341"/>
        <v>11.882306700092998</v>
      </c>
      <c r="EF31" s="649">
        <f t="shared" si="341"/>
        <v>26.044236146631995</v>
      </c>
      <c r="EG31" s="649">
        <f t="shared" si="341"/>
        <v>32.26708882733999</v>
      </c>
      <c r="EH31" s="649">
        <f t="shared" si="341"/>
        <v>23.172783546193997</v>
      </c>
      <c r="EI31" s="649">
        <f t="shared" si="341"/>
        <v>14.339759250691998</v>
      </c>
      <c r="EJ31" s="649">
        <f t="shared" si="341"/>
        <v>11.068498341411999</v>
      </c>
      <c r="EK31" s="649">
        <f t="shared" si="341"/>
        <v>11.196534069648001</v>
      </c>
      <c r="EL31" s="649">
        <v>11.98273032</v>
      </c>
      <c r="EM31" s="649">
        <f t="shared" ref="EM31:EY31" si="342">SUM(EM29:EM30)</f>
        <v>13.100768754030998</v>
      </c>
      <c r="EN31" s="649">
        <f t="shared" si="342"/>
        <v>18.429582666555998</v>
      </c>
      <c r="EO31" s="652">
        <f t="shared" si="342"/>
        <v>20.519725973092001</v>
      </c>
      <c r="EP31" s="649">
        <f t="shared" si="342"/>
        <v>21.800047560000003</v>
      </c>
      <c r="EQ31" s="649">
        <f t="shared" si="342"/>
        <v>16.557180390000006</v>
      </c>
      <c r="ER31" s="649">
        <f t="shared" si="342"/>
        <v>17.786239149999989</v>
      </c>
      <c r="ES31" s="649">
        <f t="shared" si="342"/>
        <v>17.02134495</v>
      </c>
      <c r="ET31" s="649">
        <f t="shared" si="342"/>
        <v>13.927399259999996</v>
      </c>
      <c r="EU31" s="649">
        <f t="shared" si="342"/>
        <v>10.976943459999998</v>
      </c>
      <c r="EV31" s="649">
        <f t="shared" si="342"/>
        <v>10.623406109999996</v>
      </c>
      <c r="EW31" s="649">
        <f t="shared" si="342"/>
        <v>11.666281319999998</v>
      </c>
      <c r="EX31" s="649">
        <f t="shared" si="342"/>
        <v>13.239431830000001</v>
      </c>
      <c r="EY31" s="649">
        <f t="shared" si="342"/>
        <v>14.060798060000003</v>
      </c>
      <c r="EZ31" s="649">
        <f t="shared" ref="EZ31:FM31" si="343">SUM(EZ29:EZ30)</f>
        <v>13.859436639999998</v>
      </c>
      <c r="FA31" s="652">
        <f t="shared" si="343"/>
        <v>15.665026489999997</v>
      </c>
      <c r="FB31" s="649">
        <f t="shared" si="343"/>
        <v>18.90273208</v>
      </c>
      <c r="FC31" s="649">
        <f t="shared" si="343"/>
        <v>13.856007309999999</v>
      </c>
      <c r="FD31" s="649">
        <f t="shared" si="343"/>
        <v>14.334491669999998</v>
      </c>
      <c r="FE31" s="649">
        <f t="shared" si="343"/>
        <v>13.340851590000002</v>
      </c>
      <c r="FF31" s="649">
        <f t="shared" si="343"/>
        <v>12.46198249</v>
      </c>
      <c r="FG31" s="649">
        <f t="shared" si="343"/>
        <v>11.688183840000001</v>
      </c>
      <c r="FH31" s="649">
        <f t="shared" si="343"/>
        <v>12.454043729999999</v>
      </c>
      <c r="FI31" s="649">
        <f t="shared" si="343"/>
        <v>13.321294389999998</v>
      </c>
      <c r="FJ31" s="649">
        <f t="shared" si="343"/>
        <v>13.548738499999999</v>
      </c>
      <c r="FK31" s="649">
        <f t="shared" si="343"/>
        <v>14.14643517</v>
      </c>
      <c r="FL31" s="649">
        <f t="shared" si="343"/>
        <v>14.860085290000001</v>
      </c>
      <c r="FM31" s="652">
        <f t="shared" si="343"/>
        <v>16.867432880000003</v>
      </c>
      <c r="FN31" s="649">
        <f t="shared" ref="FN31:FY31" si="344">SUM(FN29:FN30)</f>
        <v>19.460000000000008</v>
      </c>
      <c r="FO31" s="798">
        <f t="shared" si="344"/>
        <v>15.566037735849056</v>
      </c>
      <c r="FP31" s="649">
        <f t="shared" si="344"/>
        <v>15</v>
      </c>
      <c r="FQ31" s="649">
        <f t="shared" si="344"/>
        <v>15.1</v>
      </c>
      <c r="FR31" s="649">
        <f t="shared" si="344"/>
        <v>14.068400570000001</v>
      </c>
      <c r="FS31" s="649">
        <f t="shared" si="344"/>
        <v>12.80439123</v>
      </c>
      <c r="FT31" s="649">
        <f t="shared" si="344"/>
        <v>12.8</v>
      </c>
      <c r="FU31" s="649">
        <f t="shared" si="344"/>
        <v>13.5</v>
      </c>
      <c r="FV31" s="649">
        <f t="shared" si="344"/>
        <v>14</v>
      </c>
      <c r="FW31" s="649">
        <f t="shared" si="344"/>
        <v>14.700000000000001</v>
      </c>
      <c r="FX31" s="649">
        <f t="shared" si="344"/>
        <v>14.7</v>
      </c>
      <c r="FY31" s="652">
        <f t="shared" si="344"/>
        <v>15.8</v>
      </c>
      <c r="FZ31" s="649">
        <f t="shared" ref="FZ31:GK31" si="345">SUM(FZ29:FZ30)</f>
        <v>18.35787178</v>
      </c>
      <c r="GA31" s="798">
        <f t="shared" si="345"/>
        <v>15.089686590000001</v>
      </c>
      <c r="GB31" s="649">
        <f t="shared" si="345"/>
        <v>15.2</v>
      </c>
      <c r="GC31" s="649">
        <f t="shared" si="345"/>
        <v>14.265052669999999</v>
      </c>
      <c r="GD31" s="649">
        <f t="shared" si="345"/>
        <v>14.232368310000002</v>
      </c>
      <c r="GE31" s="649">
        <f t="shared" si="345"/>
        <v>12.879468500000002</v>
      </c>
      <c r="GF31" s="649">
        <f t="shared" si="345"/>
        <v>12.656000000000001</v>
      </c>
      <c r="GG31" s="649">
        <f t="shared" si="345"/>
        <v>12.796857509999999</v>
      </c>
      <c r="GH31" s="649">
        <f t="shared" si="345"/>
        <v>14.3</v>
      </c>
      <c r="GI31" s="649">
        <f t="shared" si="345"/>
        <v>14.69358235</v>
      </c>
      <c r="GJ31" s="649">
        <f t="shared" si="345"/>
        <v>14.04</v>
      </c>
      <c r="GK31" s="652">
        <f t="shared" si="345"/>
        <v>16.405365369999998</v>
      </c>
      <c r="GL31" s="649">
        <f t="shared" ref="GL31:GW31" si="346">SUM(GL29:GL30)</f>
        <v>18.80661546</v>
      </c>
      <c r="GM31" s="798">
        <f t="shared" si="346"/>
        <v>15.18128989</v>
      </c>
      <c r="GN31" s="798">
        <f t="shared" si="346"/>
        <v>16.251585470000002</v>
      </c>
      <c r="GO31" s="798">
        <f t="shared" si="346"/>
        <v>14.582348619999999</v>
      </c>
      <c r="GP31" s="649">
        <f t="shared" si="346"/>
        <v>16.01832259</v>
      </c>
      <c r="GQ31" s="649">
        <f t="shared" si="346"/>
        <v>0</v>
      </c>
      <c r="GR31" s="649">
        <f t="shared" si="346"/>
        <v>0</v>
      </c>
      <c r="GS31" s="649">
        <f t="shared" si="346"/>
        <v>0</v>
      </c>
      <c r="GT31" s="649">
        <f t="shared" si="346"/>
        <v>0</v>
      </c>
      <c r="GU31" s="649">
        <f t="shared" si="346"/>
        <v>0</v>
      </c>
      <c r="GV31" s="649">
        <f t="shared" si="346"/>
        <v>0</v>
      </c>
      <c r="GW31" s="652">
        <f t="shared" si="346"/>
        <v>0</v>
      </c>
      <c r="HC31" s="656" t="s">
        <v>452</v>
      </c>
      <c r="HD31" s="649">
        <f>SUM(HD29:HD30)</f>
        <v>16.01832259</v>
      </c>
      <c r="HE31" s="812">
        <f t="shared" si="237"/>
        <v>0.12548538943762044</v>
      </c>
      <c r="HF31" s="812">
        <f t="shared" si="239"/>
        <v>9.8473435755783045E-2</v>
      </c>
      <c r="HG31" s="649">
        <f>SUM(HG29:HG30)</f>
        <v>80.840162030000002</v>
      </c>
      <c r="HH31" s="649">
        <f>SUM(HH29:HH30)</f>
        <v>77.14497935</v>
      </c>
      <c r="HI31" s="813">
        <f t="shared" si="238"/>
        <v>4.7899198510836127E-2</v>
      </c>
    </row>
    <row r="32" spans="1:217">
      <c r="A32" s="5" t="s">
        <v>318</v>
      </c>
      <c r="B32" s="559"/>
      <c r="C32" s="559"/>
      <c r="D32" s="559"/>
      <c r="E32" s="559"/>
      <c r="F32" s="559"/>
      <c r="G32" s="559"/>
      <c r="H32" s="559"/>
      <c r="I32" s="559"/>
      <c r="J32" s="559"/>
      <c r="K32" s="559"/>
      <c r="L32" s="559"/>
      <c r="M32" s="127">
        <f>'Archive Detailed Monthly'!Y178</f>
        <v>2.3498587646205524E-2</v>
      </c>
      <c r="N32" s="126">
        <f>'Archive Detailed Monthly'!Z178</f>
        <v>1.91981</v>
      </c>
      <c r="O32" s="126">
        <f>'Archive Detailed Monthly'!AA178</f>
        <v>2.2353000000000001</v>
      </c>
      <c r="P32" s="126">
        <f>'Archive Detailed Monthly'!AB178</f>
        <v>3.1903239999999999</v>
      </c>
      <c r="Q32" s="126">
        <f>'Archive Detailed Monthly'!AC178</f>
        <v>3.1724800000000002</v>
      </c>
      <c r="R32" s="126">
        <f>'Archive Detailed Monthly'!AD178</f>
        <v>3.6275840000000001</v>
      </c>
      <c r="S32" s="126">
        <f>'Archive Detailed Monthly'!AE178</f>
        <v>2.9994230000000002</v>
      </c>
      <c r="T32" s="126">
        <f>'Archive Detailed Monthly'!AF178</f>
        <v>3.2723840000000002</v>
      </c>
      <c r="U32" s="126">
        <f>'Archive Detailed Monthly'!AG178</f>
        <v>3.2461739999999999</v>
      </c>
      <c r="V32" s="126">
        <f>'Archive Detailed Monthly'!AH178</f>
        <v>4.5419099999999997</v>
      </c>
      <c r="W32" s="126">
        <f>'Archive Detailed Monthly'!AI178</f>
        <v>5.2191409999999996</v>
      </c>
      <c r="X32" s="126">
        <f>'Archive Detailed Monthly'!AJ178</f>
        <v>5.0760079999999999</v>
      </c>
      <c r="Y32" s="127">
        <f>'Archive Detailed Monthly'!AK178</f>
        <v>5.7057029999999997</v>
      </c>
      <c r="Z32" s="126">
        <f>'Archive Detailed Monthly'!AL178</f>
        <v>6.0008470000000003</v>
      </c>
      <c r="AA32" s="126">
        <f>'Archive Detailed Monthly'!AM178</f>
        <v>5.362209</v>
      </c>
      <c r="AB32" s="126">
        <f>'Archive Detailed Monthly'!AN178</f>
        <v>5.994103</v>
      </c>
      <c r="AC32" s="126">
        <f>'Archive Detailed Monthly'!AO178</f>
        <v>5.1959910000000002</v>
      </c>
      <c r="AD32" s="126">
        <f>'Archive Detailed Monthly'!AP178</f>
        <v>5.3270160000000004</v>
      </c>
      <c r="AE32" s="126">
        <f>'Archive Detailed Monthly'!AQ178</f>
        <v>4.6027240000000003</v>
      </c>
      <c r="AF32" s="126">
        <f>'Archive Detailed Monthly'!AR178</f>
        <v>3.636825</v>
      </c>
      <c r="AG32" s="126">
        <f>'Archive Detailed Monthly'!AS178</f>
        <v>3.1845210000000002</v>
      </c>
      <c r="AH32" s="126">
        <f>'Archive Detailed Monthly'!AT178</f>
        <v>3.3395220000000001</v>
      </c>
      <c r="AI32" s="126">
        <f>'Archive Detailed Monthly'!AU178</f>
        <v>4.0149340000000002</v>
      </c>
      <c r="AJ32" s="126">
        <f>'Archive Detailed Monthly'!AV178</f>
        <v>3.876147</v>
      </c>
      <c r="AK32" s="127">
        <f>'Archive Detailed Monthly'!AW178</f>
        <v>4.3995870000000004</v>
      </c>
      <c r="AL32" s="126">
        <f>'Archive Detailed Monthly'!AX178</f>
        <v>4.7395269999999998</v>
      </c>
      <c r="AM32" s="126">
        <f>'Archive Detailed Monthly'!AY178</f>
        <v>4.0748600000000001</v>
      </c>
      <c r="AN32" s="126">
        <f>'Archive Detailed Monthly'!AZ178</f>
        <v>4.0998099999999997</v>
      </c>
      <c r="AO32" s="126">
        <f>'Archive Detailed Monthly'!BA178</f>
        <v>3.8136999999999999</v>
      </c>
      <c r="AP32" s="126">
        <f>'Archive Detailed Monthly'!BB178</f>
        <v>3.7258629999999999</v>
      </c>
      <c r="AQ32" s="126">
        <f>'Archive Detailed Monthly'!BC178</f>
        <v>3.0439940000000001</v>
      </c>
      <c r="AR32" s="126">
        <f>'Archive Detailed Monthly'!BD178</f>
        <v>2.8123239999999998</v>
      </c>
      <c r="AS32" s="126">
        <f>'Archive Detailed Monthly'!BE178</f>
        <v>2.78423</v>
      </c>
      <c r="AT32" s="126">
        <f>'Archive Detailed Monthly'!BF178</f>
        <v>3.2328329999999998</v>
      </c>
      <c r="AU32" s="126">
        <f>'Archive Detailed Monthly'!BG178</f>
        <v>3.4386779999999999</v>
      </c>
      <c r="AV32" s="126">
        <f>'Archive Detailed Monthly'!BH178</f>
        <v>3.3519589999999999</v>
      </c>
      <c r="AW32" s="127">
        <f>'Archive Detailed Monthly'!BI178</f>
        <v>3.697638</v>
      </c>
      <c r="AX32" s="126">
        <v>3.48</v>
      </c>
      <c r="AY32" s="126">
        <v>2.98</v>
      </c>
      <c r="AZ32" s="126">
        <v>3</v>
      </c>
      <c r="BA32" s="126">
        <v>2.78</v>
      </c>
      <c r="BB32" s="126">
        <v>2.74</v>
      </c>
      <c r="BC32" s="126">
        <v>2.27</v>
      </c>
      <c r="BD32" s="126">
        <v>2.15</v>
      </c>
      <c r="BE32" s="126">
        <v>2.13</v>
      </c>
      <c r="BF32" s="126">
        <v>2.4300000000000002</v>
      </c>
      <c r="BG32" s="126">
        <v>2.59</v>
      </c>
      <c r="BH32" s="126">
        <v>2.57</v>
      </c>
      <c r="BI32" s="127">
        <v>2.87</v>
      </c>
      <c r="BJ32" s="126">
        <v>2.88</v>
      </c>
      <c r="BK32" s="126">
        <v>2.4500000000000002</v>
      </c>
      <c r="BL32" s="126">
        <v>2.4700000000000002</v>
      </c>
      <c r="BM32" s="126">
        <v>2.29</v>
      </c>
      <c r="BN32" s="126">
        <v>2.27</v>
      </c>
      <c r="BO32" s="126">
        <v>1.92</v>
      </c>
      <c r="BP32" s="126">
        <v>1.86</v>
      </c>
      <c r="BQ32" s="126">
        <v>1.84</v>
      </c>
      <c r="BR32" s="126">
        <v>2.0699999999999998</v>
      </c>
      <c r="BS32" s="126">
        <v>2.2000000000000002</v>
      </c>
      <c r="BT32" s="126">
        <v>2.23</v>
      </c>
      <c r="BU32" s="127">
        <v>2.52</v>
      </c>
      <c r="BV32" s="126">
        <v>2.62</v>
      </c>
      <c r="BW32" s="126">
        <v>2.2200000000000002</v>
      </c>
      <c r="BX32" s="126">
        <v>2.2400000000000002</v>
      </c>
      <c r="BY32" s="126">
        <v>2.0699999999999998</v>
      </c>
      <c r="BZ32" s="126">
        <v>2.0699999999999998</v>
      </c>
      <c r="CA32" s="126">
        <v>1.77</v>
      </c>
      <c r="CB32" s="126">
        <v>1.76</v>
      </c>
      <c r="CC32" s="126">
        <v>1.74</v>
      </c>
      <c r="CD32" s="126">
        <v>1.93</v>
      </c>
      <c r="CE32" s="126">
        <v>2.06</v>
      </c>
      <c r="CF32" s="126">
        <v>2.11</v>
      </c>
      <c r="CG32" s="127">
        <v>2.42</v>
      </c>
      <c r="CH32" s="126">
        <v>2.81</v>
      </c>
      <c r="CI32" s="126">
        <v>2.37</v>
      </c>
      <c r="CJ32" s="126">
        <v>2.39</v>
      </c>
      <c r="CK32" s="126">
        <v>2.21</v>
      </c>
      <c r="CL32" s="126">
        <v>2.2200000000000002</v>
      </c>
      <c r="CM32" s="126">
        <v>1.94</v>
      </c>
      <c r="CN32" s="126">
        <v>1.97</v>
      </c>
      <c r="CO32" s="126">
        <v>1.94</v>
      </c>
      <c r="CP32" s="126">
        <v>2.12</v>
      </c>
      <c r="CQ32" s="126">
        <v>2.27</v>
      </c>
      <c r="CR32" s="126">
        <v>2.37</v>
      </c>
      <c r="CS32" s="127">
        <v>2.74</v>
      </c>
      <c r="CT32" s="126">
        <v>2.88</v>
      </c>
      <c r="CU32" s="126">
        <v>2.33</v>
      </c>
      <c r="CV32" s="126">
        <v>2.4700000000000002</v>
      </c>
      <c r="CW32" s="126">
        <v>2.33</v>
      </c>
      <c r="CX32" s="126">
        <v>2.21</v>
      </c>
      <c r="CY32" s="126">
        <v>2.0099999999999998</v>
      </c>
      <c r="CZ32" s="126">
        <v>2.0699999999999998</v>
      </c>
      <c r="DA32" s="126">
        <v>2.02</v>
      </c>
      <c r="DB32" s="126">
        <v>2.19</v>
      </c>
      <c r="DC32" s="126">
        <v>2.31</v>
      </c>
      <c r="DD32" s="126">
        <v>2.31</v>
      </c>
      <c r="DE32" s="127">
        <v>2.75</v>
      </c>
      <c r="DF32" s="126">
        <v>2.97</v>
      </c>
      <c r="DG32" s="126">
        <v>2.5077535200000001</v>
      </c>
      <c r="DH32" s="126">
        <v>2.8213789999999999</v>
      </c>
      <c r="DI32" s="126">
        <v>2.3664876499999998</v>
      </c>
      <c r="DJ32" s="126">
        <v>2.3414640000000002</v>
      </c>
      <c r="DK32" s="126">
        <v>2.14514</v>
      </c>
      <c r="DL32" s="126">
        <v>2.19</v>
      </c>
      <c r="DM32" s="126">
        <v>2.383937</v>
      </c>
      <c r="DN32" s="126">
        <v>2.53771586</v>
      </c>
      <c r="DO32" s="126">
        <v>2.7935310000000002</v>
      </c>
      <c r="DP32" s="126">
        <v>2.7836821</v>
      </c>
      <c r="DQ32" s="127">
        <v>3.2341329999999999</v>
      </c>
      <c r="DR32" s="704">
        <v>3.3186507799999996</v>
      </c>
      <c r="DS32" s="704">
        <v>2.698812274242</v>
      </c>
      <c r="DT32" s="704">
        <v>3.2535156966939986</v>
      </c>
      <c r="DU32" s="704">
        <v>3.0684871098140007</v>
      </c>
      <c r="DV32" s="704">
        <v>3.0101724426510006</v>
      </c>
      <c r="DW32" s="704">
        <v>2.6407773298560002</v>
      </c>
      <c r="DX32" s="704">
        <v>2.8343887499999996</v>
      </c>
      <c r="DY32" s="704">
        <v>2.9050224283079999</v>
      </c>
      <c r="DZ32" s="704">
        <v>2.973054332891</v>
      </c>
      <c r="EA32" s="704">
        <v>3.2834387179424001</v>
      </c>
      <c r="EB32" s="126">
        <v>3.3724435506339989</v>
      </c>
      <c r="EC32" s="127">
        <v>4.0632759099999998</v>
      </c>
      <c r="ED32" s="704">
        <v>3.8987913223440005</v>
      </c>
      <c r="EE32" s="704">
        <v>3.5588955948479999</v>
      </c>
      <c r="EF32" s="704">
        <v>5.1289139376719994</v>
      </c>
      <c r="EG32" s="704">
        <v>5.5561678713719997</v>
      </c>
      <c r="EH32" s="704">
        <v>5.5048381041959988</v>
      </c>
      <c r="EI32" s="126">
        <v>4.6675564689270006</v>
      </c>
      <c r="EJ32" s="704">
        <v>4.1002781003360003</v>
      </c>
      <c r="EK32" s="704">
        <v>4.0602230970840001</v>
      </c>
      <c r="EL32" s="704">
        <v>3.9525350448580014</v>
      </c>
      <c r="EM32" s="704">
        <v>4.411747060593</v>
      </c>
      <c r="EN32" s="704">
        <v>5.823877949562001</v>
      </c>
      <c r="EO32" s="127">
        <v>7.5095465789939979</v>
      </c>
      <c r="EP32" s="704">
        <v>7.6533254659999992</v>
      </c>
      <c r="EQ32" s="704">
        <v>6.1262221009999998</v>
      </c>
      <c r="ER32" s="704">
        <v>6.6731746879999996</v>
      </c>
      <c r="ES32" s="704">
        <v>6.3373257260000004</v>
      </c>
      <c r="ET32" s="704">
        <v>5.9176796720000029</v>
      </c>
      <c r="EU32" s="126">
        <v>5.0042434749999991</v>
      </c>
      <c r="EV32" s="704">
        <v>4.5691137220000009</v>
      </c>
      <c r="EW32" s="704">
        <v>4.4789435099999997</v>
      </c>
      <c r="EX32" s="704">
        <v>4.4517395749999995</v>
      </c>
      <c r="EY32" s="704">
        <v>4.9447533470000007</v>
      </c>
      <c r="EZ32" s="704">
        <v>4.6174735689999977</v>
      </c>
      <c r="FA32" s="127">
        <v>5.8008929149999986</v>
      </c>
      <c r="FB32" s="704">
        <v>6.141696016</v>
      </c>
      <c r="FC32" s="704">
        <v>4.9510519660000005</v>
      </c>
      <c r="FD32" s="704">
        <v>5.0316255690000027</v>
      </c>
      <c r="FE32" s="704">
        <v>4.796368531999998</v>
      </c>
      <c r="FF32" s="704">
        <v>4.6052172710000008</v>
      </c>
      <c r="FG32" s="704">
        <v>4.3585295480000017</v>
      </c>
      <c r="FH32" s="704">
        <v>4.9327396720000012</v>
      </c>
      <c r="FI32" s="704">
        <v>5.0393983899999997</v>
      </c>
      <c r="FJ32" s="704">
        <v>4.8144943909999975</v>
      </c>
      <c r="FK32" s="704">
        <v>4.9418192200000011</v>
      </c>
      <c r="FL32" s="704">
        <v>5.1711299199999994</v>
      </c>
      <c r="FM32" s="127">
        <v>6.3163926800000008</v>
      </c>
      <c r="FN32" s="704">
        <v>6.2459381799999996</v>
      </c>
      <c r="FO32" s="704">
        <v>5.0451133300000004</v>
      </c>
      <c r="FP32" s="704">
        <v>5.5</v>
      </c>
      <c r="FQ32" s="704">
        <v>5.1320361099999996</v>
      </c>
      <c r="FR32" s="704">
        <v>5.23544301</v>
      </c>
      <c r="FS32" s="704">
        <v>4.8829021399999997</v>
      </c>
      <c r="FT32" s="704">
        <v>4.7621123699999997</v>
      </c>
      <c r="FU32" s="704">
        <v>4.9430698199999998</v>
      </c>
      <c r="FV32" s="704">
        <v>4.9882803300000003</v>
      </c>
      <c r="FW32" s="704">
        <v>5.3</v>
      </c>
      <c r="FX32" s="704">
        <v>5.1738624</v>
      </c>
      <c r="FY32" s="127">
        <v>6.5873090100000002</v>
      </c>
      <c r="FZ32" s="704">
        <v>6.8796785800000002</v>
      </c>
      <c r="GA32" s="704">
        <v>5.5741105299999996</v>
      </c>
      <c r="GB32" s="704">
        <v>5.7412732000000002</v>
      </c>
      <c r="GC32" s="704">
        <v>5.4344093400000002</v>
      </c>
      <c r="GD32" s="704">
        <v>5.3593803800000002</v>
      </c>
      <c r="GE32" s="704">
        <v>4.9720724799999996</v>
      </c>
      <c r="GF32" s="704">
        <v>5.0444708800000004</v>
      </c>
      <c r="GG32" s="704">
        <v>5.1123921000000001</v>
      </c>
      <c r="GH32" s="704">
        <v>5.2774517300000001</v>
      </c>
      <c r="GI32" s="704">
        <v>5.5922376399999996</v>
      </c>
      <c r="GJ32" s="704">
        <v>5.2974913700000004</v>
      </c>
      <c r="GK32" s="127">
        <v>6.9290016000000003</v>
      </c>
      <c r="GL32" s="704">
        <v>7.16997997</v>
      </c>
      <c r="GM32" s="704">
        <v>5.6898268099999996</v>
      </c>
      <c r="GN32" s="704">
        <v>6.1332742199999997</v>
      </c>
      <c r="GO32" s="704">
        <v>4.2248320399999999</v>
      </c>
      <c r="GP32" s="704"/>
      <c r="GQ32" s="704"/>
      <c r="GR32" s="704"/>
      <c r="GS32" s="704"/>
      <c r="GT32" s="704"/>
      <c r="GU32" s="704"/>
      <c r="GV32" s="704"/>
      <c r="GW32" s="127"/>
      <c r="GX32" s="126"/>
      <c r="HC32" s="5" t="s">
        <v>318</v>
      </c>
      <c r="HD32" s="126">
        <f>GP32</f>
        <v>0</v>
      </c>
      <c r="HE32" s="260">
        <f t="shared" si="237"/>
        <v>-1</v>
      </c>
      <c r="HF32" s="260">
        <f t="shared" si="239"/>
        <v>-1</v>
      </c>
      <c r="HG32" s="126">
        <f>SUM($GL32:GP32)</f>
        <v>23.217913039999999</v>
      </c>
      <c r="HH32" s="126">
        <f>SUM($FZ32:GD32)</f>
        <v>28.98885203</v>
      </c>
      <c r="HI32" s="205">
        <f t="shared" si="238"/>
        <v>-0.19907442295499556</v>
      </c>
    </row>
    <row r="33" spans="1:217">
      <c r="A33" s="653" t="s">
        <v>455</v>
      </c>
      <c r="B33" s="648">
        <f>B31+B32+B28</f>
        <v>17.323044469027497</v>
      </c>
      <c r="C33" s="648">
        <f t="shared" ref="C33:N33" si="347">C31+C32+C28</f>
        <v>17.50631949592583</v>
      </c>
      <c r="D33" s="648">
        <f t="shared" si="347"/>
        <v>22.263719460767707</v>
      </c>
      <c r="E33" s="648">
        <f t="shared" si="347"/>
        <v>22.935770766253135</v>
      </c>
      <c r="F33" s="648">
        <f t="shared" si="347"/>
        <v>24.418241117344543</v>
      </c>
      <c r="G33" s="648">
        <f t="shared" si="347"/>
        <v>23.061506547693185</v>
      </c>
      <c r="H33" s="648">
        <f t="shared" si="347"/>
        <v>22.523740623975041</v>
      </c>
      <c r="I33" s="648">
        <f t="shared" si="347"/>
        <v>21.693075819625946</v>
      </c>
      <c r="J33" s="648">
        <f t="shared" si="347"/>
        <v>25.824516860085375</v>
      </c>
      <c r="K33" s="648">
        <f t="shared" si="347"/>
        <v>29.153011319084811</v>
      </c>
      <c r="L33" s="648">
        <f t="shared" si="347"/>
        <v>29.547807160199881</v>
      </c>
      <c r="M33" s="650">
        <f t="shared" si="347"/>
        <v>30.787264120437676</v>
      </c>
      <c r="N33" s="648">
        <f t="shared" si="347"/>
        <v>38.348070999999997</v>
      </c>
      <c r="O33" s="648">
        <f t="shared" ref="O33" si="348">O31+O32+O28</f>
        <v>34.145786999999999</v>
      </c>
      <c r="P33" s="648">
        <f t="shared" ref="P33" si="349">P31+P32+P28</f>
        <v>38.575417999999999</v>
      </c>
      <c r="Q33" s="648">
        <f t="shared" ref="Q33" si="350">Q31+Q32+Q28</f>
        <v>36.118445999999999</v>
      </c>
      <c r="R33" s="648">
        <f t="shared" ref="R33" si="351">R31+R32+R28</f>
        <v>37.549276999999996</v>
      </c>
      <c r="S33" s="648">
        <f t="shared" ref="S33" si="352">S31+S32+S28</f>
        <v>32.193432000000001</v>
      </c>
      <c r="T33" s="648">
        <f t="shared" ref="T33" si="353">T31+T32+T28</f>
        <v>30.751452999999998</v>
      </c>
      <c r="U33" s="648">
        <f t="shared" ref="U33" si="354">U31+U32+U28</f>
        <v>29.626033</v>
      </c>
      <c r="V33" s="648">
        <f t="shared" ref="V33" si="355">V31+V32+V28</f>
        <v>33.994495999999998</v>
      </c>
      <c r="W33" s="648">
        <f t="shared" ref="W33" si="356">W31+W32+W28</f>
        <v>36.865201999999996</v>
      </c>
      <c r="X33" s="648">
        <f t="shared" ref="X33" si="357">X31+X32+X28</f>
        <v>35.306413999999997</v>
      </c>
      <c r="Y33" s="650">
        <f t="shared" ref="Y33:Z33" si="358">Y31+Y32+Y28</f>
        <v>37.216289000000003</v>
      </c>
      <c r="Z33" s="648">
        <f t="shared" si="358"/>
        <v>41.275478</v>
      </c>
      <c r="AA33" s="648">
        <f t="shared" ref="AA33" si="359">AA31+AA32+AA28</f>
        <v>35.365499999999997</v>
      </c>
      <c r="AB33" s="648">
        <f t="shared" ref="AB33" si="360">AB31+AB32+AB28</f>
        <v>37.464140999999998</v>
      </c>
      <c r="AC33" s="648">
        <f t="shared" ref="AC33" si="361">AC31+AC32+AC28</f>
        <v>32.614707000000003</v>
      </c>
      <c r="AD33" s="648">
        <f t="shared" ref="AD33" si="362">AD31+AD32+AD28</f>
        <v>32.980519000000001</v>
      </c>
      <c r="AE33" s="648">
        <f t="shared" ref="AE33" si="363">AE31+AE32+AE28</f>
        <v>29.569662000000001</v>
      </c>
      <c r="AF33" s="648">
        <f t="shared" ref="AF33" si="364">AF31+AF32+AF28</f>
        <v>31.028607999999998</v>
      </c>
      <c r="AG33" s="648">
        <f t="shared" ref="AG33" si="365">AG31+AG32+AG28</f>
        <v>44.190656999999995</v>
      </c>
      <c r="AH33" s="648">
        <f t="shared" ref="AH33" si="366">AH31+AH32+AH28</f>
        <v>47.878735000000006</v>
      </c>
      <c r="AI33" s="648">
        <f t="shared" ref="AI33" si="367">AI31+AI32+AI28</f>
        <v>53.312680999999998</v>
      </c>
      <c r="AJ33" s="648">
        <f t="shared" ref="AJ33" si="368">AJ31+AJ32+AJ28</f>
        <v>50.714322000000003</v>
      </c>
      <c r="AK33" s="650">
        <f t="shared" ref="AK33:AL33" si="369">AK31+AK32+AK28</f>
        <v>52.068732000000004</v>
      </c>
      <c r="AL33" s="648">
        <f t="shared" si="369"/>
        <v>57.282587000000007</v>
      </c>
      <c r="AM33" s="648">
        <f t="shared" ref="AM33" si="370">AM31+AM32+AM28</f>
        <v>50.919460999999998</v>
      </c>
      <c r="AN33" s="648">
        <f t="shared" ref="AN33" si="371">AN31+AN32+AN28</f>
        <v>48.224930999999998</v>
      </c>
      <c r="AO33" s="648">
        <f t="shared" ref="AO33" si="372">AO31+AO32+AO28</f>
        <v>46.984566000000001</v>
      </c>
      <c r="AP33" s="648">
        <f t="shared" ref="AP33" si="373">AP31+AP32+AP28</f>
        <v>46.212919999999997</v>
      </c>
      <c r="AQ33" s="648">
        <f t="shared" ref="AQ33" si="374">AQ31+AQ32+AQ28</f>
        <v>41.010902999999999</v>
      </c>
      <c r="AR33" s="648">
        <f t="shared" ref="AR33" si="375">AR31+AR32+AR28</f>
        <v>40.164063999999996</v>
      </c>
      <c r="AS33" s="648">
        <f t="shared" ref="AS33" si="376">AS31+AS32+AS28</f>
        <v>36.679639000000002</v>
      </c>
      <c r="AT33" s="648">
        <f t="shared" ref="AT33" si="377">AT31+AT32+AT28</f>
        <v>45.464568999999997</v>
      </c>
      <c r="AU33" s="648">
        <f t="shared" ref="AU33" si="378">AU31+AU32+AU28</f>
        <v>44.705396999999998</v>
      </c>
      <c r="AV33" s="648">
        <f t="shared" ref="AV33" si="379">AV31+AV32+AV28</f>
        <v>44.053299000000003</v>
      </c>
      <c r="AW33" s="650">
        <f t="shared" ref="AW33" si="380">AW31+AW32+AW28</f>
        <v>48.632981000000001</v>
      </c>
      <c r="AX33" s="648">
        <f t="shared" ref="AX33" si="381">AX31+AX32+AX28</f>
        <v>48.65</v>
      </c>
      <c r="AY33" s="648">
        <f t="shared" ref="AY33" si="382">AY31+AY32+AY28</f>
        <v>43.06</v>
      </c>
      <c r="AZ33" s="648">
        <f t="shared" ref="AZ33" si="383">AZ31+AZ32+AZ28</f>
        <v>42.55</v>
      </c>
      <c r="BA33" s="648">
        <f t="shared" ref="BA33" si="384">BA31+BA32+BA28</f>
        <v>41.21</v>
      </c>
      <c r="BB33" s="648">
        <f t="shared" ref="BB33" si="385">BB31+BB32+BB28</f>
        <v>41.900000000000006</v>
      </c>
      <c r="BC33" s="648">
        <f t="shared" ref="BC33" si="386">BC31+BC32+BC28</f>
        <v>38.090000000000003</v>
      </c>
      <c r="BD33" s="648">
        <f t="shared" ref="BD33" si="387">BD31+BD32+BD28</f>
        <v>37.409999999999997</v>
      </c>
      <c r="BE33" s="648">
        <f t="shared" ref="BE33" si="388">BE31+BE32+BE28</f>
        <v>35.39</v>
      </c>
      <c r="BF33" s="648">
        <f t="shared" ref="BF33" si="389">BF31+BF32+BF28</f>
        <v>42.66</v>
      </c>
      <c r="BG33" s="648">
        <f t="shared" ref="BG33" si="390">BG31+BG32+BG28</f>
        <v>42.849999999999994</v>
      </c>
      <c r="BH33" s="648">
        <f t="shared" ref="BH33" si="391">BH31+BH32+BH28</f>
        <v>41.5</v>
      </c>
      <c r="BI33" s="650">
        <f t="shared" ref="BI33" si="392">BI31+BI32+BI28</f>
        <v>50.71</v>
      </c>
      <c r="BJ33" s="648">
        <f t="shared" ref="BJ33" si="393">BJ31+BJ32+BJ28</f>
        <v>44.379999999999995</v>
      </c>
      <c r="BK33" s="648">
        <f t="shared" ref="BK33" si="394">BK31+BK32+BK28</f>
        <v>39.21</v>
      </c>
      <c r="BL33" s="648">
        <f t="shared" ref="BL33" si="395">BL31+BL32+BL28</f>
        <v>39.53</v>
      </c>
      <c r="BM33" s="648">
        <f t="shared" ref="BM33" si="396">BM31+BM32+BM28</f>
        <v>37.950000000000003</v>
      </c>
      <c r="BN33" s="648">
        <f t="shared" ref="BN33" si="397">BN31+BN32+BN28</f>
        <v>38.68</v>
      </c>
      <c r="BO33" s="648">
        <f t="shared" ref="BO33" si="398">BO31+BO32+BO28</f>
        <v>35.58</v>
      </c>
      <c r="BP33" s="648">
        <f t="shared" ref="BP33" si="399">BP31+BP32+BP28</f>
        <v>35.14</v>
      </c>
      <c r="BQ33" s="648">
        <f t="shared" ref="BQ33" si="400">BQ31+BQ32+BQ28</f>
        <v>33.959999999999994</v>
      </c>
      <c r="BR33" s="648">
        <f t="shared" ref="BR33" si="401">BR31+BR32+BR28</f>
        <v>39.86</v>
      </c>
      <c r="BS33" s="648">
        <f t="shared" ref="BS33" si="402">BS31+BS32+BS28</f>
        <v>40.26</v>
      </c>
      <c r="BT33" s="648">
        <f t="shared" ref="BT33" si="403">BT31+BT32+BT28</f>
        <v>38.5</v>
      </c>
      <c r="BU33" s="650">
        <f t="shared" ref="BU33" si="404">BU31+BU32+BU28</f>
        <v>47.97</v>
      </c>
      <c r="BV33" s="648">
        <f t="shared" ref="BV33" si="405">BV31+BV32+BV28</f>
        <v>46.2</v>
      </c>
      <c r="BW33" s="648">
        <f t="shared" ref="BW33" si="406">BW31+BW32+BW28</f>
        <v>40.75</v>
      </c>
      <c r="BX33" s="648">
        <f t="shared" ref="BX33" si="407">BX31+BX32+BX28</f>
        <v>42.22</v>
      </c>
      <c r="BY33" s="648">
        <f t="shared" ref="BY33" si="408">BY31+BY32+BY28</f>
        <v>40.31</v>
      </c>
      <c r="BZ33" s="648">
        <f t="shared" ref="BZ33" si="409">BZ31+BZ32+BZ28</f>
        <v>41.12</v>
      </c>
      <c r="CA33" s="648">
        <f t="shared" ref="CA33" si="410">CA31+CA32+CA28</f>
        <v>38.549999999999997</v>
      </c>
      <c r="CB33" s="648">
        <f t="shared" ref="CB33" si="411">CB31+CB32+CB28</f>
        <v>38.409999999999997</v>
      </c>
      <c r="CC33" s="648">
        <f t="shared" ref="CC33" si="412">CC31+CC32+CC28</f>
        <v>37.78</v>
      </c>
      <c r="CD33" s="648">
        <f t="shared" ref="CD33" si="413">CD31+CD32+CD28</f>
        <v>43.14</v>
      </c>
      <c r="CE33" s="648">
        <f t="shared" ref="CE33" si="414">CE31+CE32+CE28</f>
        <v>43.86</v>
      </c>
      <c r="CF33" s="648">
        <f t="shared" ref="CF33" si="415">CF31+CF32+CF28</f>
        <v>42.230000000000004</v>
      </c>
      <c r="CG33" s="650">
        <f t="shared" ref="CG33" si="416">CG31+CG32+CG28</f>
        <v>52.43</v>
      </c>
      <c r="CH33" s="648">
        <f t="shared" ref="CH33" si="417">CH31+CH32+CH28</f>
        <v>54.95</v>
      </c>
      <c r="CI33" s="648">
        <f t="shared" ref="CI33" si="418">CI31+CI32+CI28</f>
        <v>48.379999999999995</v>
      </c>
      <c r="CJ33" s="648">
        <f t="shared" ref="CJ33" si="419">CJ31+CJ32+CJ28</f>
        <v>50.96</v>
      </c>
      <c r="CK33" s="648">
        <f t="shared" ref="CK33" si="420">CK31+CK32+CK28</f>
        <v>48.25</v>
      </c>
      <c r="CL33" s="648">
        <f t="shared" ref="CL33" si="421">CL31+CL32+CL28</f>
        <v>48.760000000000005</v>
      </c>
      <c r="CM33" s="648">
        <f t="shared" ref="CM33" si="422">CM31+CM32+CM28</f>
        <v>46.3</v>
      </c>
      <c r="CN33" s="648">
        <f t="shared" ref="CN33" si="423">CN31+CN32+CN28</f>
        <v>46.55</v>
      </c>
      <c r="CO33" s="648">
        <f t="shared" ref="CO33" si="424">CO31+CO32+CO28</f>
        <v>46.48</v>
      </c>
      <c r="CP33" s="648">
        <f t="shared" ref="CP33" si="425">CP31+CP32+CP28</f>
        <v>51.58</v>
      </c>
      <c r="CQ33" s="648">
        <f t="shared" ref="CQ33" si="426">CQ31+CQ32+CQ28</f>
        <v>52.6</v>
      </c>
      <c r="CR33" s="648">
        <f t="shared" ref="CR33:CS33" si="427">CR31+CR32+CR28</f>
        <v>50.789999999999992</v>
      </c>
      <c r="CS33" s="650">
        <f t="shared" si="427"/>
        <v>61.46</v>
      </c>
      <c r="CT33" s="648">
        <f t="shared" ref="CT33" si="428">CT31+CT32+CT28</f>
        <v>64.89</v>
      </c>
      <c r="CU33" s="648">
        <f t="shared" ref="CU33" si="429">CU31+CU32+CU28</f>
        <v>56.870000000000005</v>
      </c>
      <c r="CV33" s="648">
        <f t="shared" ref="CV33" si="430">CV31+CV32+CV28</f>
        <v>63.64</v>
      </c>
      <c r="CW33" s="648">
        <f t="shared" ref="CW33" si="431">CW31+CW32+CW28</f>
        <v>59.73</v>
      </c>
      <c r="CX33" s="648">
        <f t="shared" ref="CX33" si="432">CX31+CX32+CX28</f>
        <v>60.86</v>
      </c>
      <c r="CY33" s="648">
        <f t="shared" ref="CY33" si="433">CY31+CY32+CY28</f>
        <v>55.93</v>
      </c>
      <c r="CZ33" s="648">
        <f t="shared" ref="CZ33" si="434">CZ31+CZ32+CZ28</f>
        <v>57.5</v>
      </c>
      <c r="DA33" s="648">
        <f t="shared" ref="DA33" si="435">DA31+DA32+DA28</f>
        <v>57.87</v>
      </c>
      <c r="DB33" s="648">
        <f t="shared" ref="DB33" si="436">DB31+DB32+DB28</f>
        <v>65.2</v>
      </c>
      <c r="DC33" s="648">
        <f t="shared" ref="DC33" si="437">DC31+DC32+DC28</f>
        <v>67.28</v>
      </c>
      <c r="DD33" s="648">
        <f t="shared" ref="DD33" si="438">DD31+DD32+DD28</f>
        <v>63.52</v>
      </c>
      <c r="DE33" s="650">
        <f t="shared" ref="DE33" si="439">DE31+DE32+DE28</f>
        <v>74.680000000000007</v>
      </c>
      <c r="DF33" s="648">
        <f t="shared" ref="DF33" si="440">DF31+DF32+DF28</f>
        <v>78.099999999999994</v>
      </c>
      <c r="DG33" s="648">
        <f t="shared" ref="DG33" si="441">DG31+DG32+DG28</f>
        <v>70.936365630000012</v>
      </c>
      <c r="DH33" s="648">
        <f t="shared" ref="DH33" si="442">DH31+DH32+DH28</f>
        <v>77.708556999999999</v>
      </c>
      <c r="DI33" s="648">
        <f t="shared" ref="DI33" si="443">DI31+DI32+DI28</f>
        <v>72.366487649999996</v>
      </c>
      <c r="DJ33" s="648">
        <f t="shared" ref="DJ33" si="444">DJ31+DJ32+DJ28</f>
        <v>71.596361999999999</v>
      </c>
      <c r="DK33" s="648">
        <f t="shared" ref="DK33" si="445">DK31+DK32+DK28</f>
        <v>68.540364859999997</v>
      </c>
      <c r="DL33" s="648">
        <f t="shared" ref="DL33" si="446">DL31+DL32+DL28</f>
        <v>69.048000000000002</v>
      </c>
      <c r="DM33" s="648">
        <f t="shared" ref="DM33" si="447">DM31+DM32+DM28</f>
        <v>69.170543500000008</v>
      </c>
      <c r="DN33" s="648">
        <f t="shared" ref="DN33" si="448">DN31+DN32+DN28</f>
        <v>72.170446179999999</v>
      </c>
      <c r="DO33" s="648">
        <f t="shared" ref="DO33" si="449">DO31+DO32+DO28</f>
        <v>79.705928</v>
      </c>
      <c r="DP33" s="648">
        <f t="shared" ref="DP33" si="450">DP31+DP32+DP28</f>
        <v>72.156375990000001</v>
      </c>
      <c r="DQ33" s="650">
        <f t="shared" ref="DQ33:EB33" si="451">DQ31+DQ32+DQ28</f>
        <v>86.609824000000003</v>
      </c>
      <c r="DR33" s="648">
        <f t="shared" si="451"/>
        <v>90.265013701130755</v>
      </c>
      <c r="DS33" s="648">
        <f t="shared" si="451"/>
        <v>76.343877077387816</v>
      </c>
      <c r="DT33" s="648">
        <f t="shared" si="451"/>
        <v>88.3902538370711</v>
      </c>
      <c r="DU33" s="648">
        <f t="shared" si="451"/>
        <v>82.350765549959448</v>
      </c>
      <c r="DV33" s="648">
        <f t="shared" si="451"/>
        <v>84.240077979716986</v>
      </c>
      <c r="DW33" s="648">
        <f t="shared" si="451"/>
        <v>75.010176095440556</v>
      </c>
      <c r="DX33" s="648">
        <f t="shared" si="451"/>
        <v>76.982330137171019</v>
      </c>
      <c r="DY33" s="648">
        <f t="shared" si="451"/>
        <v>79.787195952658976</v>
      </c>
      <c r="DZ33" s="648">
        <f t="shared" si="451"/>
        <v>85.699609616519993</v>
      </c>
      <c r="EA33" s="648">
        <f t="shared" si="451"/>
        <v>79.651641598768364</v>
      </c>
      <c r="EB33" s="648">
        <f t="shared" si="451"/>
        <v>86.283942572372979</v>
      </c>
      <c r="EC33" s="650">
        <f t="shared" ref="EC33:EO33" si="452">EC31+EC32+EC28</f>
        <v>101.65770671051898</v>
      </c>
      <c r="ED33" s="648">
        <f t="shared" si="452"/>
        <v>99.029452500821037</v>
      </c>
      <c r="EE33" s="648">
        <f t="shared" si="452"/>
        <v>93.570657674941017</v>
      </c>
      <c r="EF33" s="648">
        <f t="shared" si="452"/>
        <v>125.16898063430399</v>
      </c>
      <c r="EG33" s="648">
        <f t="shared" si="452"/>
        <v>136.10447607871197</v>
      </c>
      <c r="EH33" s="648">
        <f t="shared" si="452"/>
        <v>134.18444155039003</v>
      </c>
      <c r="EI33" s="648">
        <f t="shared" si="452"/>
        <v>117.66569816961898</v>
      </c>
      <c r="EJ33" s="648">
        <f t="shared" si="452"/>
        <v>108.14259157174796</v>
      </c>
      <c r="EK33" s="648">
        <f t="shared" si="452"/>
        <v>110.06096571673203</v>
      </c>
      <c r="EL33" s="648">
        <f t="shared" si="452"/>
        <v>108.64283313485802</v>
      </c>
      <c r="EM33" s="648">
        <f t="shared" si="452"/>
        <v>121.06751567462396</v>
      </c>
      <c r="EN33" s="648">
        <f>EN31+EN32+EN28</f>
        <v>147.84610340611798</v>
      </c>
      <c r="EO33" s="650">
        <f t="shared" si="452"/>
        <v>181.87140374208593</v>
      </c>
      <c r="EP33" s="648">
        <f t="shared" ref="EP33:EY33" si="453">EP31+EP32+EP28</f>
        <v>192.30186627599994</v>
      </c>
      <c r="EQ33" s="648">
        <f t="shared" si="453"/>
        <v>165.65773730100011</v>
      </c>
      <c r="ER33" s="648">
        <f t="shared" si="453"/>
        <v>183.18427661799993</v>
      </c>
      <c r="ES33" s="648">
        <f t="shared" si="453"/>
        <v>184.56441838599997</v>
      </c>
      <c r="ET33" s="648">
        <f t="shared" si="453"/>
        <v>174.94545546199998</v>
      </c>
      <c r="EU33" s="648">
        <f t="shared" si="453"/>
        <v>149.93728591500002</v>
      </c>
      <c r="EV33" s="648">
        <f t="shared" si="453"/>
        <v>144.03211013199999</v>
      </c>
      <c r="EW33" s="648">
        <f t="shared" si="453"/>
        <v>150.36916784000005</v>
      </c>
      <c r="EX33" s="648">
        <f t="shared" si="453"/>
        <v>157.37509561500002</v>
      </c>
      <c r="EY33" s="648">
        <f t="shared" si="453"/>
        <v>167.81085328699996</v>
      </c>
      <c r="EZ33" s="648">
        <f>EZ31+EZ32+EZ28</f>
        <v>160.254587899</v>
      </c>
      <c r="FA33" s="650">
        <f t="shared" ref="FA33:FM33" si="454">FA31+FA32+FA28</f>
        <v>186.93171561499994</v>
      </c>
      <c r="FB33" s="648">
        <f t="shared" si="454"/>
        <v>196.31673646600004</v>
      </c>
      <c r="FC33" s="648">
        <f t="shared" si="454"/>
        <v>166.73364751599999</v>
      </c>
      <c r="FD33" s="648">
        <f t="shared" si="454"/>
        <v>179.96753202899995</v>
      </c>
      <c r="FE33" s="648">
        <f t="shared" si="454"/>
        <v>176.66254676200003</v>
      </c>
      <c r="FF33" s="648">
        <f t="shared" si="454"/>
        <v>180.59980293099997</v>
      </c>
      <c r="FG33" s="648">
        <f t="shared" si="454"/>
        <v>168.96940490800006</v>
      </c>
      <c r="FH33" s="648">
        <f t="shared" si="454"/>
        <v>177.73982580199998</v>
      </c>
      <c r="FI33" s="648">
        <f t="shared" si="454"/>
        <v>189.10691538999998</v>
      </c>
      <c r="FJ33" s="648">
        <f t="shared" si="454"/>
        <v>183.43747851099999</v>
      </c>
      <c r="FK33" s="648">
        <f t="shared" si="454"/>
        <v>199.07887858000007</v>
      </c>
      <c r="FL33" s="648">
        <f t="shared" si="454"/>
        <v>196.15523104000005</v>
      </c>
      <c r="FM33" s="650">
        <f t="shared" si="454"/>
        <v>229.27824257</v>
      </c>
      <c r="FN33" s="648">
        <f t="shared" ref="FN33:FY33" si="455">FN31+FN32+FN28</f>
        <v>230.40593817999999</v>
      </c>
      <c r="FO33" s="648">
        <f t="shared" si="455"/>
        <v>199.51115106584905</v>
      </c>
      <c r="FP33" s="648">
        <f t="shared" si="455"/>
        <v>217.3</v>
      </c>
      <c r="FQ33" s="648">
        <f t="shared" si="455"/>
        <v>211.73203611</v>
      </c>
      <c r="FR33" s="648">
        <f t="shared" si="455"/>
        <v>210.80384358000001</v>
      </c>
      <c r="FS33" s="648">
        <f t="shared" si="455"/>
        <v>193.38729336999998</v>
      </c>
      <c r="FT33" s="648">
        <f t="shared" si="455"/>
        <v>201.06211236999999</v>
      </c>
      <c r="FU33" s="648">
        <f t="shared" si="455"/>
        <v>211.94306982000001</v>
      </c>
      <c r="FV33" s="648">
        <f t="shared" si="455"/>
        <v>215.98828033000001</v>
      </c>
      <c r="FW33" s="648">
        <f t="shared" si="455"/>
        <v>230.5</v>
      </c>
      <c r="FX33" s="648">
        <f t="shared" si="455"/>
        <v>230.0738624</v>
      </c>
      <c r="FY33" s="650">
        <f t="shared" si="455"/>
        <v>256.88730901000002</v>
      </c>
      <c r="FZ33" s="648">
        <f t="shared" ref="FZ33:GK33" si="456">FZ31+FZ32+FZ28</f>
        <v>261.23755036</v>
      </c>
      <c r="GA33" s="648">
        <f t="shared" si="456"/>
        <v>236.46379712000001</v>
      </c>
      <c r="GB33" s="648">
        <f>GB31+GB32+GB28</f>
        <v>246.6412732</v>
      </c>
      <c r="GC33" s="648">
        <f t="shared" si="456"/>
        <v>234.23490415999999</v>
      </c>
      <c r="GD33" s="648">
        <f t="shared" si="456"/>
        <v>241.31141599</v>
      </c>
      <c r="GE33" s="648">
        <f t="shared" si="456"/>
        <v>233.70730269000001</v>
      </c>
      <c r="GF33" s="648">
        <f t="shared" si="456"/>
        <v>245.76113942000001</v>
      </c>
      <c r="GG33" s="648">
        <f t="shared" si="456"/>
        <v>245.94210770999999</v>
      </c>
      <c r="GH33" s="648">
        <f t="shared" si="456"/>
        <v>260.67745172999997</v>
      </c>
      <c r="GI33" s="648">
        <f t="shared" si="456"/>
        <v>272.08581999</v>
      </c>
      <c r="GJ33" s="648">
        <f t="shared" si="456"/>
        <v>256.43749136999998</v>
      </c>
      <c r="GK33" s="650">
        <f t="shared" si="456"/>
        <v>305.23707515000001</v>
      </c>
      <c r="GL33" s="648">
        <f>GL31+GL32+GL28</f>
        <v>299.59383597999999</v>
      </c>
      <c r="GM33" s="648">
        <f>GM31+GM32+GM28</f>
        <v>261.47111669999998</v>
      </c>
      <c r="GN33" s="648">
        <f>GN31+GN32+GN28</f>
        <v>284.88485968999998</v>
      </c>
      <c r="GO33" s="648">
        <f t="shared" ref="GO33:GW33" si="457">GO31+GO32+GO28</f>
        <v>270.20718066000001</v>
      </c>
      <c r="GP33" s="648">
        <f t="shared" si="457"/>
        <v>273.01832259000003</v>
      </c>
      <c r="GQ33" s="648">
        <f t="shared" si="457"/>
        <v>0</v>
      </c>
      <c r="GR33" s="648">
        <f t="shared" si="457"/>
        <v>0</v>
      </c>
      <c r="GS33" s="648">
        <f t="shared" si="457"/>
        <v>0</v>
      </c>
      <c r="GT33" s="648">
        <f t="shared" si="457"/>
        <v>0</v>
      </c>
      <c r="GU33" s="648">
        <f t="shared" si="457"/>
        <v>0</v>
      </c>
      <c r="GV33" s="648">
        <f t="shared" si="457"/>
        <v>0</v>
      </c>
      <c r="GW33" s="650">
        <f t="shared" si="457"/>
        <v>0</v>
      </c>
      <c r="HC33" s="653" t="s">
        <v>455</v>
      </c>
      <c r="HD33" s="648">
        <f>HD31+HD32+HD28</f>
        <v>273.01832259000003</v>
      </c>
      <c r="HE33" s="811">
        <f t="shared" si="237"/>
        <v>0.13139414258508997</v>
      </c>
      <c r="HF33" s="811">
        <f t="shared" si="239"/>
        <v>1.0403653682087954E-2</v>
      </c>
      <c r="HG33" s="648">
        <f>HG31+HG32+HG28</f>
        <v>1389.1753156200002</v>
      </c>
      <c r="HH33" s="648">
        <f>HH31+HH32+HH28</f>
        <v>1219.8889408299999</v>
      </c>
      <c r="HI33" s="774">
        <f t="shared" si="238"/>
        <v>0.13877195630187411</v>
      </c>
    </row>
    <row r="34" spans="1:217">
      <c r="A34" s="659" t="s">
        <v>457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7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7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7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7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  <c r="BI34" s="127"/>
      <c r="BJ34" s="126"/>
      <c r="BK34" s="126"/>
      <c r="BL34" s="126"/>
      <c r="BM34" s="126"/>
      <c r="BN34" s="126"/>
      <c r="BO34" s="126"/>
      <c r="BP34" s="126"/>
      <c r="BQ34" s="126"/>
      <c r="BR34" s="126"/>
      <c r="BS34" s="126"/>
      <c r="BT34" s="126"/>
      <c r="BU34" s="127"/>
      <c r="BV34" s="126"/>
      <c r="BW34" s="126"/>
      <c r="BX34" s="126"/>
      <c r="BY34" s="126"/>
      <c r="BZ34" s="126"/>
      <c r="CA34" s="126"/>
      <c r="CB34" s="126"/>
      <c r="CC34" s="126"/>
      <c r="CD34" s="126"/>
      <c r="CE34" s="126"/>
      <c r="CF34" s="126"/>
      <c r="CG34" s="127"/>
      <c r="CH34" s="126"/>
      <c r="CI34" s="126"/>
      <c r="CJ34" s="126"/>
      <c r="CK34" s="126"/>
      <c r="CL34" s="126"/>
      <c r="CM34" s="126"/>
      <c r="CN34" s="126"/>
      <c r="CO34" s="126"/>
      <c r="CP34" s="126"/>
      <c r="CQ34" s="126"/>
      <c r="CR34" s="126"/>
      <c r="CS34" s="127"/>
      <c r="CT34" s="126"/>
      <c r="CU34" s="126"/>
      <c r="CV34" s="126"/>
      <c r="CW34" s="126"/>
      <c r="CX34" s="126"/>
      <c r="CY34" s="126"/>
      <c r="CZ34" s="126"/>
      <c r="DA34" s="126"/>
      <c r="DB34" s="126"/>
      <c r="DC34" s="126"/>
      <c r="DD34" s="126"/>
      <c r="DE34" s="127"/>
      <c r="DF34" s="126"/>
      <c r="DG34" s="126"/>
      <c r="DH34" s="126"/>
      <c r="DI34" s="126"/>
      <c r="DJ34" s="126"/>
      <c r="DK34" s="126"/>
      <c r="DL34" s="126"/>
      <c r="DM34" s="126"/>
      <c r="DN34" s="126"/>
      <c r="DO34" s="126"/>
      <c r="DP34" s="126"/>
      <c r="DQ34" s="127"/>
      <c r="DR34" s="126"/>
      <c r="DS34" s="126"/>
      <c r="DT34" s="126"/>
      <c r="DU34" s="126"/>
      <c r="DV34" s="126"/>
      <c r="DW34" s="126"/>
      <c r="DX34" s="126"/>
      <c r="DY34" s="126"/>
      <c r="DZ34" s="126"/>
      <c r="EA34" s="126"/>
      <c r="EB34" s="126"/>
      <c r="EC34" s="127"/>
      <c r="ED34" s="126"/>
      <c r="EE34" s="126"/>
      <c r="EF34" s="126"/>
      <c r="EG34" s="126"/>
      <c r="EH34" s="126"/>
      <c r="EI34" s="126"/>
      <c r="EJ34" s="126"/>
      <c r="EK34" s="126"/>
      <c r="EL34" s="126"/>
      <c r="EM34" s="126"/>
      <c r="EN34" s="126"/>
      <c r="EO34" s="127"/>
      <c r="EP34" s="126"/>
      <c r="EQ34" s="126"/>
      <c r="ER34" s="126"/>
      <c r="ES34" s="126"/>
      <c r="ET34" s="126"/>
      <c r="EU34" s="126"/>
      <c r="EV34" s="126"/>
      <c r="EW34" s="126"/>
      <c r="EX34" s="126"/>
      <c r="EY34" s="126"/>
      <c r="EZ34" s="126"/>
      <c r="FA34" s="127"/>
      <c r="FB34" s="126"/>
      <c r="FC34" s="126"/>
      <c r="FD34" s="126"/>
      <c r="FE34" s="126"/>
      <c r="FF34" s="126"/>
      <c r="FG34" s="126"/>
      <c r="FH34" s="126"/>
      <c r="FI34" s="126"/>
      <c r="FJ34" s="126"/>
      <c r="FK34" s="126"/>
      <c r="FL34" s="126"/>
      <c r="FM34" s="127"/>
      <c r="FN34" s="126"/>
      <c r="FO34" s="126"/>
      <c r="FP34" s="126"/>
      <c r="FQ34" s="126"/>
      <c r="FR34" s="126"/>
      <c r="FS34" s="126"/>
      <c r="FT34" s="126"/>
      <c r="FU34" s="126"/>
      <c r="FV34" s="126"/>
      <c r="FW34" s="126"/>
      <c r="FX34" s="126"/>
      <c r="FY34" s="127"/>
      <c r="FZ34" s="126"/>
      <c r="GA34" s="126"/>
      <c r="GB34" s="126"/>
      <c r="GC34" s="126"/>
      <c r="GD34" s="126"/>
      <c r="GE34" s="126"/>
      <c r="GF34" s="126"/>
      <c r="GG34" s="126"/>
      <c r="GH34" s="126"/>
      <c r="GI34" s="126"/>
      <c r="GJ34" s="126"/>
      <c r="GK34" s="127"/>
      <c r="GL34" s="126"/>
      <c r="GM34" s="126"/>
      <c r="GN34" s="126"/>
      <c r="GO34" s="126"/>
      <c r="GP34" s="126"/>
      <c r="GQ34" s="126"/>
      <c r="GR34" s="126"/>
      <c r="GS34" s="126"/>
      <c r="GT34" s="126"/>
      <c r="GU34" s="126"/>
      <c r="GV34" s="126"/>
      <c r="GW34" s="127"/>
      <c r="HC34" s="659" t="s">
        <v>457</v>
      </c>
      <c r="HD34" s="126"/>
      <c r="HE34" s="126"/>
      <c r="HF34" s="126"/>
      <c r="HG34" s="126"/>
      <c r="HH34" s="126"/>
      <c r="HI34" s="127"/>
    </row>
    <row r="35" spans="1:217" ht="18" customHeight="1">
      <c r="A35" s="660" t="s">
        <v>453</v>
      </c>
      <c r="B35" s="73">
        <f>B24+B33+B19</f>
        <v>31.573046532644771</v>
      </c>
      <c r="C35" s="73">
        <f t="shared" ref="C35:BN35" si="458">C24+C33+C19</f>
        <v>32.967633276565827</v>
      </c>
      <c r="D35" s="73">
        <f t="shared" si="458"/>
        <v>38.659956970092452</v>
      </c>
      <c r="E35" s="73">
        <f t="shared" si="458"/>
        <v>39.618656437291953</v>
      </c>
      <c r="F35" s="73">
        <f t="shared" si="458"/>
        <v>41.364035223973893</v>
      </c>
      <c r="G35" s="73">
        <f t="shared" si="458"/>
        <v>31.688618329262514</v>
      </c>
      <c r="H35" s="73">
        <f t="shared" si="458"/>
        <v>28.635268606067559</v>
      </c>
      <c r="I35" s="73">
        <f t="shared" si="458"/>
        <v>32.839473889584035</v>
      </c>
      <c r="J35" s="73">
        <f t="shared" si="458"/>
        <v>43.225538504679776</v>
      </c>
      <c r="K35" s="73">
        <f t="shared" si="458"/>
        <v>46.32514315384762</v>
      </c>
      <c r="L35" s="73">
        <f t="shared" si="458"/>
        <v>46.149145002872118</v>
      </c>
      <c r="M35" s="661">
        <f t="shared" si="458"/>
        <v>44.728883543193916</v>
      </c>
      <c r="N35" s="73">
        <f t="shared" si="458"/>
        <v>57.883933999999996</v>
      </c>
      <c r="O35" s="73">
        <f t="shared" si="458"/>
        <v>53.123789000000002</v>
      </c>
      <c r="P35" s="73">
        <f t="shared" si="458"/>
        <v>62.103158999999998</v>
      </c>
      <c r="Q35" s="73">
        <f t="shared" si="458"/>
        <v>56.175055999999998</v>
      </c>
      <c r="R35" s="73">
        <f t="shared" si="458"/>
        <v>49.825837999999997</v>
      </c>
      <c r="S35" s="73">
        <f t="shared" si="458"/>
        <v>56.597825</v>
      </c>
      <c r="T35" s="73">
        <f t="shared" si="458"/>
        <v>44.921939999999999</v>
      </c>
      <c r="U35" s="73">
        <f t="shared" si="458"/>
        <v>45.942388999999999</v>
      </c>
      <c r="V35" s="73">
        <f t="shared" si="458"/>
        <v>58.200156999999997</v>
      </c>
      <c r="W35" s="73">
        <f t="shared" si="458"/>
        <v>42.617142999999999</v>
      </c>
      <c r="X35" s="73">
        <f t="shared" si="458"/>
        <v>60.136967999999996</v>
      </c>
      <c r="Y35" s="661">
        <f t="shared" si="458"/>
        <v>46.001317</v>
      </c>
      <c r="Z35" s="73">
        <f t="shared" si="458"/>
        <v>60.238478000000001</v>
      </c>
      <c r="AA35" s="73">
        <f t="shared" si="458"/>
        <v>68.841499999999996</v>
      </c>
      <c r="AB35" s="73">
        <f t="shared" si="458"/>
        <v>59.103140999999994</v>
      </c>
      <c r="AC35" s="73">
        <f t="shared" si="458"/>
        <v>57.982707000000005</v>
      </c>
      <c r="AD35" s="73">
        <f t="shared" si="458"/>
        <v>40.753518999999997</v>
      </c>
      <c r="AE35" s="73">
        <f t="shared" si="458"/>
        <v>39.202662000000004</v>
      </c>
      <c r="AF35" s="73">
        <f t="shared" si="458"/>
        <v>37.926608000000002</v>
      </c>
      <c r="AG35" s="73">
        <f t="shared" si="458"/>
        <v>52.384656999999997</v>
      </c>
      <c r="AH35" s="73">
        <f t="shared" si="458"/>
        <v>63.434735000000003</v>
      </c>
      <c r="AI35" s="73">
        <f t="shared" si="458"/>
        <v>77.585680999999994</v>
      </c>
      <c r="AJ35" s="73">
        <f t="shared" si="458"/>
        <v>73.193679000000003</v>
      </c>
      <c r="AK35" s="661">
        <f t="shared" si="458"/>
        <v>66.651083</v>
      </c>
      <c r="AL35" s="73">
        <f t="shared" si="458"/>
        <v>62.642567000000007</v>
      </c>
      <c r="AM35" s="73">
        <f t="shared" si="458"/>
        <v>76.506918999999996</v>
      </c>
      <c r="AN35" s="73">
        <f t="shared" si="458"/>
        <v>71.071514996699989</v>
      </c>
      <c r="AO35" s="73">
        <f t="shared" si="458"/>
        <v>64.970947994699998</v>
      </c>
      <c r="AP35" s="73">
        <f t="shared" si="458"/>
        <v>54.071234959999998</v>
      </c>
      <c r="AQ35" s="73">
        <f t="shared" si="458"/>
        <v>49.044635</v>
      </c>
      <c r="AR35" s="73">
        <f t="shared" si="458"/>
        <v>49.487165999999995</v>
      </c>
      <c r="AS35" s="73">
        <f t="shared" si="458"/>
        <v>46.392561000000001</v>
      </c>
      <c r="AT35" s="73">
        <f t="shared" si="458"/>
        <v>44.840381000000001</v>
      </c>
      <c r="AU35" s="73">
        <f t="shared" si="458"/>
        <v>66.404319000000001</v>
      </c>
      <c r="AV35" s="73">
        <f t="shared" si="458"/>
        <v>68.796786999999995</v>
      </c>
      <c r="AW35" s="661">
        <f t="shared" si="458"/>
        <v>63.012571999999999</v>
      </c>
      <c r="AX35" s="73">
        <f t="shared" si="458"/>
        <v>56.839999999999996</v>
      </c>
      <c r="AY35" s="73">
        <f t="shared" si="458"/>
        <v>67.820000000000007</v>
      </c>
      <c r="AZ35" s="73">
        <f t="shared" si="458"/>
        <v>65.5</v>
      </c>
      <c r="BA35" s="73">
        <f t="shared" si="458"/>
        <v>61.63</v>
      </c>
      <c r="BB35" s="73">
        <f t="shared" si="458"/>
        <v>51.120000000000005</v>
      </c>
      <c r="BC35" s="73">
        <f t="shared" si="458"/>
        <v>47.84</v>
      </c>
      <c r="BD35" s="73">
        <f t="shared" si="458"/>
        <v>48.61</v>
      </c>
      <c r="BE35" s="73">
        <f t="shared" si="458"/>
        <v>47</v>
      </c>
      <c r="BF35" s="73">
        <f t="shared" si="458"/>
        <v>45.37</v>
      </c>
      <c r="BG35" s="73">
        <f t="shared" si="458"/>
        <v>68.13</v>
      </c>
      <c r="BH35" s="73">
        <f t="shared" si="458"/>
        <v>68.5</v>
      </c>
      <c r="BI35" s="661">
        <f t="shared" si="458"/>
        <v>69.63</v>
      </c>
      <c r="BJ35" s="73">
        <f t="shared" si="458"/>
        <v>55.76</v>
      </c>
      <c r="BK35" s="73">
        <f t="shared" si="458"/>
        <v>61.61</v>
      </c>
      <c r="BL35" s="73">
        <f t="shared" si="458"/>
        <v>61.39</v>
      </c>
      <c r="BM35" s="73">
        <f t="shared" si="458"/>
        <v>60.410000000000004</v>
      </c>
      <c r="BN35" s="73">
        <f t="shared" si="458"/>
        <v>49.15</v>
      </c>
      <c r="BO35" s="73">
        <f t="shared" ref="BO35:DZ35" si="459">BO24+BO33+BO19</f>
        <v>47</v>
      </c>
      <c r="BP35" s="73">
        <f t="shared" si="459"/>
        <v>48.14</v>
      </c>
      <c r="BQ35" s="73">
        <f t="shared" si="459"/>
        <v>47.389999999999993</v>
      </c>
      <c r="BR35" s="73">
        <f t="shared" si="459"/>
        <v>46.71</v>
      </c>
      <c r="BS35" s="73">
        <f t="shared" si="459"/>
        <v>68.789999999999992</v>
      </c>
      <c r="BT35" s="73">
        <f t="shared" si="459"/>
        <v>66.97</v>
      </c>
      <c r="BU35" s="661">
        <f t="shared" si="459"/>
        <v>71.7</v>
      </c>
      <c r="BV35" s="73">
        <f t="shared" si="459"/>
        <v>63.2</v>
      </c>
      <c r="BW35" s="73">
        <f t="shared" si="459"/>
        <v>62.2</v>
      </c>
      <c r="BX35" s="73">
        <f t="shared" si="459"/>
        <v>64.849999999999994</v>
      </c>
      <c r="BY35" s="73">
        <f t="shared" si="459"/>
        <v>67.95</v>
      </c>
      <c r="BZ35" s="73">
        <f t="shared" si="459"/>
        <v>54.44</v>
      </c>
      <c r="CA35" s="73">
        <f t="shared" si="459"/>
        <v>53.51</v>
      </c>
      <c r="CB35" s="73">
        <f t="shared" si="459"/>
        <v>55.289999999999992</v>
      </c>
      <c r="CC35" s="73">
        <f t="shared" si="459"/>
        <v>55.14</v>
      </c>
      <c r="CD35" s="73">
        <f t="shared" si="459"/>
        <v>56.46</v>
      </c>
      <c r="CE35" s="73">
        <f t="shared" si="459"/>
        <v>79.91</v>
      </c>
      <c r="CF35" s="73">
        <f t="shared" si="459"/>
        <v>75.73</v>
      </c>
      <c r="CG35" s="661">
        <f t="shared" si="459"/>
        <v>85.35</v>
      </c>
      <c r="CH35" s="73">
        <f t="shared" si="459"/>
        <v>84.994</v>
      </c>
      <c r="CI35" s="73">
        <f t="shared" si="459"/>
        <v>76.513999999999996</v>
      </c>
      <c r="CJ35" s="73">
        <f t="shared" si="459"/>
        <v>95.86699999999999</v>
      </c>
      <c r="CK35" s="73">
        <f t="shared" si="459"/>
        <v>73.897999999999996</v>
      </c>
      <c r="CL35" s="73">
        <f t="shared" si="459"/>
        <v>71.62</v>
      </c>
      <c r="CM35" s="73">
        <f t="shared" si="459"/>
        <v>71.185999999999993</v>
      </c>
      <c r="CN35" s="73">
        <f t="shared" si="459"/>
        <v>74.835999999999999</v>
      </c>
      <c r="CO35" s="73">
        <f t="shared" si="459"/>
        <v>66.221000000000004</v>
      </c>
      <c r="CP35" s="73">
        <f t="shared" si="459"/>
        <v>90.808999999999997</v>
      </c>
      <c r="CQ35" s="73">
        <f t="shared" si="459"/>
        <v>90.050000000000011</v>
      </c>
      <c r="CR35" s="73">
        <f t="shared" si="459"/>
        <v>79.919999999999987</v>
      </c>
      <c r="CS35" s="661">
        <f t="shared" si="459"/>
        <v>86.789999999999992</v>
      </c>
      <c r="CT35" s="73">
        <f t="shared" si="459"/>
        <v>112.5</v>
      </c>
      <c r="CU35" s="73">
        <f t="shared" si="459"/>
        <v>74.67</v>
      </c>
      <c r="CV35" s="73">
        <f t="shared" si="459"/>
        <v>91.75</v>
      </c>
      <c r="CW35" s="73">
        <f t="shared" si="459"/>
        <v>116.31</v>
      </c>
      <c r="CX35" s="73">
        <f t="shared" si="459"/>
        <v>89.93</v>
      </c>
      <c r="CY35" s="73">
        <f t="shared" si="459"/>
        <v>90.36</v>
      </c>
      <c r="CZ35" s="73">
        <f t="shared" si="459"/>
        <v>95.78</v>
      </c>
      <c r="DA35" s="73">
        <f t="shared" si="459"/>
        <v>96.960000000000008</v>
      </c>
      <c r="DB35" s="73">
        <f t="shared" si="459"/>
        <v>113.31</v>
      </c>
      <c r="DC35" s="73">
        <f t="shared" si="459"/>
        <v>145.01999999999998</v>
      </c>
      <c r="DD35" s="73">
        <f t="shared" si="459"/>
        <v>125.48</v>
      </c>
      <c r="DE35" s="661">
        <f t="shared" si="459"/>
        <v>157.87</v>
      </c>
      <c r="DF35" s="73">
        <f t="shared" si="459"/>
        <v>138.85999999999999</v>
      </c>
      <c r="DG35" s="73">
        <f t="shared" si="459"/>
        <v>121.80289645000002</v>
      </c>
      <c r="DH35" s="73">
        <f t="shared" si="459"/>
        <v>128.99544600000002</v>
      </c>
      <c r="DI35" s="73">
        <f t="shared" si="459"/>
        <v>131.06648765</v>
      </c>
      <c r="DJ35" s="73">
        <f t="shared" si="459"/>
        <v>112.39912699999999</v>
      </c>
      <c r="DK35" s="73">
        <f t="shared" si="459"/>
        <v>116.13342586000003</v>
      </c>
      <c r="DL35" s="73">
        <f t="shared" si="459"/>
        <v>120.5272148</v>
      </c>
      <c r="DM35" s="73">
        <f t="shared" si="459"/>
        <v>119.12691335</v>
      </c>
      <c r="DN35" s="73">
        <f t="shared" si="459"/>
        <v>132.55561602</v>
      </c>
      <c r="DO35" s="73">
        <f t="shared" si="459"/>
        <v>136.600741</v>
      </c>
      <c r="DP35" s="73">
        <f t="shared" si="459"/>
        <v>137.21583558</v>
      </c>
      <c r="DQ35" s="661">
        <f t="shared" si="459"/>
        <v>133.646263</v>
      </c>
      <c r="DR35" s="73">
        <f t="shared" si="459"/>
        <v>150.62554296113075</v>
      </c>
      <c r="DS35" s="73">
        <f t="shared" si="459"/>
        <v>147.48045382738783</v>
      </c>
      <c r="DT35" s="73">
        <f t="shared" si="459"/>
        <v>142.78693123707109</v>
      </c>
      <c r="DU35" s="73">
        <f t="shared" si="459"/>
        <v>160.05536483995942</v>
      </c>
      <c r="DV35" s="73">
        <f t="shared" si="459"/>
        <v>142.68000489971698</v>
      </c>
      <c r="DW35" s="73">
        <f t="shared" si="459"/>
        <v>119.56849691544055</v>
      </c>
      <c r="DX35" s="73">
        <f t="shared" si="459"/>
        <v>126.19937724717101</v>
      </c>
      <c r="DY35" s="73">
        <f t="shared" si="459"/>
        <v>138.40461040265896</v>
      </c>
      <c r="DZ35" s="73">
        <f t="shared" si="459"/>
        <v>149.57573756652002</v>
      </c>
      <c r="EA35" s="73">
        <f t="shared" ref="EA35:FY35" si="460">EA24+EA33+EA19</f>
        <v>139.16529131876837</v>
      </c>
      <c r="EB35" s="73">
        <f t="shared" si="460"/>
        <v>149.32841498237298</v>
      </c>
      <c r="EC35" s="661">
        <f t="shared" si="460"/>
        <v>196.15221292051896</v>
      </c>
      <c r="ED35" s="73">
        <f t="shared" si="460"/>
        <v>197.46827686082105</v>
      </c>
      <c r="EE35" s="73">
        <f t="shared" si="460"/>
        <v>183.26058622494099</v>
      </c>
      <c r="EF35" s="73">
        <f t="shared" si="460"/>
        <v>180.22274611430399</v>
      </c>
      <c r="EG35" s="73">
        <f t="shared" si="460"/>
        <v>164.33262266871196</v>
      </c>
      <c r="EH35" s="73">
        <f t="shared" si="460"/>
        <v>177.07169734039005</v>
      </c>
      <c r="EI35" s="73">
        <f t="shared" si="460"/>
        <v>187.14753368961894</v>
      </c>
      <c r="EJ35" s="73">
        <f t="shared" si="460"/>
        <v>201.73082588174799</v>
      </c>
      <c r="EK35" s="73">
        <f t="shared" si="460"/>
        <v>184.70526468673199</v>
      </c>
      <c r="EL35" s="73">
        <f t="shared" si="460"/>
        <v>189.642179634858</v>
      </c>
      <c r="EM35" s="73">
        <f t="shared" si="460"/>
        <v>252.51641462462393</v>
      </c>
      <c r="EN35" s="73">
        <f t="shared" si="460"/>
        <v>268.93001488611799</v>
      </c>
      <c r="EO35" s="661">
        <f t="shared" si="460"/>
        <v>370.01696753208597</v>
      </c>
      <c r="EP35" s="73">
        <f t="shared" si="460"/>
        <v>347.47676182599997</v>
      </c>
      <c r="EQ35" s="73">
        <f t="shared" si="460"/>
        <v>359.8494065910001</v>
      </c>
      <c r="ER35" s="73">
        <f t="shared" si="460"/>
        <v>325.12302682799992</v>
      </c>
      <c r="ES35" s="73">
        <f t="shared" si="460"/>
        <v>298.16307458599999</v>
      </c>
      <c r="ET35" s="73">
        <f t="shared" si="460"/>
        <v>337.59137311199993</v>
      </c>
      <c r="EU35" s="73">
        <f t="shared" si="460"/>
        <v>270.33107461500003</v>
      </c>
      <c r="EV35" s="73">
        <f t="shared" si="460"/>
        <v>214.219131202</v>
      </c>
      <c r="EW35" s="73">
        <f t="shared" si="460"/>
        <v>239.73505398000006</v>
      </c>
      <c r="EX35" s="73">
        <f t="shared" si="460"/>
        <v>284.94992002499998</v>
      </c>
      <c r="EY35" s="73">
        <f t="shared" si="460"/>
        <v>253.20454301699993</v>
      </c>
      <c r="EZ35" s="73">
        <f t="shared" si="460"/>
        <v>312.80977147900006</v>
      </c>
      <c r="FA35" s="661">
        <f t="shared" si="460"/>
        <v>321.96244150499996</v>
      </c>
      <c r="FB35" s="73">
        <f t="shared" si="460"/>
        <v>334.47921965600005</v>
      </c>
      <c r="FC35" s="73">
        <f t="shared" si="460"/>
        <v>296.878243946</v>
      </c>
      <c r="FD35" s="73">
        <f t="shared" si="460"/>
        <v>315.88585828899994</v>
      </c>
      <c r="FE35" s="73">
        <f t="shared" si="460"/>
        <v>303.93501908200011</v>
      </c>
      <c r="FF35" s="73">
        <f t="shared" si="460"/>
        <v>286.60439341099999</v>
      </c>
      <c r="FG35" s="73">
        <f t="shared" si="460"/>
        <v>250.60577505800006</v>
      </c>
      <c r="FH35" s="73">
        <f t="shared" si="460"/>
        <v>265.88815815199996</v>
      </c>
      <c r="FI35" s="73">
        <f t="shared" si="460"/>
        <v>305.92444888999995</v>
      </c>
      <c r="FJ35" s="73">
        <f t="shared" si="460"/>
        <v>341.88338023099999</v>
      </c>
      <c r="FK35" s="73">
        <f t="shared" si="460"/>
        <v>341.22985315000005</v>
      </c>
      <c r="FL35" s="73">
        <f t="shared" si="460"/>
        <v>333.58425186000005</v>
      </c>
      <c r="FM35" s="661">
        <f t="shared" si="460"/>
        <v>328.11304843000005</v>
      </c>
      <c r="FN35" s="73">
        <f t="shared" si="460"/>
        <v>422.59408465999996</v>
      </c>
      <c r="FO35" s="73">
        <f t="shared" si="460"/>
        <v>338.65830570584905</v>
      </c>
      <c r="FP35" s="73">
        <f t="shared" si="460"/>
        <v>374.81452636999995</v>
      </c>
      <c r="FQ35" s="73">
        <f t="shared" si="460"/>
        <v>376.77705951000002</v>
      </c>
      <c r="FR35" s="73">
        <f t="shared" si="460"/>
        <v>347.96245579999999</v>
      </c>
      <c r="FS35" s="73">
        <f t="shared" si="460"/>
        <v>291.86268518999998</v>
      </c>
      <c r="FT35" s="73">
        <f t="shared" si="460"/>
        <v>299.22811623000001</v>
      </c>
      <c r="FU35" s="73">
        <f t="shared" si="460"/>
        <v>330.15589789000001</v>
      </c>
      <c r="FV35" s="73">
        <f t="shared" si="460"/>
        <v>338.27809173999998</v>
      </c>
      <c r="FW35" s="73">
        <f t="shared" si="460"/>
        <v>301.37507084999999</v>
      </c>
      <c r="FX35" s="73">
        <f t="shared" si="460"/>
        <v>394.26669254000001</v>
      </c>
      <c r="FY35" s="661">
        <f t="shared" si="460"/>
        <v>406.64721606000001</v>
      </c>
      <c r="FZ35" s="73">
        <f>FZ24+FZ33+FZ19</f>
        <v>364.40374410999999</v>
      </c>
      <c r="GA35" s="73">
        <f t="shared" ref="GA35:GJ35" si="461">GA24+GA33+GA19</f>
        <v>397.21397195999998</v>
      </c>
      <c r="GB35" s="73">
        <f>GB24+GB33+GB19</f>
        <v>404.96561268000005</v>
      </c>
      <c r="GC35" s="73">
        <f t="shared" si="461"/>
        <v>392.51628564000004</v>
      </c>
      <c r="GD35" s="73">
        <f t="shared" si="461"/>
        <v>397.75988552999996</v>
      </c>
      <c r="GE35" s="73">
        <f t="shared" si="461"/>
        <v>371.85961755</v>
      </c>
      <c r="GF35" s="73">
        <f t="shared" si="461"/>
        <v>363.76017638000002</v>
      </c>
      <c r="GG35" s="73">
        <f t="shared" si="461"/>
        <v>403.17154126000003</v>
      </c>
      <c r="GH35" s="73">
        <f t="shared" si="461"/>
        <v>388.77607735999993</v>
      </c>
      <c r="GI35" s="73">
        <f t="shared" si="461"/>
        <v>449.16603635999996</v>
      </c>
      <c r="GJ35" s="73">
        <f t="shared" si="461"/>
        <v>428.71655850999997</v>
      </c>
      <c r="GK35" s="661">
        <f>GK24+GK33+GK19</f>
        <v>479.35404520000003</v>
      </c>
      <c r="GL35" s="73">
        <f>GL24+GL33+GL19</f>
        <v>475.14841945000001</v>
      </c>
      <c r="GM35" s="73">
        <f t="shared" ref="GM35" si="462">GM24+GM33+GM19</f>
        <v>467.21127000999996</v>
      </c>
      <c r="GN35" s="73">
        <f>GN24+GN33+GN19</f>
        <v>433.77515429999994</v>
      </c>
      <c r="GO35" s="73">
        <f t="shared" ref="GO35:GV35" si="463">GO24+GO33+GO19</f>
        <v>453.12410159000001</v>
      </c>
      <c r="GP35" s="73">
        <f t="shared" si="463"/>
        <v>415.11832259000005</v>
      </c>
      <c r="GQ35" s="73">
        <f t="shared" si="463"/>
        <v>0</v>
      </c>
      <c r="GR35" s="73">
        <f t="shared" si="463"/>
        <v>0</v>
      </c>
      <c r="GS35" s="73">
        <f t="shared" si="463"/>
        <v>0</v>
      </c>
      <c r="GT35" s="73">
        <f t="shared" si="463"/>
        <v>0</v>
      </c>
      <c r="GU35" s="73">
        <f t="shared" si="463"/>
        <v>0</v>
      </c>
      <c r="GV35" s="73">
        <f t="shared" si="463"/>
        <v>0</v>
      </c>
      <c r="GW35" s="661">
        <f>GW24+GW33+GW19</f>
        <v>0</v>
      </c>
      <c r="HC35" s="660"/>
      <c r="HD35" s="73"/>
      <c r="HE35" s="73"/>
      <c r="HF35" s="73"/>
      <c r="HG35" s="73"/>
      <c r="HH35" s="73"/>
      <c r="HI35" s="661"/>
    </row>
    <row r="36" spans="1:217" ht="16" thickBot="1">
      <c r="A36" s="217"/>
      <c r="B36" s="657"/>
      <c r="C36" s="657"/>
      <c r="D36" s="657"/>
      <c r="E36" s="657"/>
      <c r="F36" s="657"/>
      <c r="G36" s="657"/>
      <c r="H36" s="657"/>
      <c r="I36" s="657"/>
      <c r="J36" s="657"/>
      <c r="K36" s="657"/>
      <c r="L36" s="657"/>
      <c r="M36" s="658"/>
      <c r="N36" s="657"/>
      <c r="O36" s="657"/>
      <c r="P36" s="657"/>
      <c r="Q36" s="657"/>
      <c r="R36" s="657"/>
      <c r="S36" s="657"/>
      <c r="T36" s="657"/>
      <c r="U36" s="657"/>
      <c r="V36" s="657"/>
      <c r="W36" s="657"/>
      <c r="X36" s="657"/>
      <c r="Y36" s="658"/>
      <c r="Z36" s="657"/>
      <c r="AA36" s="657"/>
      <c r="AB36" s="657"/>
      <c r="AC36" s="657"/>
      <c r="AD36" s="657"/>
      <c r="AE36" s="657"/>
      <c r="AF36" s="657"/>
      <c r="AG36" s="657"/>
      <c r="AH36" s="657"/>
      <c r="AI36" s="657"/>
      <c r="AJ36" s="657"/>
      <c r="AK36" s="658"/>
      <c r="AL36" s="657"/>
      <c r="AM36" s="657"/>
      <c r="AN36" s="657"/>
      <c r="AO36" s="657"/>
      <c r="AP36" s="657"/>
      <c r="AQ36" s="657"/>
      <c r="AR36" s="657"/>
      <c r="AS36" s="657"/>
      <c r="AT36" s="657"/>
      <c r="AU36" s="657"/>
      <c r="AV36" s="657"/>
      <c r="AW36" s="658"/>
      <c r="AX36" s="657"/>
      <c r="AY36" s="657"/>
      <c r="AZ36" s="657"/>
      <c r="BA36" s="657"/>
      <c r="BB36" s="657"/>
      <c r="BC36" s="657"/>
      <c r="BD36" s="657"/>
      <c r="BE36" s="657"/>
      <c r="BF36" s="657"/>
      <c r="BG36" s="657"/>
      <c r="BH36" s="657"/>
      <c r="BI36" s="658"/>
      <c r="BJ36" s="657"/>
      <c r="BK36" s="657"/>
      <c r="BL36" s="657"/>
      <c r="BM36" s="657"/>
      <c r="BN36" s="657"/>
      <c r="BO36" s="657"/>
      <c r="BP36" s="657"/>
      <c r="BQ36" s="657"/>
      <c r="BR36" s="657"/>
      <c r="BS36" s="657"/>
      <c r="BT36" s="657"/>
      <c r="BU36" s="658"/>
      <c r="BV36" s="657"/>
      <c r="BW36" s="657"/>
      <c r="BX36" s="657"/>
      <c r="BY36" s="657"/>
      <c r="BZ36" s="657"/>
      <c r="CA36" s="657"/>
      <c r="CB36" s="657"/>
      <c r="CC36" s="657"/>
      <c r="CD36" s="657"/>
      <c r="CE36" s="657"/>
      <c r="CF36" s="657"/>
      <c r="CG36" s="658"/>
      <c r="CH36" s="657"/>
      <c r="CI36" s="657"/>
      <c r="CJ36" s="657"/>
      <c r="CK36" s="657"/>
      <c r="CL36" s="657"/>
      <c r="CM36" s="657"/>
      <c r="CN36" s="657"/>
      <c r="CO36" s="657"/>
      <c r="CP36" s="657"/>
      <c r="CQ36" s="657"/>
      <c r="CR36" s="657"/>
      <c r="CS36" s="658"/>
      <c r="CT36" s="657"/>
      <c r="CU36" s="657"/>
      <c r="CV36" s="657"/>
      <c r="CW36" s="657"/>
      <c r="CX36" s="657"/>
      <c r="CY36" s="657"/>
      <c r="CZ36" s="657"/>
      <c r="DA36" s="657"/>
      <c r="DB36" s="657"/>
      <c r="DC36" s="657"/>
      <c r="DD36" s="657"/>
      <c r="DE36" s="658"/>
      <c r="DF36" s="657"/>
      <c r="DG36" s="657"/>
      <c r="DH36" s="657"/>
      <c r="DI36" s="657"/>
      <c r="DJ36" s="657"/>
      <c r="DK36" s="657"/>
      <c r="DL36" s="657"/>
      <c r="DM36" s="657"/>
      <c r="DN36" s="657"/>
      <c r="DO36" s="657"/>
      <c r="DP36" s="657"/>
      <c r="DQ36" s="658"/>
      <c r="DR36" s="657"/>
      <c r="DS36" s="657"/>
      <c r="DT36" s="657"/>
      <c r="DU36" s="657"/>
      <c r="DV36" s="657"/>
      <c r="DW36" s="657"/>
      <c r="DX36" s="657"/>
      <c r="DY36" s="657"/>
      <c r="DZ36" s="657"/>
      <c r="EA36" s="657"/>
      <c r="EB36" s="657"/>
      <c r="EC36" s="658"/>
      <c r="ED36" s="657"/>
      <c r="EE36" s="657"/>
      <c r="EF36" s="657"/>
      <c r="EG36" s="657"/>
      <c r="EH36" s="657"/>
      <c r="EI36" s="657"/>
      <c r="EJ36" s="657"/>
      <c r="EK36" s="657"/>
      <c r="EL36" s="657"/>
      <c r="EM36" s="657"/>
      <c r="EN36" s="657"/>
      <c r="EO36" s="658"/>
      <c r="EP36" s="657"/>
      <c r="EQ36" s="657"/>
      <c r="ER36" s="657"/>
      <c r="ES36" s="657"/>
      <c r="ET36" s="657"/>
      <c r="EU36" s="657"/>
      <c r="EV36" s="657"/>
      <c r="EW36" s="657"/>
      <c r="EX36" s="657"/>
      <c r="EY36" s="657"/>
      <c r="EZ36" s="657"/>
      <c r="FA36" s="658"/>
      <c r="FB36" s="657"/>
      <c r="FC36" s="657"/>
      <c r="FD36" s="657"/>
      <c r="FE36" s="657"/>
      <c r="FF36" s="657"/>
      <c r="FG36" s="657"/>
      <c r="FH36" s="657"/>
      <c r="FI36" s="657"/>
      <c r="FJ36" s="657"/>
      <c r="FK36" s="657"/>
      <c r="FL36" s="657"/>
      <c r="FM36" s="658"/>
      <c r="FN36" s="657"/>
      <c r="FO36" s="657"/>
      <c r="FP36" s="657"/>
      <c r="FQ36" s="657"/>
      <c r="FR36" s="657"/>
      <c r="FS36" s="657"/>
      <c r="FT36" s="657"/>
      <c r="FU36" s="657"/>
      <c r="FV36" s="657"/>
      <c r="FW36" s="657"/>
      <c r="FX36" s="657"/>
      <c r="FY36" s="658"/>
      <c r="FZ36" s="657"/>
      <c r="GA36" s="657"/>
      <c r="GB36" s="657"/>
      <c r="GC36" s="657"/>
      <c r="GD36" s="657"/>
      <c r="GE36" s="657"/>
      <c r="GF36" s="657"/>
      <c r="GG36" s="657"/>
      <c r="GH36" s="657"/>
      <c r="GI36" s="657"/>
      <c r="GJ36" s="657"/>
      <c r="GK36" s="658"/>
      <c r="GL36" s="657"/>
      <c r="GM36" s="657"/>
      <c r="GN36" s="657"/>
      <c r="GO36" s="657"/>
      <c r="GP36" s="657"/>
      <c r="GQ36" s="657"/>
      <c r="GR36" s="657"/>
      <c r="GS36" s="657"/>
      <c r="GT36" s="657"/>
      <c r="GU36" s="657"/>
      <c r="GV36" s="657"/>
      <c r="GW36" s="658"/>
      <c r="HC36" s="217"/>
      <c r="HD36" s="657"/>
      <c r="HE36" s="657"/>
      <c r="HF36" s="657"/>
      <c r="HG36" s="657"/>
      <c r="HH36" s="657"/>
      <c r="HI36" s="658"/>
    </row>
    <row r="37" spans="1:217">
      <c r="A37" s="99" t="s">
        <v>781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FN37" s="260"/>
      <c r="FO37" s="260"/>
      <c r="FP37" s="260"/>
      <c r="FQ37" s="260"/>
      <c r="FR37" s="260"/>
      <c r="FS37" s="260"/>
      <c r="FT37" s="260"/>
      <c r="FU37" s="260"/>
      <c r="FV37" s="260"/>
      <c r="FW37" s="260"/>
      <c r="FX37" s="260"/>
      <c r="FY37" s="260"/>
      <c r="FZ37" s="260"/>
      <c r="GA37" s="260"/>
      <c r="GB37" s="260"/>
      <c r="GC37" s="260"/>
      <c r="GD37" s="260"/>
      <c r="GE37" s="260"/>
      <c r="GF37" s="260"/>
      <c r="GG37" s="260"/>
      <c r="GH37" s="260"/>
      <c r="GI37" s="260"/>
      <c r="GJ37" s="260"/>
      <c r="GK37" s="260"/>
      <c r="GL37" s="260"/>
      <c r="GM37" s="260"/>
      <c r="GN37" s="260"/>
      <c r="GO37" s="260"/>
    </row>
    <row r="38" spans="1:217"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BA38" s="126"/>
      <c r="BB38" s="126"/>
      <c r="BC38" s="126"/>
      <c r="BD38" s="126"/>
      <c r="BE38" s="126"/>
      <c r="BF38" s="126"/>
      <c r="BG38" s="126"/>
      <c r="BH38" s="126"/>
      <c r="BI38" s="126"/>
      <c r="BJ38" s="126"/>
      <c r="FN38" s="126"/>
      <c r="FZ38" s="126"/>
      <c r="GA38" s="445"/>
      <c r="GB38" s="126"/>
      <c r="GL38" s="126"/>
      <c r="GM38" s="445"/>
      <c r="GN38" s="260"/>
    </row>
    <row r="39" spans="1:217" ht="16" thickBot="1"/>
    <row r="40" spans="1:217">
      <c r="A40" s="662" t="s">
        <v>286</v>
      </c>
      <c r="B40" s="663">
        <v>39814</v>
      </c>
      <c r="C40" s="663">
        <v>39845</v>
      </c>
      <c r="D40" s="663">
        <v>39873</v>
      </c>
      <c r="E40" s="663">
        <v>39904</v>
      </c>
      <c r="F40" s="663">
        <v>39934</v>
      </c>
      <c r="G40" s="663">
        <v>39965</v>
      </c>
      <c r="H40" s="663">
        <v>39995</v>
      </c>
      <c r="I40" s="663">
        <v>40026</v>
      </c>
      <c r="J40" s="663">
        <v>40057</v>
      </c>
      <c r="K40" s="663">
        <v>40087</v>
      </c>
      <c r="L40" s="663">
        <v>40118</v>
      </c>
      <c r="M40" s="664">
        <v>40148</v>
      </c>
      <c r="N40" s="663">
        <v>40179</v>
      </c>
      <c r="O40" s="663">
        <v>40210</v>
      </c>
      <c r="P40" s="663">
        <v>40238</v>
      </c>
      <c r="Q40" s="663">
        <v>40269</v>
      </c>
      <c r="R40" s="663">
        <v>40299</v>
      </c>
      <c r="S40" s="663">
        <v>40330</v>
      </c>
      <c r="T40" s="663">
        <v>40360</v>
      </c>
      <c r="U40" s="663">
        <v>40391</v>
      </c>
      <c r="V40" s="663">
        <v>40422</v>
      </c>
      <c r="W40" s="663">
        <v>40452</v>
      </c>
      <c r="X40" s="663">
        <v>40483</v>
      </c>
      <c r="Y40" s="664">
        <v>40513</v>
      </c>
      <c r="Z40" s="663">
        <v>40544</v>
      </c>
      <c r="AA40" s="663">
        <v>40575</v>
      </c>
      <c r="AB40" s="663">
        <v>40603</v>
      </c>
      <c r="AC40" s="663">
        <v>40634</v>
      </c>
      <c r="AD40" s="663">
        <v>40664</v>
      </c>
      <c r="AE40" s="663">
        <v>40695</v>
      </c>
      <c r="AF40" s="663">
        <v>40725</v>
      </c>
      <c r="AG40" s="663">
        <v>40756</v>
      </c>
      <c r="AH40" s="663">
        <v>40787</v>
      </c>
      <c r="AI40" s="663">
        <v>40817</v>
      </c>
      <c r="AJ40" s="663">
        <v>40848</v>
      </c>
      <c r="AK40" s="664">
        <v>40878</v>
      </c>
      <c r="AL40" s="663">
        <v>40909</v>
      </c>
      <c r="AM40" s="663">
        <v>40940</v>
      </c>
      <c r="AN40" s="663">
        <v>40969</v>
      </c>
      <c r="AO40" s="663">
        <v>41000</v>
      </c>
      <c r="AP40" s="663">
        <v>41030</v>
      </c>
      <c r="AQ40" s="663">
        <v>41061</v>
      </c>
      <c r="AR40" s="663">
        <v>41091</v>
      </c>
      <c r="AS40" s="663">
        <v>41122</v>
      </c>
      <c r="AT40" s="663">
        <v>41153</v>
      </c>
      <c r="AU40" s="663">
        <v>41183</v>
      </c>
      <c r="AV40" s="663">
        <v>41214</v>
      </c>
      <c r="AW40" s="664">
        <v>41244</v>
      </c>
      <c r="AX40" s="663">
        <v>41275</v>
      </c>
      <c r="AY40" s="663">
        <v>41306</v>
      </c>
      <c r="AZ40" s="663">
        <v>41334</v>
      </c>
      <c r="BA40" s="663">
        <v>41365</v>
      </c>
      <c r="BB40" s="663">
        <v>41395</v>
      </c>
      <c r="BC40" s="663">
        <v>41426</v>
      </c>
      <c r="BD40" s="663">
        <v>41456</v>
      </c>
      <c r="BE40" s="663">
        <v>41487</v>
      </c>
      <c r="BF40" s="663">
        <v>41518</v>
      </c>
      <c r="BG40" s="663">
        <v>41548</v>
      </c>
      <c r="BH40" s="663">
        <v>41579</v>
      </c>
      <c r="BI40" s="664">
        <v>41609</v>
      </c>
      <c r="BJ40" s="663">
        <v>41640</v>
      </c>
      <c r="BK40" s="663">
        <v>41671</v>
      </c>
      <c r="BL40" s="663">
        <v>41699</v>
      </c>
      <c r="BM40" s="663">
        <v>41730</v>
      </c>
      <c r="BN40" s="663">
        <v>41760</v>
      </c>
      <c r="BO40" s="663">
        <v>41791</v>
      </c>
      <c r="BP40" s="663">
        <v>41821</v>
      </c>
      <c r="BQ40" s="663">
        <v>41852</v>
      </c>
      <c r="BR40" s="663">
        <v>41883</v>
      </c>
      <c r="BS40" s="663">
        <v>41913</v>
      </c>
      <c r="BT40" s="663">
        <v>41944</v>
      </c>
      <c r="BU40" s="664">
        <v>41974</v>
      </c>
      <c r="BV40" s="663">
        <v>42005</v>
      </c>
      <c r="BW40" s="663">
        <v>42036</v>
      </c>
      <c r="BX40" s="663">
        <v>42064</v>
      </c>
      <c r="BY40" s="663">
        <v>42095</v>
      </c>
      <c r="BZ40" s="663">
        <v>42125</v>
      </c>
      <c r="CA40" s="663">
        <v>42156</v>
      </c>
      <c r="CB40" s="663">
        <v>42186</v>
      </c>
      <c r="CC40" s="663">
        <v>42217</v>
      </c>
      <c r="CD40" s="663">
        <v>42248</v>
      </c>
      <c r="CE40" s="663">
        <v>42278</v>
      </c>
      <c r="CF40" s="663">
        <v>42309</v>
      </c>
      <c r="CG40" s="664">
        <v>42339</v>
      </c>
      <c r="CH40" s="663">
        <v>42370</v>
      </c>
      <c r="CI40" s="663">
        <v>42401</v>
      </c>
      <c r="CJ40" s="663">
        <v>42430</v>
      </c>
      <c r="CK40" s="663">
        <v>42461</v>
      </c>
      <c r="CL40" s="663">
        <v>42491</v>
      </c>
      <c r="CM40" s="663">
        <v>42522</v>
      </c>
      <c r="CN40" s="663">
        <v>42552</v>
      </c>
      <c r="CO40" s="663">
        <v>42583</v>
      </c>
      <c r="CP40" s="663">
        <v>42614</v>
      </c>
      <c r="CQ40" s="663">
        <v>42644</v>
      </c>
      <c r="CR40" s="663">
        <v>42675</v>
      </c>
      <c r="CS40" s="664">
        <v>42705</v>
      </c>
      <c r="CT40" s="663">
        <v>42736</v>
      </c>
      <c r="CU40" s="663">
        <v>42767</v>
      </c>
      <c r="CV40" s="663">
        <v>42795</v>
      </c>
      <c r="CW40" s="663">
        <v>42826</v>
      </c>
      <c r="CX40" s="663">
        <v>42856</v>
      </c>
      <c r="CY40" s="663">
        <v>42887</v>
      </c>
      <c r="CZ40" s="663">
        <v>42917</v>
      </c>
      <c r="DA40" s="663">
        <v>42948</v>
      </c>
      <c r="DB40" s="663">
        <v>42979</v>
      </c>
      <c r="DC40" s="663">
        <v>43009</v>
      </c>
      <c r="DD40" s="663">
        <v>43040</v>
      </c>
      <c r="DE40" s="664">
        <v>43070</v>
      </c>
      <c r="DF40" s="663">
        <v>43101</v>
      </c>
      <c r="DG40" s="663">
        <v>43132</v>
      </c>
      <c r="DH40" s="663">
        <v>43160</v>
      </c>
      <c r="DI40" s="663">
        <v>43191</v>
      </c>
      <c r="DJ40" s="663">
        <v>43221</v>
      </c>
      <c r="DK40" s="663">
        <v>43252</v>
      </c>
      <c r="DL40" s="663">
        <v>43282</v>
      </c>
      <c r="DM40" s="663">
        <v>43313</v>
      </c>
      <c r="DN40" s="663">
        <v>43344</v>
      </c>
      <c r="DO40" s="663">
        <v>43374</v>
      </c>
      <c r="DP40" s="663">
        <v>43405</v>
      </c>
      <c r="DQ40" s="664">
        <v>43435</v>
      </c>
      <c r="DR40" s="663">
        <v>43466</v>
      </c>
      <c r="DS40" s="663">
        <v>43497</v>
      </c>
      <c r="DT40" s="663">
        <v>43525</v>
      </c>
      <c r="DU40" s="663">
        <v>43556</v>
      </c>
      <c r="DV40" s="663">
        <v>43586</v>
      </c>
      <c r="DW40" s="663">
        <v>43617</v>
      </c>
      <c r="DX40" s="663">
        <v>43647</v>
      </c>
      <c r="DY40" s="663">
        <v>43678</v>
      </c>
      <c r="DZ40" s="663">
        <v>43709</v>
      </c>
      <c r="EA40" s="663">
        <v>43739</v>
      </c>
      <c r="EB40" s="663">
        <v>43770</v>
      </c>
      <c r="EC40" s="664">
        <v>43800</v>
      </c>
      <c r="ED40" s="663">
        <v>43831</v>
      </c>
      <c r="EE40" s="663">
        <v>43862</v>
      </c>
      <c r="EF40" s="663">
        <v>43891</v>
      </c>
      <c r="EG40" s="663">
        <v>43922</v>
      </c>
      <c r="EH40" s="663">
        <v>43952</v>
      </c>
      <c r="EI40" s="663">
        <v>43983</v>
      </c>
      <c r="EJ40" s="663">
        <v>44013</v>
      </c>
      <c r="EK40" s="663">
        <v>44044</v>
      </c>
      <c r="EL40" s="663">
        <v>44075</v>
      </c>
      <c r="EM40" s="663">
        <v>44105</v>
      </c>
      <c r="EN40" s="663">
        <v>44136</v>
      </c>
      <c r="EO40" s="664">
        <v>44166</v>
      </c>
      <c r="EP40" s="663">
        <v>44197</v>
      </c>
      <c r="EQ40" s="663">
        <v>44228</v>
      </c>
      <c r="ER40" s="663">
        <v>44256</v>
      </c>
      <c r="ES40" s="663">
        <v>44287</v>
      </c>
      <c r="ET40" s="663">
        <v>44317</v>
      </c>
      <c r="EU40" s="663">
        <v>44348</v>
      </c>
      <c r="EV40" s="663">
        <v>44378</v>
      </c>
      <c r="EW40" s="663">
        <v>44409</v>
      </c>
      <c r="EX40" s="663">
        <v>44440</v>
      </c>
      <c r="EY40" s="663">
        <v>44470</v>
      </c>
      <c r="EZ40" s="663">
        <v>44501</v>
      </c>
      <c r="FA40" s="664">
        <v>44531</v>
      </c>
      <c r="FB40" s="663">
        <v>44562</v>
      </c>
      <c r="FC40" s="663">
        <v>44593</v>
      </c>
      <c r="FD40" s="663">
        <v>44621</v>
      </c>
      <c r="FE40" s="663">
        <v>44652</v>
      </c>
      <c r="FF40" s="663">
        <v>44682</v>
      </c>
      <c r="FG40" s="663">
        <v>44713</v>
      </c>
      <c r="FH40" s="663">
        <v>44743</v>
      </c>
      <c r="FI40" s="663">
        <v>44774</v>
      </c>
      <c r="FJ40" s="663">
        <v>44805</v>
      </c>
      <c r="FK40" s="663">
        <v>44835</v>
      </c>
      <c r="FL40" s="663">
        <v>44866</v>
      </c>
      <c r="FM40" s="664">
        <v>44896</v>
      </c>
      <c r="FN40" s="663">
        <v>44927</v>
      </c>
      <c r="FO40" s="663">
        <v>44958</v>
      </c>
      <c r="FP40" s="663">
        <v>44986</v>
      </c>
      <c r="FQ40" s="663">
        <v>45017</v>
      </c>
      <c r="FR40" s="663">
        <v>45047</v>
      </c>
      <c r="FS40" s="663">
        <v>45078</v>
      </c>
      <c r="FT40" s="663">
        <v>45108</v>
      </c>
      <c r="FU40" s="663">
        <v>45139</v>
      </c>
      <c r="FV40" s="663">
        <v>45170</v>
      </c>
      <c r="FW40" s="663">
        <v>45200</v>
      </c>
      <c r="FX40" s="663">
        <v>45231</v>
      </c>
      <c r="FY40" s="664">
        <v>45261</v>
      </c>
      <c r="FZ40" s="663">
        <v>45292</v>
      </c>
      <c r="GA40" s="663">
        <v>45323</v>
      </c>
      <c r="GB40" s="663">
        <v>45352</v>
      </c>
      <c r="GC40" s="663">
        <v>45383</v>
      </c>
      <c r="GD40" s="663">
        <v>45413</v>
      </c>
      <c r="GE40" s="663">
        <v>45444</v>
      </c>
      <c r="GF40" s="663">
        <v>45474</v>
      </c>
      <c r="GG40" s="663">
        <v>45505</v>
      </c>
      <c r="GH40" s="663">
        <v>45536</v>
      </c>
      <c r="GI40" s="663">
        <v>45566</v>
      </c>
      <c r="GJ40" s="663">
        <v>45597</v>
      </c>
      <c r="GK40" s="664">
        <v>45627</v>
      </c>
      <c r="GL40" s="663">
        <v>45658</v>
      </c>
      <c r="GM40" s="663">
        <v>45689</v>
      </c>
      <c r="GN40" s="663">
        <v>45717</v>
      </c>
      <c r="GO40" s="663">
        <v>45748</v>
      </c>
      <c r="GP40" s="663">
        <v>45778</v>
      </c>
      <c r="GQ40" s="663">
        <v>45809</v>
      </c>
      <c r="GR40" s="663">
        <v>45839</v>
      </c>
      <c r="GS40" s="663">
        <v>45870</v>
      </c>
      <c r="GT40" s="663">
        <v>45901</v>
      </c>
      <c r="GU40" s="663">
        <v>45931</v>
      </c>
      <c r="GV40" s="663">
        <v>45962</v>
      </c>
      <c r="GW40" s="664">
        <v>45992</v>
      </c>
      <c r="HC40" s="662" t="s">
        <v>286</v>
      </c>
      <c r="HD40" s="663">
        <f>GP40</f>
        <v>45778</v>
      </c>
      <c r="HE40" s="663" t="s">
        <v>835</v>
      </c>
      <c r="HF40" s="663" t="s">
        <v>836</v>
      </c>
      <c r="HG40" s="663" t="s">
        <v>888</v>
      </c>
      <c r="HH40" s="663" t="s">
        <v>849</v>
      </c>
      <c r="HI40" s="664" t="s">
        <v>838</v>
      </c>
    </row>
    <row r="41" spans="1:217">
      <c r="A41" s="5" t="s">
        <v>856</v>
      </c>
      <c r="B41" s="722"/>
      <c r="C41" s="722"/>
      <c r="D41" s="722"/>
      <c r="E41" s="722"/>
      <c r="F41" s="722"/>
      <c r="G41" s="722"/>
      <c r="H41" s="722"/>
      <c r="I41" s="722"/>
      <c r="J41" s="722"/>
      <c r="K41" s="722"/>
      <c r="L41" s="722"/>
      <c r="M41" s="822"/>
      <c r="N41" s="722"/>
      <c r="O41" s="722"/>
      <c r="P41" s="722"/>
      <c r="Q41" s="722"/>
      <c r="R41" s="722"/>
      <c r="S41" s="722"/>
      <c r="T41" s="722"/>
      <c r="U41" s="722"/>
      <c r="V41" s="722"/>
      <c r="W41" s="722"/>
      <c r="X41" s="722"/>
      <c r="Y41" s="822"/>
      <c r="Z41" s="722"/>
      <c r="AA41" s="722"/>
      <c r="AB41" s="722"/>
      <c r="AC41" s="722"/>
      <c r="AD41" s="722"/>
      <c r="AE41" s="722"/>
      <c r="AF41" s="722"/>
      <c r="AG41" s="722"/>
      <c r="AH41" s="722"/>
      <c r="AI41" s="722"/>
      <c r="AJ41" s="722"/>
      <c r="AK41" s="822"/>
      <c r="AL41" s="722"/>
      <c r="AM41" s="722"/>
      <c r="AN41" s="722"/>
      <c r="AO41" s="722"/>
      <c r="AP41" s="722"/>
      <c r="AQ41" s="722"/>
      <c r="AR41" s="722"/>
      <c r="AS41" s="722"/>
      <c r="AT41" s="722"/>
      <c r="AU41" s="722"/>
      <c r="AV41" s="722"/>
      <c r="AW41" s="822"/>
      <c r="AX41" s="722"/>
      <c r="AY41" s="722"/>
      <c r="AZ41" s="722"/>
      <c r="BA41" s="722"/>
      <c r="BB41" s="722"/>
      <c r="BC41" s="722"/>
      <c r="BD41" s="722"/>
      <c r="BE41" s="722"/>
      <c r="BF41" s="722"/>
      <c r="BG41" s="722"/>
      <c r="BH41" s="722"/>
      <c r="BI41" s="822"/>
      <c r="BJ41" s="722"/>
      <c r="BK41" s="722"/>
      <c r="BL41" s="722"/>
      <c r="BM41" s="722"/>
      <c r="BN41" s="722"/>
      <c r="BO41" s="722"/>
      <c r="BP41" s="722"/>
      <c r="BQ41" s="722"/>
      <c r="BR41" s="722"/>
      <c r="BS41" s="722"/>
      <c r="BT41" s="722"/>
      <c r="BU41" s="822"/>
      <c r="BV41" s="722"/>
      <c r="BW41" s="722"/>
      <c r="BX41" s="722"/>
      <c r="BY41" s="722"/>
      <c r="BZ41" s="722"/>
      <c r="CA41" s="722"/>
      <c r="CB41" s="722"/>
      <c r="CC41" s="722"/>
      <c r="CD41" s="722"/>
      <c r="CE41" s="722"/>
      <c r="CF41" s="722"/>
      <c r="CG41" s="822"/>
      <c r="CH41" s="722"/>
      <c r="CI41" s="722"/>
      <c r="CJ41" s="722"/>
      <c r="CK41" s="722"/>
      <c r="CL41" s="722"/>
      <c r="CM41" s="722"/>
      <c r="CN41" s="722"/>
      <c r="CO41" s="722"/>
      <c r="CP41" s="722"/>
      <c r="CQ41" s="722"/>
      <c r="CR41" s="722"/>
      <c r="CS41" s="822"/>
      <c r="CT41" s="722"/>
      <c r="CU41" s="722"/>
      <c r="CV41" s="722"/>
      <c r="CW41" s="722"/>
      <c r="CX41" s="722"/>
      <c r="CY41" s="722"/>
      <c r="CZ41" s="722"/>
      <c r="DA41" s="722"/>
      <c r="DB41" s="722"/>
      <c r="DC41" s="722"/>
      <c r="DD41" s="722"/>
      <c r="DE41" s="822"/>
      <c r="DF41" s="722"/>
      <c r="DG41" s="722"/>
      <c r="DH41" s="722"/>
      <c r="DI41" s="722"/>
      <c r="DJ41" s="722"/>
      <c r="DK41" s="722"/>
      <c r="DL41" s="722"/>
      <c r="DM41" s="722"/>
      <c r="DN41" s="722"/>
      <c r="DO41" s="722"/>
      <c r="DP41" s="722"/>
      <c r="DQ41" s="822"/>
      <c r="DR41" s="722"/>
      <c r="DS41" s="722"/>
      <c r="DT41" s="722"/>
      <c r="DU41" s="722"/>
      <c r="DV41" s="722"/>
      <c r="DW41" s="722"/>
      <c r="DX41" s="722"/>
      <c r="DY41" s="722"/>
      <c r="DZ41" s="722"/>
      <c r="EA41" s="722"/>
      <c r="EB41" s="722"/>
      <c r="EC41" s="822"/>
      <c r="ED41" s="722"/>
      <c r="EE41" s="722"/>
      <c r="EF41" s="722"/>
      <c r="EG41" s="823"/>
      <c r="EH41" s="722"/>
      <c r="EI41" s="722"/>
      <c r="EJ41" s="722"/>
      <c r="EK41" s="722"/>
      <c r="EL41" s="722"/>
      <c r="EM41" s="722"/>
      <c r="EN41" s="722"/>
      <c r="EO41" s="822"/>
      <c r="EP41" s="722"/>
      <c r="EQ41" s="722"/>
      <c r="ER41" s="722"/>
      <c r="ES41" s="823"/>
      <c r="ET41" s="722"/>
      <c r="EU41" s="722"/>
      <c r="EV41" s="722"/>
      <c r="EW41" s="722"/>
      <c r="EX41" s="722"/>
      <c r="EY41" s="722"/>
      <c r="EZ41" s="722"/>
      <c r="FA41" s="822"/>
      <c r="FB41" s="722"/>
      <c r="FC41" s="722"/>
      <c r="FD41" s="722"/>
      <c r="FE41" s="823"/>
      <c r="FF41" s="722"/>
      <c r="FG41" s="722"/>
      <c r="FH41" s="722"/>
      <c r="FI41" s="722"/>
      <c r="FJ41" s="722"/>
      <c r="FK41" s="722"/>
      <c r="FL41" s="722"/>
      <c r="FM41" s="822"/>
      <c r="FN41" s="722">
        <v>1692.3136810000001</v>
      </c>
      <c r="FO41" s="722">
        <v>1556.1035965999999</v>
      </c>
      <c r="FP41" s="722">
        <v>1563.7</v>
      </c>
      <c r="FQ41" s="823">
        <v>1610.4564373000001</v>
      </c>
      <c r="FR41" s="722">
        <v>1581.5845104499999</v>
      </c>
      <c r="FS41" s="722">
        <v>1109.6544225499999</v>
      </c>
      <c r="FT41" s="722">
        <v>957.27967705000003</v>
      </c>
      <c r="FU41" s="722">
        <v>1275.9130872000001</v>
      </c>
      <c r="FV41" s="722">
        <v>1588.6092449499999</v>
      </c>
      <c r="FW41" s="722">
        <v>1800.2245829999999</v>
      </c>
      <c r="FX41" s="722">
        <v>1694.99407</v>
      </c>
      <c r="FY41" s="822">
        <v>1747.64896</v>
      </c>
      <c r="FZ41" s="722">
        <v>1887.969542</v>
      </c>
      <c r="GA41" s="722">
        <v>1848.3</v>
      </c>
      <c r="GB41" s="722">
        <v>1764.9226142</v>
      </c>
      <c r="GC41" s="823">
        <v>1681.4905022999999</v>
      </c>
      <c r="GD41" s="722">
        <v>1624.7347791</v>
      </c>
      <c r="GE41" s="722">
        <v>1379.97430835</v>
      </c>
      <c r="GF41" s="722">
        <v>1305.7170661499999</v>
      </c>
      <c r="GG41" s="722">
        <v>1407.1844925</v>
      </c>
      <c r="GH41" s="722">
        <v>1628.7494879999999</v>
      </c>
      <c r="GI41" s="722">
        <v>1838.9302717999999</v>
      </c>
      <c r="GJ41" s="722">
        <f>1200+475.1</f>
        <v>1675.1</v>
      </c>
      <c r="GK41" s="822">
        <f>1280+506</f>
        <v>1786</v>
      </c>
      <c r="GL41" s="722">
        <v>1800</v>
      </c>
      <c r="GM41" s="722">
        <v>1722.9265093500001</v>
      </c>
      <c r="GN41" s="722">
        <v>1659.3227456499999</v>
      </c>
      <c r="GO41" s="823">
        <f>1170+478</f>
        <v>1648</v>
      </c>
      <c r="GP41" s="722">
        <f>1180+485.7</f>
        <v>1665.7</v>
      </c>
      <c r="GQ41" s="722"/>
      <c r="GR41" s="722"/>
      <c r="GS41" s="722"/>
      <c r="GT41" s="722"/>
      <c r="GU41" s="722"/>
      <c r="GV41" s="722"/>
      <c r="GW41" s="822"/>
      <c r="HC41" s="5" t="s">
        <v>856</v>
      </c>
      <c r="HD41" s="722">
        <f>GP41</f>
        <v>1665.7</v>
      </c>
      <c r="HE41" s="260">
        <f>GP41/GD41-1</f>
        <v>2.5213481872218058E-2</v>
      </c>
      <c r="HF41" s="260">
        <f>GP41/GO41-1</f>
        <v>1.0740291262135937E-2</v>
      </c>
      <c r="HG41" s="126">
        <f>SUM($GL41:GP41)</f>
        <v>8495.9492549999995</v>
      </c>
      <c r="HH41" s="126">
        <f>SUM($FZ41:GD41)</f>
        <v>8807.4174375999992</v>
      </c>
      <c r="HI41" s="205">
        <f>HG41/HH41-1</f>
        <v>-3.536430341887753E-2</v>
      </c>
    </row>
    <row r="42" spans="1:217">
      <c r="A42" s="5" t="s">
        <v>857</v>
      </c>
      <c r="B42" s="722">
        <f t="shared" ref="B42:AG42" si="464">B25</f>
        <v>101.59402799999999</v>
      </c>
      <c r="C42" s="722">
        <f t="shared" si="464"/>
        <v>156.21499999999997</v>
      </c>
      <c r="D42" s="722">
        <f t="shared" si="464"/>
        <v>109.24380000000002</v>
      </c>
      <c r="E42" s="722">
        <f t="shared" si="464"/>
        <v>73.48439999999998</v>
      </c>
      <c r="F42" s="722">
        <f t="shared" si="464"/>
        <v>57.749999999999979</v>
      </c>
      <c r="G42" s="722">
        <f t="shared" si="464"/>
        <v>42.630800000000008</v>
      </c>
      <c r="H42" s="722">
        <f t="shared" si="464"/>
        <v>29.067399999999999</v>
      </c>
      <c r="I42" s="722">
        <f t="shared" si="464"/>
        <v>4.1495999999999977</v>
      </c>
      <c r="J42" s="722">
        <f t="shared" si="464"/>
        <v>110.93179999999998</v>
      </c>
      <c r="K42" s="722">
        <f t="shared" si="464"/>
        <v>119.85120000000001</v>
      </c>
      <c r="L42" s="722">
        <f t="shared" si="464"/>
        <v>130.33510000000001</v>
      </c>
      <c r="M42" s="822">
        <f t="shared" si="464"/>
        <v>43.212476000000152</v>
      </c>
      <c r="N42" s="722">
        <f t="shared" si="464"/>
        <v>71.550000000000011</v>
      </c>
      <c r="O42" s="722">
        <f t="shared" si="464"/>
        <v>69.595200000000006</v>
      </c>
      <c r="P42" s="722">
        <f t="shared" si="464"/>
        <v>90.470400000000012</v>
      </c>
      <c r="Q42" s="722">
        <f t="shared" si="464"/>
        <v>82.752799999999979</v>
      </c>
      <c r="R42" s="722">
        <f t="shared" si="464"/>
        <v>48.757799999999996</v>
      </c>
      <c r="S42" s="722">
        <f t="shared" si="464"/>
        <v>62.467939660728554</v>
      </c>
      <c r="T42" s="722">
        <f t="shared" si="464"/>
        <v>64.519199999999998</v>
      </c>
      <c r="U42" s="722">
        <f t="shared" si="464"/>
        <v>68.123406336299993</v>
      </c>
      <c r="V42" s="722">
        <f t="shared" si="464"/>
        <v>98.244999999999976</v>
      </c>
      <c r="W42" s="722">
        <f t="shared" si="464"/>
        <v>15.189399999999985</v>
      </c>
      <c r="X42" s="722">
        <f t="shared" si="464"/>
        <v>100.55600000000001</v>
      </c>
      <c r="Y42" s="822">
        <f t="shared" si="464"/>
        <v>38.055852619500001</v>
      </c>
      <c r="Z42" s="722">
        <f t="shared" si="464"/>
        <v>73.006257319199975</v>
      </c>
      <c r="AA42" s="722">
        <f t="shared" si="464"/>
        <v>130.16953916699998</v>
      </c>
      <c r="AB42" s="722">
        <f t="shared" si="464"/>
        <v>30.626382784600011</v>
      </c>
      <c r="AC42" s="722">
        <f t="shared" si="464"/>
        <v>107.13183050130002</v>
      </c>
      <c r="AD42" s="722">
        <f t="shared" si="464"/>
        <v>29.533537576450009</v>
      </c>
      <c r="AE42" s="722">
        <f t="shared" si="464"/>
        <v>14.393186933980006</v>
      </c>
      <c r="AF42" s="722">
        <f t="shared" si="464"/>
        <v>34.582689280000011</v>
      </c>
      <c r="AG42" s="722">
        <f t="shared" si="464"/>
        <v>36.083372380900016</v>
      </c>
      <c r="AH42" s="722">
        <f t="shared" ref="AH42:BM42" si="465">AH25</f>
        <v>70</v>
      </c>
      <c r="AI42" s="722">
        <f t="shared" si="465"/>
        <v>108.638897892</v>
      </c>
      <c r="AJ42" s="722">
        <f t="shared" si="465"/>
        <v>96.828700137400006</v>
      </c>
      <c r="AK42" s="822">
        <f t="shared" si="465"/>
        <v>92.398995999999997</v>
      </c>
      <c r="AL42" s="722">
        <f t="shared" si="465"/>
        <v>105.09913299999999</v>
      </c>
      <c r="AM42" s="722">
        <f t="shared" si="465"/>
        <v>101.19281100000001</v>
      </c>
      <c r="AN42" s="722">
        <f t="shared" si="465"/>
        <v>95.229055207199963</v>
      </c>
      <c r="AO42" s="722">
        <f t="shared" si="465"/>
        <v>82.551266255999991</v>
      </c>
      <c r="AP42" s="722">
        <f t="shared" si="465"/>
        <v>35</v>
      </c>
      <c r="AQ42" s="722">
        <f t="shared" si="465"/>
        <v>35.20427694</v>
      </c>
      <c r="AR42" s="722">
        <f t="shared" si="465"/>
        <v>43</v>
      </c>
      <c r="AS42" s="722">
        <f t="shared" si="465"/>
        <v>41</v>
      </c>
      <c r="AT42" s="722">
        <f t="shared" si="465"/>
        <v>-8</v>
      </c>
      <c r="AU42" s="722">
        <f t="shared" si="465"/>
        <v>88</v>
      </c>
      <c r="AV42" s="722">
        <f t="shared" si="465"/>
        <v>81.089154857937075</v>
      </c>
      <c r="AW42" s="822">
        <f t="shared" si="465"/>
        <v>72.439055262248417</v>
      </c>
      <c r="AX42" s="722">
        <f t="shared" si="465"/>
        <v>98.039999999999992</v>
      </c>
      <c r="AY42" s="722">
        <f t="shared" si="465"/>
        <v>86.14</v>
      </c>
      <c r="AZ42" s="722">
        <f t="shared" si="465"/>
        <v>82.56</v>
      </c>
      <c r="BA42" s="722">
        <f t="shared" si="465"/>
        <v>84.34</v>
      </c>
      <c r="BB42" s="722">
        <f t="shared" si="465"/>
        <v>35.22</v>
      </c>
      <c r="BC42" s="722">
        <f t="shared" si="465"/>
        <v>38.019999999999996</v>
      </c>
      <c r="BD42" s="722">
        <f t="shared" si="465"/>
        <v>44.489999999999995</v>
      </c>
      <c r="BE42" s="722">
        <f t="shared" si="465"/>
        <v>41.69</v>
      </c>
      <c r="BF42" s="722">
        <f t="shared" si="465"/>
        <v>7.07</v>
      </c>
      <c r="BG42" s="722">
        <f t="shared" si="465"/>
        <v>97.64</v>
      </c>
      <c r="BH42" s="722">
        <f t="shared" si="465"/>
        <v>83.36</v>
      </c>
      <c r="BI42" s="822">
        <f t="shared" si="465"/>
        <v>83.43</v>
      </c>
      <c r="BJ42" s="722">
        <f t="shared" si="465"/>
        <v>95.19</v>
      </c>
      <c r="BK42" s="722">
        <f t="shared" si="465"/>
        <v>72.25</v>
      </c>
      <c r="BL42" s="722">
        <f t="shared" si="465"/>
        <v>71.3</v>
      </c>
      <c r="BM42" s="722">
        <f t="shared" si="465"/>
        <v>88.43</v>
      </c>
      <c r="BN42" s="722">
        <f t="shared" ref="BN42:CS42" si="466">BN25</f>
        <v>36.44</v>
      </c>
      <c r="BO42" s="722">
        <f t="shared" si="466"/>
        <v>41.97</v>
      </c>
      <c r="BP42" s="722">
        <f t="shared" si="466"/>
        <v>47.3</v>
      </c>
      <c r="BQ42" s="722">
        <f t="shared" si="466"/>
        <v>43.58</v>
      </c>
      <c r="BR42" s="722">
        <f t="shared" si="466"/>
        <v>23.03</v>
      </c>
      <c r="BS42" s="722">
        <f t="shared" si="466"/>
        <v>109.94</v>
      </c>
      <c r="BT42" s="722">
        <f t="shared" si="466"/>
        <v>87.22</v>
      </c>
      <c r="BU42" s="822">
        <f t="shared" si="466"/>
        <v>97.350000000000009</v>
      </c>
      <c r="BV42" s="722">
        <f t="shared" si="466"/>
        <v>82.83</v>
      </c>
      <c r="BW42" s="722">
        <f t="shared" si="466"/>
        <v>53.629999999999995</v>
      </c>
      <c r="BX42" s="722">
        <f t="shared" si="466"/>
        <v>55.67</v>
      </c>
      <c r="BY42" s="722">
        <f t="shared" si="466"/>
        <v>85.43</v>
      </c>
      <c r="BZ42" s="722">
        <f t="shared" si="466"/>
        <v>35.33</v>
      </c>
      <c r="CA42" s="722">
        <f t="shared" si="466"/>
        <v>42.89</v>
      </c>
      <c r="CB42" s="722">
        <f t="shared" si="466"/>
        <v>46.879999999999995</v>
      </c>
      <c r="CC42" s="722">
        <f t="shared" si="466"/>
        <v>43.01</v>
      </c>
      <c r="CD42" s="722">
        <f t="shared" si="466"/>
        <v>37.43</v>
      </c>
      <c r="CE42" s="722">
        <f t="shared" si="466"/>
        <v>113.08</v>
      </c>
      <c r="CF42" s="722">
        <f t="shared" si="466"/>
        <v>85.45</v>
      </c>
      <c r="CG42" s="822">
        <f t="shared" si="466"/>
        <v>103.4</v>
      </c>
      <c r="CH42" s="722">
        <f t="shared" si="466"/>
        <v>110.89099999999999</v>
      </c>
      <c r="CI42" s="722">
        <f t="shared" si="466"/>
        <v>64.203000000000003</v>
      </c>
      <c r="CJ42" s="722">
        <f t="shared" si="466"/>
        <v>97.389999999999986</v>
      </c>
      <c r="CK42" s="722">
        <f t="shared" si="466"/>
        <v>75.216999999999999</v>
      </c>
      <c r="CL42" s="722">
        <f t="shared" si="466"/>
        <v>55.582999999999998</v>
      </c>
      <c r="CM42" s="722">
        <f t="shared" si="466"/>
        <v>67.016000000000005</v>
      </c>
      <c r="CN42" s="722">
        <f t="shared" si="466"/>
        <v>72.347000000000008</v>
      </c>
      <c r="CO42" s="722">
        <f t="shared" si="466"/>
        <v>44.703000000000003</v>
      </c>
      <c r="CP42" s="722">
        <f t="shared" si="466"/>
        <v>106.01900000000001</v>
      </c>
      <c r="CQ42" s="722">
        <f t="shared" si="466"/>
        <v>107.71000000000001</v>
      </c>
      <c r="CR42" s="722">
        <f t="shared" si="466"/>
        <v>82.45</v>
      </c>
      <c r="CS42" s="822">
        <f t="shared" si="466"/>
        <v>55.459999999999994</v>
      </c>
      <c r="CT42" s="722">
        <f t="shared" ref="CT42:DY42" si="467">CT25</f>
        <v>130.06</v>
      </c>
      <c r="CU42" s="722">
        <f t="shared" si="467"/>
        <v>34.159999999999997</v>
      </c>
      <c r="CV42" s="722">
        <f t="shared" si="467"/>
        <v>49.58</v>
      </c>
      <c r="CW42" s="722">
        <f t="shared" si="467"/>
        <v>149.45999999999998</v>
      </c>
      <c r="CX42" s="722">
        <f t="shared" si="467"/>
        <v>62.17</v>
      </c>
      <c r="CY42" s="722">
        <f t="shared" si="467"/>
        <v>82.92</v>
      </c>
      <c r="CZ42" s="722">
        <f t="shared" si="467"/>
        <v>86.35</v>
      </c>
      <c r="DA42" s="722">
        <f t="shared" si="467"/>
        <v>77.98</v>
      </c>
      <c r="DB42" s="722">
        <f t="shared" si="467"/>
        <v>117.48</v>
      </c>
      <c r="DC42" s="722">
        <f t="shared" si="467"/>
        <v>219.19</v>
      </c>
      <c r="DD42" s="722">
        <f t="shared" si="467"/>
        <v>146.97999999999999</v>
      </c>
      <c r="DE42" s="822">
        <f t="shared" si="467"/>
        <v>214.92</v>
      </c>
      <c r="DF42" s="722">
        <f t="shared" si="467"/>
        <v>150.49</v>
      </c>
      <c r="DG42" s="722">
        <f t="shared" si="467"/>
        <v>124.01572942000001</v>
      </c>
      <c r="DH42" s="722">
        <f t="shared" si="467"/>
        <v>111.066914</v>
      </c>
      <c r="DI42" s="722">
        <f t="shared" si="467"/>
        <v>146.5</v>
      </c>
      <c r="DJ42" s="722">
        <f t="shared" si="467"/>
        <v>92.936602999999991</v>
      </c>
      <c r="DK42" s="722">
        <f t="shared" si="467"/>
        <v>112.802401</v>
      </c>
      <c r="DL42" s="722">
        <f t="shared" si="467"/>
        <v>114.31570599999998</v>
      </c>
      <c r="DM42" s="722">
        <f t="shared" si="467"/>
        <v>111.39534344999998</v>
      </c>
      <c r="DN42" s="722">
        <f t="shared" si="467"/>
        <v>139.50973412999997</v>
      </c>
      <c r="DO42" s="722">
        <f t="shared" si="467"/>
        <v>133.57498800000002</v>
      </c>
      <c r="DP42" s="722">
        <f t="shared" si="467"/>
        <v>148.52343324000003</v>
      </c>
      <c r="DQ42" s="822">
        <f t="shared" si="467"/>
        <v>96.436221000000003</v>
      </c>
      <c r="DR42" s="722">
        <f t="shared" si="467"/>
        <v>124.59065194999998</v>
      </c>
      <c r="DS42" s="722">
        <f t="shared" si="467"/>
        <v>159.98126911000003</v>
      </c>
      <c r="DT42" s="722">
        <f t="shared" si="467"/>
        <v>106.40981960999997</v>
      </c>
      <c r="DU42" s="722">
        <f t="shared" si="467"/>
        <v>173.63771936999999</v>
      </c>
      <c r="DV42" s="722">
        <f t="shared" si="467"/>
        <v>134.07618807999995</v>
      </c>
      <c r="DW42" s="722">
        <f t="shared" si="467"/>
        <v>82.469901519999993</v>
      </c>
      <c r="DX42" s="722">
        <f t="shared" si="467"/>
        <v>95.327608169999976</v>
      </c>
      <c r="DY42" s="722">
        <f t="shared" si="467"/>
        <v>119.57482191999998</v>
      </c>
      <c r="DZ42" s="722">
        <f t="shared" ref="DZ42:FE42" si="468">DZ25</f>
        <v>128.61071998</v>
      </c>
      <c r="EA42" s="722">
        <f t="shared" si="468"/>
        <v>128.80002633999996</v>
      </c>
      <c r="EB42" s="722">
        <f t="shared" si="468"/>
        <v>123.42444869999997</v>
      </c>
      <c r="EC42" s="822">
        <f t="shared" si="468"/>
        <v>216.23511627000002</v>
      </c>
      <c r="ED42" s="722">
        <f t="shared" si="468"/>
        <v>211.98945950000007</v>
      </c>
      <c r="EE42" s="722">
        <f t="shared" si="468"/>
        <v>185.25219637999999</v>
      </c>
      <c r="EF42" s="722">
        <f t="shared" si="468"/>
        <v>75.318089000000001</v>
      </c>
      <c r="EG42" s="722">
        <f t="shared" si="468"/>
        <v>20.954671419999997</v>
      </c>
      <c r="EH42" s="722">
        <f t="shared" si="468"/>
        <v>35.351464040000003</v>
      </c>
      <c r="EI42" s="722">
        <f t="shared" si="468"/>
        <v>73.550647429999984</v>
      </c>
      <c r="EJ42" s="722">
        <f t="shared" si="468"/>
        <v>171.33376499000008</v>
      </c>
      <c r="EK42" s="722">
        <f t="shared" si="468"/>
        <v>124.75200157999997</v>
      </c>
      <c r="EL42" s="722">
        <f t="shared" si="468"/>
        <v>152.44850021999997</v>
      </c>
      <c r="EM42" s="722">
        <f t="shared" si="468"/>
        <v>243.39016846999996</v>
      </c>
      <c r="EN42" s="722">
        <f t="shared" si="468"/>
        <v>107.48366224000003</v>
      </c>
      <c r="EO42" s="822">
        <f t="shared" si="468"/>
        <v>176.52771614000002</v>
      </c>
      <c r="EP42" s="722">
        <f t="shared" si="468"/>
        <v>144.82511336000002</v>
      </c>
      <c r="EQ42" s="722">
        <f t="shared" si="468"/>
        <v>185.5116927</v>
      </c>
      <c r="ER42" s="722">
        <f t="shared" si="468"/>
        <v>132.32190537000002</v>
      </c>
      <c r="ES42" s="722">
        <f t="shared" si="468"/>
        <v>103.54971919000002</v>
      </c>
      <c r="ET42" s="722">
        <f t="shared" si="468"/>
        <v>153.53397374999997</v>
      </c>
      <c r="EU42" s="722">
        <f t="shared" si="468"/>
        <v>141.55467494999999</v>
      </c>
      <c r="EV42" s="722">
        <f t="shared" si="468"/>
        <v>97.651521430000003</v>
      </c>
      <c r="EW42" s="722">
        <f t="shared" si="468"/>
        <v>114.96101691000001</v>
      </c>
      <c r="EX42" s="722">
        <f t="shared" si="468"/>
        <v>187.30635423000001</v>
      </c>
      <c r="EY42" s="722">
        <f t="shared" si="468"/>
        <v>117.85814619999999</v>
      </c>
      <c r="EZ42" s="722">
        <f t="shared" si="468"/>
        <v>244.06381751000004</v>
      </c>
      <c r="FA42" s="822">
        <f t="shared" si="468"/>
        <v>204.89861879000006</v>
      </c>
      <c r="FB42" s="722">
        <f t="shared" si="468"/>
        <v>211.03658556999994</v>
      </c>
      <c r="FC42" s="722">
        <f t="shared" si="468"/>
        <v>204.70169686000006</v>
      </c>
      <c r="FD42" s="722">
        <f t="shared" si="468"/>
        <v>206.23614168</v>
      </c>
      <c r="FE42" s="722">
        <f t="shared" si="468"/>
        <v>202.39104063000002</v>
      </c>
      <c r="FF42" s="722">
        <f t="shared" ref="FF42:GB42" si="469">FF25</f>
        <v>163.91568046999998</v>
      </c>
      <c r="FG42" s="722">
        <f t="shared" si="469"/>
        <v>122.45164625999998</v>
      </c>
      <c r="FH42" s="722">
        <f t="shared" si="469"/>
        <v>125.96496060999999</v>
      </c>
      <c r="FI42" s="722">
        <f t="shared" si="469"/>
        <v>170.16770349000001</v>
      </c>
      <c r="FJ42" s="722">
        <f t="shared" si="469"/>
        <v>250.53801949000001</v>
      </c>
      <c r="FK42" s="722">
        <f t="shared" si="469"/>
        <v>220.66335548000004</v>
      </c>
      <c r="FL42" s="722">
        <f t="shared" si="469"/>
        <v>200.36739750000004</v>
      </c>
      <c r="FM42" s="822">
        <f t="shared" si="469"/>
        <v>134.15466909</v>
      </c>
      <c r="FN42" s="722">
        <f t="shared" si="469"/>
        <v>294.7</v>
      </c>
      <c r="FO42" s="722">
        <f t="shared" si="469"/>
        <v>210.7</v>
      </c>
      <c r="FP42" s="722">
        <f t="shared" si="469"/>
        <v>243.5</v>
      </c>
      <c r="FQ42" s="722">
        <f t="shared" si="469"/>
        <v>266.8</v>
      </c>
      <c r="FR42" s="722">
        <f t="shared" si="469"/>
        <v>212.8</v>
      </c>
      <c r="FS42" s="722">
        <f t="shared" si="469"/>
        <v>141.5</v>
      </c>
      <c r="FT42" s="722">
        <f t="shared" si="469"/>
        <v>140</v>
      </c>
      <c r="FU42" s="722">
        <f t="shared" si="469"/>
        <v>165.10000000000002</v>
      </c>
      <c r="FV42" s="722">
        <f t="shared" si="469"/>
        <v>173</v>
      </c>
      <c r="FW42" s="722">
        <f t="shared" si="469"/>
        <v>73</v>
      </c>
      <c r="FX42" s="722">
        <f t="shared" si="469"/>
        <v>253.10000000000002</v>
      </c>
      <c r="FY42" s="822">
        <f t="shared" si="469"/>
        <v>230.7</v>
      </c>
      <c r="FZ42" s="722">
        <f t="shared" si="469"/>
        <v>131.5</v>
      </c>
      <c r="GA42" s="722">
        <f t="shared" si="469"/>
        <v>244.4</v>
      </c>
      <c r="GB42" s="722">
        <f t="shared" si="469"/>
        <v>233.3</v>
      </c>
      <c r="GC42" s="722">
        <f t="shared" ref="GC42:GF42" si="470">GC25</f>
        <v>236.36369331</v>
      </c>
      <c r="GD42" s="722">
        <f t="shared" si="470"/>
        <v>227.0943019</v>
      </c>
      <c r="GE42" s="722">
        <f t="shared" si="470"/>
        <v>203.03</v>
      </c>
      <c r="GF42" s="722">
        <f t="shared" si="470"/>
        <v>145.12180000000001</v>
      </c>
      <c r="GG42" s="722">
        <f t="shared" ref="GG42:GH42" si="471">GG25</f>
        <v>220.91300036999999</v>
      </c>
      <c r="GH42" s="722">
        <f t="shared" si="471"/>
        <v>171.6</v>
      </c>
      <c r="GI42" s="844">
        <f>GI25</f>
        <v>251.2</v>
      </c>
      <c r="GJ42" s="844">
        <f t="shared" ref="GJ42:GP42" si="472">GJ25</f>
        <v>257.60000000000002</v>
      </c>
      <c r="GK42" s="845">
        <f t="shared" si="472"/>
        <v>255.03773905</v>
      </c>
      <c r="GL42" s="722">
        <f t="shared" si="472"/>
        <v>257.89437607000002</v>
      </c>
      <c r="GM42" s="722">
        <f t="shared" si="472"/>
        <v>314.79999999999995</v>
      </c>
      <c r="GN42" s="722">
        <f t="shared" si="472"/>
        <v>217.8</v>
      </c>
      <c r="GO42" s="722">
        <f t="shared" si="472"/>
        <v>280.29999999999995</v>
      </c>
      <c r="GP42" s="722">
        <f t="shared" si="472"/>
        <v>235.3</v>
      </c>
      <c r="GQ42" s="722"/>
      <c r="GR42" s="722"/>
      <c r="GS42" s="722"/>
      <c r="GT42" s="722"/>
      <c r="GU42" s="722"/>
      <c r="GV42" s="722"/>
      <c r="GW42" s="822"/>
      <c r="HC42" s="5" t="s">
        <v>857</v>
      </c>
      <c r="HD42" s="722">
        <f>GP42</f>
        <v>235.3</v>
      </c>
      <c r="HE42" s="260">
        <f>GP42/GD42-1</f>
        <v>3.6133438978197541E-2</v>
      </c>
      <c r="HF42" s="260">
        <f>GP42/GO42-1</f>
        <v>-0.16054227613271477</v>
      </c>
      <c r="HG42" s="126">
        <f>SUM($GL42:GP42)</f>
        <v>1306.09437607</v>
      </c>
      <c r="HH42" s="126">
        <f>SUM($FZ42:GD42)</f>
        <v>1072.6579952100001</v>
      </c>
      <c r="HI42" s="205">
        <f>HG42/HH42-1</f>
        <v>0.21762423988113633</v>
      </c>
    </row>
    <row r="43" spans="1:217">
      <c r="A43" s="653" t="s">
        <v>858</v>
      </c>
      <c r="B43" s="648"/>
      <c r="C43" s="648"/>
      <c r="D43" s="648"/>
      <c r="E43" s="648"/>
      <c r="F43" s="648"/>
      <c r="G43" s="648"/>
      <c r="H43" s="648"/>
      <c r="I43" s="648"/>
      <c r="J43" s="648"/>
      <c r="K43" s="648"/>
      <c r="L43" s="648"/>
      <c r="M43" s="650"/>
      <c r="N43" s="648"/>
      <c r="O43" s="648"/>
      <c r="P43" s="648"/>
      <c r="Q43" s="648"/>
      <c r="R43" s="648"/>
      <c r="S43" s="648"/>
      <c r="T43" s="648"/>
      <c r="U43" s="648"/>
      <c r="V43" s="648"/>
      <c r="W43" s="648"/>
      <c r="X43" s="648"/>
      <c r="Y43" s="650"/>
      <c r="Z43" s="648"/>
      <c r="AA43" s="648"/>
      <c r="AB43" s="648"/>
      <c r="AC43" s="648"/>
      <c r="AD43" s="648"/>
      <c r="AE43" s="648"/>
      <c r="AF43" s="648"/>
      <c r="AG43" s="648"/>
      <c r="AH43" s="648"/>
      <c r="AI43" s="648"/>
      <c r="AJ43" s="648"/>
      <c r="AK43" s="650"/>
      <c r="AL43" s="648"/>
      <c r="AM43" s="648"/>
      <c r="AN43" s="648"/>
      <c r="AO43" s="648"/>
      <c r="AP43" s="648"/>
      <c r="AQ43" s="648"/>
      <c r="AR43" s="648"/>
      <c r="AS43" s="648"/>
      <c r="AT43" s="648"/>
      <c r="AU43" s="648"/>
      <c r="AV43" s="648"/>
      <c r="AW43" s="650"/>
      <c r="AX43" s="648"/>
      <c r="AY43" s="648"/>
      <c r="AZ43" s="648"/>
      <c r="BA43" s="648"/>
      <c r="BB43" s="648"/>
      <c r="BC43" s="648"/>
      <c r="BD43" s="648"/>
      <c r="BE43" s="648"/>
      <c r="BF43" s="648"/>
      <c r="BG43" s="648"/>
      <c r="BH43" s="648"/>
      <c r="BI43" s="650"/>
      <c r="BJ43" s="648"/>
      <c r="BK43" s="648"/>
      <c r="BL43" s="648"/>
      <c r="BM43" s="648"/>
      <c r="BN43" s="648"/>
      <c r="BO43" s="648"/>
      <c r="BP43" s="648"/>
      <c r="BQ43" s="648"/>
      <c r="BR43" s="648"/>
      <c r="BS43" s="648"/>
      <c r="BT43" s="648"/>
      <c r="BU43" s="650"/>
      <c r="BV43" s="648"/>
      <c r="BW43" s="648"/>
      <c r="BX43" s="648"/>
      <c r="BY43" s="648"/>
      <c r="BZ43" s="648"/>
      <c r="CA43" s="648"/>
      <c r="CB43" s="648"/>
      <c r="CC43" s="648"/>
      <c r="CD43" s="648"/>
      <c r="CE43" s="648"/>
      <c r="CF43" s="648"/>
      <c r="CG43" s="650"/>
      <c r="CH43" s="648"/>
      <c r="CI43" s="648"/>
      <c r="CJ43" s="648"/>
      <c r="CK43" s="648"/>
      <c r="CL43" s="648"/>
      <c r="CM43" s="648"/>
      <c r="CN43" s="648"/>
      <c r="CO43" s="648"/>
      <c r="CP43" s="648"/>
      <c r="CQ43" s="648"/>
      <c r="CR43" s="648"/>
      <c r="CS43" s="650"/>
      <c r="CT43" s="648"/>
      <c r="CU43" s="648"/>
      <c r="CV43" s="648"/>
      <c r="CW43" s="648"/>
      <c r="CX43" s="648"/>
      <c r="CY43" s="648"/>
      <c r="CZ43" s="648"/>
      <c r="DA43" s="648"/>
      <c r="DB43" s="648"/>
      <c r="DC43" s="648"/>
      <c r="DD43" s="648"/>
      <c r="DE43" s="650"/>
      <c r="DF43" s="648"/>
      <c r="DG43" s="648"/>
      <c r="DH43" s="648"/>
      <c r="DI43" s="648"/>
      <c r="DJ43" s="648"/>
      <c r="DK43" s="648"/>
      <c r="DL43" s="648"/>
      <c r="DM43" s="648"/>
      <c r="DN43" s="648"/>
      <c r="DO43" s="648"/>
      <c r="DP43" s="648"/>
      <c r="DQ43" s="650"/>
      <c r="DR43" s="648"/>
      <c r="DS43" s="648"/>
      <c r="DT43" s="648"/>
      <c r="DU43" s="648"/>
      <c r="DV43" s="648"/>
      <c r="DW43" s="648"/>
      <c r="DX43" s="648"/>
      <c r="DY43" s="648"/>
      <c r="DZ43" s="648"/>
      <c r="EA43" s="648"/>
      <c r="EB43" s="648"/>
      <c r="EC43" s="650"/>
      <c r="ED43" s="648"/>
      <c r="EE43" s="648"/>
      <c r="EF43" s="648"/>
      <c r="EG43" s="648"/>
      <c r="EH43" s="648"/>
      <c r="EI43" s="648"/>
      <c r="EJ43" s="648"/>
      <c r="EK43" s="648"/>
      <c r="EL43" s="648"/>
      <c r="EM43" s="648"/>
      <c r="EN43" s="648"/>
      <c r="EO43" s="650"/>
      <c r="EP43" s="648"/>
      <c r="EQ43" s="648"/>
      <c r="ER43" s="648"/>
      <c r="ES43" s="648"/>
      <c r="ET43" s="648"/>
      <c r="EU43" s="648"/>
      <c r="EV43" s="648"/>
      <c r="EW43" s="648"/>
      <c r="EX43" s="648"/>
      <c r="EY43" s="648"/>
      <c r="EZ43" s="648"/>
      <c r="FA43" s="650"/>
      <c r="FB43" s="797"/>
      <c r="FC43" s="648"/>
      <c r="FD43" s="648"/>
      <c r="FE43" s="648"/>
      <c r="FF43" s="648"/>
      <c r="FG43" s="648"/>
      <c r="FH43" s="648"/>
      <c r="FI43" s="648"/>
      <c r="FJ43" s="648"/>
      <c r="FK43" s="648"/>
      <c r="FL43" s="648"/>
      <c r="FM43" s="650"/>
      <c r="FN43" s="811">
        <f>FN42/FN41</f>
        <v>0.17414029284799001</v>
      </c>
      <c r="FO43" s="811">
        <f>FO42/FO41</f>
        <v>0.13540229613270466</v>
      </c>
      <c r="FP43" s="811">
        <f>FP42/FP41</f>
        <v>0.15572040672763318</v>
      </c>
      <c r="FQ43" s="811">
        <f t="shared" ref="FQ43:FS43" si="473">FQ42/FQ41</f>
        <v>0.16566731879274038</v>
      </c>
      <c r="FR43" s="811">
        <f t="shared" si="473"/>
        <v>0.13454861159423795</v>
      </c>
      <c r="FS43" s="811">
        <f t="shared" si="473"/>
        <v>0.12751717753247105</v>
      </c>
      <c r="FT43" s="811">
        <f t="shared" ref="FT43:GB43" si="474">FT42/FT41</f>
        <v>0.14624775116027833</v>
      </c>
      <c r="FU43" s="811">
        <f t="shared" si="474"/>
        <v>0.12939752844945976</v>
      </c>
      <c r="FV43" s="811">
        <f t="shared" si="474"/>
        <v>0.10890028529668101</v>
      </c>
      <c r="FW43" s="811">
        <f t="shared" si="474"/>
        <v>4.0550496137736612E-2</v>
      </c>
      <c r="FX43" s="811">
        <f t="shared" si="474"/>
        <v>0.14932205633026199</v>
      </c>
      <c r="FY43" s="774">
        <f t="shared" si="474"/>
        <v>0.13200591496360917</v>
      </c>
      <c r="FZ43" s="811">
        <f t="shared" si="474"/>
        <v>6.9651547376498937E-2</v>
      </c>
      <c r="GA43" s="811">
        <f t="shared" si="474"/>
        <v>0.13222961640426339</v>
      </c>
      <c r="GB43" s="811">
        <f t="shared" si="474"/>
        <v>0.13218709881268628</v>
      </c>
      <c r="GC43" s="811">
        <f t="shared" ref="GC43:GF43" si="475">GC42/GC41</f>
        <v>0.14056796216612208</v>
      </c>
      <c r="GD43" s="811">
        <f t="shared" si="475"/>
        <v>0.13977315240693983</v>
      </c>
      <c r="GE43" s="811">
        <f t="shared" si="475"/>
        <v>0.14712592746944528</v>
      </c>
      <c r="GF43" s="811">
        <f t="shared" si="475"/>
        <v>0.11114337383052057</v>
      </c>
      <c r="GG43" s="811">
        <f t="shared" ref="GG43:GK43" si="476">GG42/GG41</f>
        <v>0.15698936532304061</v>
      </c>
      <c r="GH43" s="811">
        <f t="shared" si="476"/>
        <v>0.10535690188348965</v>
      </c>
      <c r="GI43" s="773">
        <f t="shared" si="476"/>
        <v>0.13660115549357829</v>
      </c>
      <c r="GJ43" s="773">
        <f t="shared" si="476"/>
        <v>0.15378186376932723</v>
      </c>
      <c r="GK43" s="774">
        <f t="shared" si="476"/>
        <v>0.14279828614221723</v>
      </c>
      <c r="GL43" s="811">
        <f t="shared" ref="GL43:GW43" si="477">GL42/GL41</f>
        <v>0.14327465337222223</v>
      </c>
      <c r="GM43" s="811">
        <f t="shared" si="477"/>
        <v>0.18271237820745065</v>
      </c>
      <c r="GN43" s="811">
        <f t="shared" si="477"/>
        <v>0.13125837066416038</v>
      </c>
      <c r="GO43" s="811">
        <f t="shared" si="477"/>
        <v>0.17008495145631064</v>
      </c>
      <c r="GP43" s="811">
        <f t="shared" si="477"/>
        <v>0.14126193192051389</v>
      </c>
      <c r="GQ43" s="811" t="e">
        <f t="shared" si="477"/>
        <v>#DIV/0!</v>
      </c>
      <c r="GR43" s="811" t="e">
        <f t="shared" si="477"/>
        <v>#DIV/0!</v>
      </c>
      <c r="GS43" s="811" t="e">
        <f t="shared" si="477"/>
        <v>#DIV/0!</v>
      </c>
      <c r="GT43" s="811" t="e">
        <f t="shared" si="477"/>
        <v>#DIV/0!</v>
      </c>
      <c r="GU43" s="811" t="e">
        <f t="shared" si="477"/>
        <v>#DIV/0!</v>
      </c>
      <c r="GV43" s="811" t="e">
        <f t="shared" si="477"/>
        <v>#DIV/0!</v>
      </c>
      <c r="GW43" s="818" t="e">
        <f t="shared" si="477"/>
        <v>#DIV/0!</v>
      </c>
      <c r="HC43" s="653" t="s">
        <v>858</v>
      </c>
      <c r="HD43" s="811">
        <f>GP43</f>
        <v>0.14126193192051389</v>
      </c>
      <c r="HE43" s="811"/>
      <c r="HF43" s="811"/>
      <c r="HG43" s="811">
        <f>HG42/HG41</f>
        <v>0.15373142386665539</v>
      </c>
      <c r="HH43" s="811">
        <f>HH42/HH41</f>
        <v>0.12179029809926857</v>
      </c>
      <c r="HI43" s="774"/>
    </row>
    <row r="44" spans="1:217" ht="16" thickBot="1"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BA44" s="126"/>
      <c r="BB44" s="126"/>
      <c r="BC44" s="126"/>
      <c r="BD44" s="126"/>
      <c r="BE44" s="126"/>
      <c r="BF44" s="126"/>
      <c r="BG44" s="126"/>
      <c r="BH44" s="126"/>
      <c r="BI44" s="126"/>
      <c r="BJ44" s="126"/>
      <c r="HC44" s="217"/>
      <c r="HD44" s="657"/>
      <c r="HE44" s="657"/>
      <c r="HF44" s="657"/>
      <c r="HG44" s="657"/>
      <c r="HH44" s="657"/>
      <c r="HI44" s="658"/>
    </row>
    <row r="45" spans="1:217" ht="16" thickBot="1"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BA45" s="126"/>
      <c r="BB45" s="126"/>
      <c r="BC45" s="126"/>
      <c r="BD45" s="126"/>
      <c r="BE45" s="126"/>
      <c r="BF45" s="126"/>
      <c r="BG45" s="126"/>
      <c r="BH45" s="126"/>
      <c r="BI45" s="126"/>
      <c r="BJ45" s="126"/>
      <c r="DR45" s="445"/>
      <c r="DS45" s="445"/>
      <c r="DT45" s="445"/>
      <c r="DU45" s="711"/>
      <c r="DV45" s="445"/>
      <c r="DW45" s="445"/>
      <c r="DX45" s="445"/>
      <c r="DY45" s="445"/>
      <c r="DZ45" s="445"/>
      <c r="EA45" s="445"/>
      <c r="EB45" s="445"/>
      <c r="EC45" s="445"/>
      <c r="ED45" s="445"/>
      <c r="EE45" s="445"/>
      <c r="EF45" s="445"/>
      <c r="EG45" s="445"/>
      <c r="EP45" s="445"/>
      <c r="EQ45" s="445"/>
      <c r="ER45" s="445"/>
      <c r="ES45" s="445"/>
      <c r="GA45" s="722"/>
      <c r="GB45" s="722"/>
      <c r="GC45" s="260"/>
      <c r="GM45" s="722"/>
      <c r="GN45" s="722"/>
      <c r="GO45" s="260"/>
    </row>
    <row r="46" spans="1:217">
      <c r="A46" s="662" t="s">
        <v>286</v>
      </c>
      <c r="B46" s="663">
        <v>39814</v>
      </c>
      <c r="C46" s="663">
        <v>39845</v>
      </c>
      <c r="D46" s="663">
        <v>39873</v>
      </c>
      <c r="E46" s="663">
        <v>39904</v>
      </c>
      <c r="F46" s="663">
        <v>39934</v>
      </c>
      <c r="G46" s="663">
        <v>39965</v>
      </c>
      <c r="H46" s="663">
        <v>39995</v>
      </c>
      <c r="I46" s="663">
        <v>40026</v>
      </c>
      <c r="J46" s="663">
        <v>40057</v>
      </c>
      <c r="K46" s="663">
        <v>40087</v>
      </c>
      <c r="L46" s="663">
        <v>40118</v>
      </c>
      <c r="M46" s="664">
        <v>40148</v>
      </c>
      <c r="N46" s="663">
        <v>40179</v>
      </c>
      <c r="O46" s="663">
        <v>40210</v>
      </c>
      <c r="P46" s="663">
        <v>40238</v>
      </c>
      <c r="Q46" s="663">
        <v>40269</v>
      </c>
      <c r="R46" s="663">
        <v>40299</v>
      </c>
      <c r="S46" s="663">
        <v>40330</v>
      </c>
      <c r="T46" s="663">
        <v>40360</v>
      </c>
      <c r="U46" s="663">
        <v>40391</v>
      </c>
      <c r="V46" s="663">
        <v>40422</v>
      </c>
      <c r="W46" s="663">
        <v>40452</v>
      </c>
      <c r="X46" s="663">
        <v>40483</v>
      </c>
      <c r="Y46" s="664">
        <v>40513</v>
      </c>
      <c r="Z46" s="663">
        <v>40544</v>
      </c>
      <c r="AA46" s="663">
        <v>40575</v>
      </c>
      <c r="AB46" s="663">
        <v>40603</v>
      </c>
      <c r="AC46" s="663">
        <v>40634</v>
      </c>
      <c r="AD46" s="663">
        <v>40664</v>
      </c>
      <c r="AE46" s="663">
        <v>40695</v>
      </c>
      <c r="AF46" s="663">
        <v>40725</v>
      </c>
      <c r="AG46" s="663">
        <v>40756</v>
      </c>
      <c r="AH46" s="663">
        <v>40787</v>
      </c>
      <c r="AI46" s="663">
        <v>40817</v>
      </c>
      <c r="AJ46" s="663">
        <v>40848</v>
      </c>
      <c r="AK46" s="664">
        <v>40878</v>
      </c>
      <c r="AL46" s="663">
        <v>40909</v>
      </c>
      <c r="AM46" s="663">
        <v>40940</v>
      </c>
      <c r="AN46" s="663">
        <v>40969</v>
      </c>
      <c r="AO46" s="663">
        <v>41000</v>
      </c>
      <c r="AP46" s="663">
        <v>41030</v>
      </c>
      <c r="AQ46" s="663">
        <v>41061</v>
      </c>
      <c r="AR46" s="663">
        <v>41091</v>
      </c>
      <c r="AS46" s="663">
        <v>41122</v>
      </c>
      <c r="AT46" s="663">
        <v>41153</v>
      </c>
      <c r="AU46" s="663">
        <v>41183</v>
      </c>
      <c r="AV46" s="663">
        <v>41214</v>
      </c>
      <c r="AW46" s="664">
        <v>41244</v>
      </c>
      <c r="AX46" s="663">
        <v>41275</v>
      </c>
      <c r="AY46" s="663">
        <v>41306</v>
      </c>
      <c r="AZ46" s="663">
        <v>41334</v>
      </c>
      <c r="BA46" s="663">
        <v>41365</v>
      </c>
      <c r="BB46" s="663">
        <v>41395</v>
      </c>
      <c r="BC46" s="663">
        <v>41426</v>
      </c>
      <c r="BD46" s="663">
        <v>41456</v>
      </c>
      <c r="BE46" s="663">
        <v>41487</v>
      </c>
      <c r="BF46" s="663">
        <v>41518</v>
      </c>
      <c r="BG46" s="663">
        <v>41548</v>
      </c>
      <c r="BH46" s="663">
        <v>41579</v>
      </c>
      <c r="BI46" s="664">
        <v>41609</v>
      </c>
      <c r="BJ46" s="663">
        <v>41640</v>
      </c>
      <c r="BK46" s="663">
        <v>41671</v>
      </c>
      <c r="BL46" s="663">
        <v>41699</v>
      </c>
      <c r="BM46" s="663">
        <v>41730</v>
      </c>
      <c r="BN46" s="663">
        <v>41760</v>
      </c>
      <c r="BO46" s="663">
        <v>41791</v>
      </c>
      <c r="BP46" s="663">
        <v>41821</v>
      </c>
      <c r="BQ46" s="663">
        <v>41852</v>
      </c>
      <c r="BR46" s="663">
        <v>41883</v>
      </c>
      <c r="BS46" s="663">
        <v>41913</v>
      </c>
      <c r="BT46" s="663">
        <v>41944</v>
      </c>
      <c r="BU46" s="664">
        <v>41974</v>
      </c>
      <c r="BV46" s="663">
        <v>42005</v>
      </c>
      <c r="BW46" s="663">
        <v>42036</v>
      </c>
      <c r="BX46" s="663">
        <v>42064</v>
      </c>
      <c r="BY46" s="663">
        <v>42095</v>
      </c>
      <c r="BZ46" s="663">
        <v>42125</v>
      </c>
      <c r="CA46" s="663">
        <v>42156</v>
      </c>
      <c r="CB46" s="663">
        <v>42186</v>
      </c>
      <c r="CC46" s="663">
        <v>42217</v>
      </c>
      <c r="CD46" s="663">
        <v>42248</v>
      </c>
      <c r="CE46" s="663">
        <v>42278</v>
      </c>
      <c r="CF46" s="663">
        <v>42309</v>
      </c>
      <c r="CG46" s="664">
        <v>42339</v>
      </c>
      <c r="CH46" s="663">
        <v>42370</v>
      </c>
      <c r="CI46" s="663">
        <v>42401</v>
      </c>
      <c r="CJ46" s="663">
        <v>42430</v>
      </c>
      <c r="CK46" s="663">
        <v>42461</v>
      </c>
      <c r="CL46" s="663">
        <v>42491</v>
      </c>
      <c r="CM46" s="663">
        <v>42522</v>
      </c>
      <c r="CN46" s="663">
        <v>42552</v>
      </c>
      <c r="CO46" s="663">
        <v>42583</v>
      </c>
      <c r="CP46" s="663">
        <v>42614</v>
      </c>
      <c r="CQ46" s="663">
        <v>42644</v>
      </c>
      <c r="CR46" s="663">
        <v>42675</v>
      </c>
      <c r="CS46" s="664">
        <v>42705</v>
      </c>
      <c r="CT46" s="663">
        <v>42736</v>
      </c>
      <c r="CU46" s="663">
        <v>42767</v>
      </c>
      <c r="CV46" s="663">
        <v>42795</v>
      </c>
      <c r="CW46" s="663">
        <v>42826</v>
      </c>
      <c r="CX46" s="663">
        <v>42856</v>
      </c>
      <c r="CY46" s="663">
        <v>42887</v>
      </c>
      <c r="CZ46" s="663">
        <v>42917</v>
      </c>
      <c r="DA46" s="663">
        <v>42948</v>
      </c>
      <c r="DB46" s="663">
        <v>42979</v>
      </c>
      <c r="DC46" s="663">
        <v>43009</v>
      </c>
      <c r="DD46" s="663">
        <v>43040</v>
      </c>
      <c r="DE46" s="664">
        <v>43070</v>
      </c>
      <c r="DF46" s="663">
        <v>43101</v>
      </c>
      <c r="DG46" s="663">
        <v>43132</v>
      </c>
      <c r="DH46" s="663">
        <v>43160</v>
      </c>
      <c r="DI46" s="663">
        <v>43191</v>
      </c>
      <c r="DJ46" s="663">
        <v>43221</v>
      </c>
      <c r="DK46" s="663">
        <v>43252</v>
      </c>
      <c r="DL46" s="663">
        <v>43282</v>
      </c>
      <c r="DM46" s="663">
        <v>43313</v>
      </c>
      <c r="DN46" s="663">
        <v>43344</v>
      </c>
      <c r="DO46" s="663">
        <v>43374</v>
      </c>
      <c r="DP46" s="663">
        <v>43405</v>
      </c>
      <c r="DQ46" s="664">
        <v>43435</v>
      </c>
      <c r="DR46" s="663">
        <v>43466</v>
      </c>
      <c r="DS46" s="663">
        <v>43497</v>
      </c>
      <c r="DT46" s="663">
        <v>43525</v>
      </c>
      <c r="DU46" s="663">
        <v>43556</v>
      </c>
      <c r="DV46" s="663">
        <v>43586</v>
      </c>
      <c r="DW46" s="663">
        <v>43617</v>
      </c>
      <c r="DX46" s="663">
        <v>43647</v>
      </c>
      <c r="DY46" s="663">
        <v>43678</v>
      </c>
      <c r="DZ46" s="663">
        <v>43709</v>
      </c>
      <c r="EA46" s="663">
        <v>43739</v>
      </c>
      <c r="EB46" s="663">
        <v>43770</v>
      </c>
      <c r="EC46" s="664">
        <v>43800</v>
      </c>
      <c r="ED46" s="663">
        <v>43831</v>
      </c>
      <c r="EE46" s="663">
        <v>43862</v>
      </c>
      <c r="EF46" s="663">
        <v>43891</v>
      </c>
      <c r="EG46" s="663">
        <v>43922</v>
      </c>
      <c r="EH46" s="663">
        <v>43952</v>
      </c>
      <c r="EI46" s="663">
        <v>43983</v>
      </c>
      <c r="EJ46" s="663">
        <v>44013</v>
      </c>
      <c r="EK46" s="663">
        <v>44044</v>
      </c>
      <c r="EL46" s="663">
        <v>44075</v>
      </c>
      <c r="EM46" s="663">
        <v>44105</v>
      </c>
      <c r="EN46" s="663">
        <v>44136</v>
      </c>
      <c r="EO46" s="664">
        <v>44166</v>
      </c>
      <c r="EP46" s="663">
        <v>44197</v>
      </c>
      <c r="EQ46" s="663">
        <v>44228</v>
      </c>
      <c r="ER46" s="663">
        <v>44256</v>
      </c>
      <c r="ES46" s="663">
        <v>44287</v>
      </c>
      <c r="ET46" s="663">
        <v>44317</v>
      </c>
      <c r="EU46" s="663">
        <v>44348</v>
      </c>
      <c r="EV46" s="663">
        <v>44378</v>
      </c>
      <c r="EW46" s="663">
        <v>44409</v>
      </c>
      <c r="EX46" s="663">
        <v>44440</v>
      </c>
      <c r="EY46" s="663">
        <v>44470</v>
      </c>
      <c r="EZ46" s="663">
        <v>44501</v>
      </c>
      <c r="FA46" s="664">
        <v>44531</v>
      </c>
      <c r="FB46" s="663">
        <v>44562</v>
      </c>
      <c r="FC46" s="663">
        <v>44593</v>
      </c>
      <c r="FD46" s="663">
        <v>44621</v>
      </c>
      <c r="FE46" s="663">
        <v>44652</v>
      </c>
      <c r="FF46" s="663">
        <v>44682</v>
      </c>
      <c r="FG46" s="663">
        <v>44713</v>
      </c>
      <c r="FH46" s="663">
        <v>44743</v>
      </c>
      <c r="FI46" s="663">
        <v>44774</v>
      </c>
      <c r="FJ46" s="663">
        <v>44805</v>
      </c>
      <c r="FK46" s="663">
        <v>44835</v>
      </c>
      <c r="FL46" s="663">
        <v>44866</v>
      </c>
      <c r="FM46" s="664">
        <v>44896</v>
      </c>
      <c r="FN46" s="663">
        <v>44927</v>
      </c>
      <c r="FO46" s="663">
        <v>44958</v>
      </c>
      <c r="FP46" s="663">
        <v>44986</v>
      </c>
      <c r="FQ46" s="663">
        <v>45017</v>
      </c>
      <c r="FR46" s="663">
        <v>45047</v>
      </c>
      <c r="FS46" s="663">
        <v>45078</v>
      </c>
      <c r="FT46" s="663">
        <v>45108</v>
      </c>
      <c r="FU46" s="663">
        <v>45139</v>
      </c>
      <c r="FV46" s="663">
        <v>45170</v>
      </c>
      <c r="FW46" s="663">
        <v>45200</v>
      </c>
      <c r="FX46" s="663">
        <v>45231</v>
      </c>
      <c r="FY46" s="664">
        <v>45261</v>
      </c>
      <c r="FZ46" s="663">
        <v>45292</v>
      </c>
      <c r="GA46" s="663">
        <v>45323</v>
      </c>
      <c r="GB46" s="663">
        <v>45352</v>
      </c>
      <c r="GC46" s="663">
        <v>45383</v>
      </c>
      <c r="GD46" s="663">
        <v>45413</v>
      </c>
      <c r="GE46" s="663">
        <v>45444</v>
      </c>
      <c r="GF46" s="663">
        <v>45474</v>
      </c>
      <c r="GG46" s="663">
        <v>45505</v>
      </c>
      <c r="GH46" s="663">
        <v>45536</v>
      </c>
      <c r="GI46" s="663">
        <v>45566</v>
      </c>
      <c r="GJ46" s="663">
        <v>45597</v>
      </c>
      <c r="GK46" s="664">
        <v>45627</v>
      </c>
      <c r="GL46" s="663">
        <v>45658</v>
      </c>
      <c r="GM46" s="663">
        <v>45689</v>
      </c>
      <c r="GN46" s="663">
        <v>45717</v>
      </c>
      <c r="GO46" s="663">
        <v>45748</v>
      </c>
      <c r="GP46" s="663">
        <v>45778</v>
      </c>
      <c r="GQ46" s="663">
        <v>45809</v>
      </c>
      <c r="GR46" s="663">
        <v>45839</v>
      </c>
      <c r="GS46" s="663">
        <v>45870</v>
      </c>
      <c r="GT46" s="663">
        <v>45901</v>
      </c>
      <c r="GU46" s="663">
        <v>45931</v>
      </c>
      <c r="GV46" s="663">
        <v>45962</v>
      </c>
      <c r="GW46" s="664">
        <v>45992</v>
      </c>
      <c r="HC46" s="662" t="s">
        <v>286</v>
      </c>
      <c r="HD46" s="663">
        <f>GG46</f>
        <v>45505</v>
      </c>
      <c r="HE46" s="663" t="s">
        <v>835</v>
      </c>
      <c r="HF46" s="663" t="s">
        <v>836</v>
      </c>
      <c r="HG46" s="663" t="s">
        <v>849</v>
      </c>
      <c r="HH46" s="663" t="s">
        <v>837</v>
      </c>
      <c r="HI46" s="664" t="s">
        <v>838</v>
      </c>
    </row>
    <row r="47" spans="1:217">
      <c r="A47" s="5" t="s">
        <v>859</v>
      </c>
      <c r="B47" s="722"/>
      <c r="C47" s="722"/>
      <c r="D47" s="722"/>
      <c r="E47" s="722"/>
      <c r="F47" s="722"/>
      <c r="G47" s="722"/>
      <c r="H47" s="722"/>
      <c r="I47" s="722"/>
      <c r="J47" s="722"/>
      <c r="K47" s="722"/>
      <c r="L47" s="722"/>
      <c r="M47" s="822"/>
      <c r="N47" s="722"/>
      <c r="O47" s="722"/>
      <c r="P47" s="722"/>
      <c r="Q47" s="722"/>
      <c r="R47" s="722"/>
      <c r="S47" s="722"/>
      <c r="T47" s="722"/>
      <c r="U47" s="722"/>
      <c r="V47" s="722"/>
      <c r="W47" s="722"/>
      <c r="X47" s="722"/>
      <c r="Y47" s="822"/>
      <c r="Z47" s="722"/>
      <c r="AA47" s="722"/>
      <c r="AB47" s="722"/>
      <c r="AC47" s="722"/>
      <c r="AD47" s="722"/>
      <c r="AE47" s="722"/>
      <c r="AF47" s="722"/>
      <c r="AG47" s="722"/>
      <c r="AH47" s="722"/>
      <c r="AI47" s="722"/>
      <c r="AJ47" s="722"/>
      <c r="AK47" s="822"/>
      <c r="AL47" s="722"/>
      <c r="AM47" s="722"/>
      <c r="AN47" s="722"/>
      <c r="AO47" s="722"/>
      <c r="AP47" s="722"/>
      <c r="AQ47" s="722"/>
      <c r="AR47" s="722"/>
      <c r="AS47" s="722"/>
      <c r="AT47" s="722"/>
      <c r="AU47" s="722"/>
      <c r="AV47" s="722"/>
      <c r="AW47" s="822"/>
      <c r="AX47" s="722"/>
      <c r="AY47" s="722"/>
      <c r="AZ47" s="722"/>
      <c r="BA47" s="722"/>
      <c r="BB47" s="722"/>
      <c r="BC47" s="722"/>
      <c r="BD47" s="722"/>
      <c r="BE47" s="722"/>
      <c r="BF47" s="722"/>
      <c r="BG47" s="722"/>
      <c r="BH47" s="722"/>
      <c r="BI47" s="822"/>
      <c r="BJ47" s="722"/>
      <c r="BK47" s="722"/>
      <c r="BL47" s="722"/>
      <c r="BM47" s="722"/>
      <c r="BN47" s="722"/>
      <c r="BO47" s="722"/>
      <c r="BP47" s="722"/>
      <c r="BQ47" s="722"/>
      <c r="BR47" s="722"/>
      <c r="BS47" s="722"/>
      <c r="BT47" s="722"/>
      <c r="BU47" s="822"/>
      <c r="BV47" s="722"/>
      <c r="BW47" s="722"/>
      <c r="BX47" s="722"/>
      <c r="BY47" s="722"/>
      <c r="BZ47" s="722"/>
      <c r="CA47" s="722"/>
      <c r="CB47" s="722"/>
      <c r="CC47" s="722"/>
      <c r="CD47" s="722"/>
      <c r="CE47" s="722"/>
      <c r="CF47" s="722"/>
      <c r="CG47" s="822"/>
      <c r="CH47" s="722"/>
      <c r="CI47" s="722"/>
      <c r="CJ47" s="722"/>
      <c r="CK47" s="722"/>
      <c r="CL47" s="722"/>
      <c r="CM47" s="722"/>
      <c r="CN47" s="722"/>
      <c r="CO47" s="722"/>
      <c r="CP47" s="722"/>
      <c r="CQ47" s="722"/>
      <c r="CR47" s="722"/>
      <c r="CS47" s="822"/>
      <c r="CT47" s="722"/>
      <c r="CU47" s="722"/>
      <c r="CV47" s="722"/>
      <c r="CW47" s="722"/>
      <c r="CX47" s="722"/>
      <c r="CY47" s="722"/>
      <c r="CZ47" s="722"/>
      <c r="DA47" s="722"/>
      <c r="DB47" s="722"/>
      <c r="DC47" s="722"/>
      <c r="DD47" s="722"/>
      <c r="DE47" s="822"/>
      <c r="DF47" s="722"/>
      <c r="DG47" s="722"/>
      <c r="DH47" s="722"/>
      <c r="DI47" s="722"/>
      <c r="DJ47" s="722"/>
      <c r="DK47" s="722"/>
      <c r="DL47" s="722"/>
      <c r="DM47" s="722"/>
      <c r="DN47" s="722"/>
      <c r="DO47" s="722"/>
      <c r="DP47" s="722"/>
      <c r="DQ47" s="822"/>
      <c r="DR47" s="722"/>
      <c r="DS47" s="722"/>
      <c r="DT47" s="722"/>
      <c r="DU47" s="722"/>
      <c r="DV47" s="722"/>
      <c r="DW47" s="722"/>
      <c r="DX47" s="722"/>
      <c r="DY47" s="722"/>
      <c r="DZ47" s="722"/>
      <c r="EA47" s="722"/>
      <c r="EB47" s="722"/>
      <c r="EC47" s="822"/>
      <c r="ED47" s="722"/>
      <c r="EE47" s="722"/>
      <c r="EF47" s="722"/>
      <c r="EG47" s="823"/>
      <c r="EH47" s="722"/>
      <c r="EI47" s="722"/>
      <c r="EJ47" s="722"/>
      <c r="EK47" s="722"/>
      <c r="EL47" s="722"/>
      <c r="EM47" s="722"/>
      <c r="EN47" s="722"/>
      <c r="EO47" s="822"/>
      <c r="EP47" s="722"/>
      <c r="EQ47" s="722"/>
      <c r="ER47" s="722"/>
      <c r="ES47" s="823"/>
      <c r="ET47" s="722"/>
      <c r="EU47" s="722"/>
      <c r="EV47" s="722"/>
      <c r="EW47" s="722"/>
      <c r="EX47" s="722"/>
      <c r="EY47" s="722"/>
      <c r="EZ47" s="722"/>
      <c r="FA47" s="822"/>
      <c r="FB47" s="722"/>
      <c r="FC47" s="722"/>
      <c r="FD47" s="722"/>
      <c r="FE47" s="823"/>
      <c r="FF47" s="722"/>
      <c r="FG47" s="722"/>
      <c r="FH47" s="722"/>
      <c r="FI47" s="722"/>
      <c r="FJ47" s="722"/>
      <c r="FK47" s="722"/>
      <c r="FL47" s="722"/>
      <c r="FM47" s="822"/>
      <c r="FN47" s="820">
        <v>49.536852750000001</v>
      </c>
      <c r="FO47" s="820">
        <v>45.811045249999999</v>
      </c>
      <c r="FP47" s="820">
        <v>55.905258500000002</v>
      </c>
      <c r="FQ47" s="820">
        <v>54.583536500000001</v>
      </c>
      <c r="FR47" s="820">
        <v>56.197163500000002</v>
      </c>
      <c r="FS47" s="820">
        <v>50.944258249999997</v>
      </c>
      <c r="FT47" s="820">
        <v>45.480327750000001</v>
      </c>
      <c r="FU47" s="820">
        <v>42.983735499999995</v>
      </c>
      <c r="FV47" s="820">
        <v>48.535915250000002</v>
      </c>
      <c r="FW47" s="820">
        <v>52.634370249999996</v>
      </c>
      <c r="FX47" s="820">
        <v>48.9335345</v>
      </c>
      <c r="FY47" s="821">
        <v>50.644781000000002</v>
      </c>
      <c r="FZ47" s="820">
        <v>47.841185519999996</v>
      </c>
      <c r="GA47" s="820">
        <v>48.567523250000001</v>
      </c>
      <c r="GB47" s="820">
        <v>56.473647249999999</v>
      </c>
      <c r="GC47" s="820">
        <v>56.493316499999999</v>
      </c>
      <c r="GD47" s="820">
        <v>56.697600999999999</v>
      </c>
      <c r="GE47" s="820">
        <v>45.814887749999997</v>
      </c>
      <c r="GF47" s="820">
        <v>41.823138</v>
      </c>
      <c r="GG47" s="820"/>
      <c r="GH47" s="722"/>
      <c r="GI47" s="722"/>
      <c r="GJ47" s="722"/>
      <c r="GK47" s="822"/>
      <c r="GL47" s="820"/>
      <c r="GM47" s="820"/>
      <c r="GN47" s="820"/>
      <c r="GO47" s="820"/>
      <c r="GP47" s="820"/>
      <c r="GQ47" s="820"/>
      <c r="GR47" s="820"/>
      <c r="GS47" s="820"/>
      <c r="GT47" s="722"/>
      <c r="GU47" s="722"/>
      <c r="GV47" s="722"/>
      <c r="GW47" s="822"/>
      <c r="HC47" s="5" t="str">
        <f>A47</f>
        <v>Horseracing Turnover</v>
      </c>
      <c r="HD47" s="722">
        <f>GG47</f>
        <v>0</v>
      </c>
      <c r="HE47" s="260">
        <f>GG47/FU47-1</f>
        <v>-1</v>
      </c>
      <c r="HF47" s="260">
        <f>GG47/GF47-1</f>
        <v>-1</v>
      </c>
      <c r="HG47" s="126">
        <f>SUM($FZ47:GG47)</f>
        <v>353.71129926999993</v>
      </c>
      <c r="HH47" s="126">
        <f>SUM($FN47:FU47)</f>
        <v>401.44217800000001</v>
      </c>
      <c r="HI47" s="205">
        <f>HG47/HH47-1</f>
        <v>-0.11889851476941737</v>
      </c>
    </row>
    <row r="48" spans="1:217">
      <c r="A48" s="5" t="s">
        <v>860</v>
      </c>
      <c r="B48" s="722"/>
      <c r="C48" s="722"/>
      <c r="D48" s="722"/>
      <c r="E48" s="722"/>
      <c r="F48" s="722"/>
      <c r="G48" s="722"/>
      <c r="H48" s="722"/>
      <c r="I48" s="722"/>
      <c r="J48" s="722"/>
      <c r="K48" s="722"/>
      <c r="L48" s="722"/>
      <c r="M48" s="822"/>
      <c r="N48" s="722"/>
      <c r="O48" s="722"/>
      <c r="P48" s="722"/>
      <c r="Q48" s="722"/>
      <c r="R48" s="722"/>
      <c r="S48" s="722"/>
      <c r="T48" s="722"/>
      <c r="U48" s="722"/>
      <c r="V48" s="722"/>
      <c r="W48" s="722"/>
      <c r="X48" s="722"/>
      <c r="Y48" s="822"/>
      <c r="Z48" s="722"/>
      <c r="AA48" s="722"/>
      <c r="AB48" s="722"/>
      <c r="AC48" s="722"/>
      <c r="AD48" s="722"/>
      <c r="AE48" s="722"/>
      <c r="AF48" s="722"/>
      <c r="AG48" s="722"/>
      <c r="AH48" s="722"/>
      <c r="AI48" s="722"/>
      <c r="AJ48" s="722"/>
      <c r="AK48" s="822"/>
      <c r="AL48" s="722"/>
      <c r="AM48" s="722"/>
      <c r="AN48" s="722"/>
      <c r="AO48" s="722"/>
      <c r="AP48" s="722"/>
      <c r="AQ48" s="722"/>
      <c r="AR48" s="722"/>
      <c r="AS48" s="722"/>
      <c r="AT48" s="722"/>
      <c r="AU48" s="722"/>
      <c r="AV48" s="722"/>
      <c r="AW48" s="822"/>
      <c r="AX48" s="722"/>
      <c r="AY48" s="722"/>
      <c r="AZ48" s="722"/>
      <c r="BA48" s="722"/>
      <c r="BB48" s="722"/>
      <c r="BC48" s="722"/>
      <c r="BD48" s="722"/>
      <c r="BE48" s="722"/>
      <c r="BF48" s="722"/>
      <c r="BG48" s="722"/>
      <c r="BH48" s="722"/>
      <c r="BI48" s="822"/>
      <c r="BJ48" s="722"/>
      <c r="BK48" s="722"/>
      <c r="BL48" s="722"/>
      <c r="BM48" s="722"/>
      <c r="BN48" s="722"/>
      <c r="BO48" s="722"/>
      <c r="BP48" s="722"/>
      <c r="BQ48" s="722"/>
      <c r="BR48" s="722"/>
      <c r="BS48" s="722"/>
      <c r="BT48" s="722"/>
      <c r="BU48" s="822"/>
      <c r="BV48" s="722"/>
      <c r="BW48" s="722"/>
      <c r="BX48" s="722"/>
      <c r="BY48" s="722"/>
      <c r="BZ48" s="722"/>
      <c r="CA48" s="722"/>
      <c r="CB48" s="722"/>
      <c r="CC48" s="722"/>
      <c r="CD48" s="722"/>
      <c r="CE48" s="722"/>
      <c r="CF48" s="722"/>
      <c r="CG48" s="822"/>
      <c r="CH48" s="722"/>
      <c r="CI48" s="722"/>
      <c r="CJ48" s="722"/>
      <c r="CK48" s="722"/>
      <c r="CL48" s="722"/>
      <c r="CM48" s="722"/>
      <c r="CN48" s="722"/>
      <c r="CO48" s="722"/>
      <c r="CP48" s="722"/>
      <c r="CQ48" s="722"/>
      <c r="CR48" s="722"/>
      <c r="CS48" s="822"/>
      <c r="CT48" s="722"/>
      <c r="CU48" s="722"/>
      <c r="CV48" s="722"/>
      <c r="CW48" s="722"/>
      <c r="CX48" s="722"/>
      <c r="CY48" s="722"/>
      <c r="CZ48" s="722"/>
      <c r="DA48" s="722"/>
      <c r="DB48" s="722"/>
      <c r="DC48" s="722"/>
      <c r="DD48" s="722"/>
      <c r="DE48" s="822"/>
      <c r="DF48" s="722"/>
      <c r="DG48" s="722"/>
      <c r="DH48" s="722"/>
      <c r="DI48" s="722"/>
      <c r="DJ48" s="722"/>
      <c r="DK48" s="722"/>
      <c r="DL48" s="722"/>
      <c r="DM48" s="722"/>
      <c r="DN48" s="722"/>
      <c r="DO48" s="722"/>
      <c r="DP48" s="722"/>
      <c r="DQ48" s="822"/>
      <c r="DR48" s="722"/>
      <c r="DS48" s="722"/>
      <c r="DT48" s="722"/>
      <c r="DU48" s="722"/>
      <c r="DV48" s="722"/>
      <c r="DW48" s="722"/>
      <c r="DX48" s="722"/>
      <c r="DY48" s="722"/>
      <c r="DZ48" s="722"/>
      <c r="EA48" s="722"/>
      <c r="EB48" s="722"/>
      <c r="EC48" s="822"/>
      <c r="ED48" s="722"/>
      <c r="EE48" s="722"/>
      <c r="EF48" s="722"/>
      <c r="EG48" s="722"/>
      <c r="EH48" s="722"/>
      <c r="EI48" s="722"/>
      <c r="EJ48" s="722"/>
      <c r="EK48" s="722"/>
      <c r="EL48" s="722"/>
      <c r="EM48" s="722"/>
      <c r="EN48" s="722"/>
      <c r="EO48" s="822"/>
      <c r="EP48" s="722"/>
      <c r="EQ48" s="722"/>
      <c r="ER48" s="722"/>
      <c r="ES48" s="722"/>
      <c r="ET48" s="722"/>
      <c r="EU48" s="722"/>
      <c r="EV48" s="722"/>
      <c r="EW48" s="722"/>
      <c r="EX48" s="722"/>
      <c r="EY48" s="722"/>
      <c r="EZ48" s="722"/>
      <c r="FA48" s="822"/>
      <c r="FB48" s="722"/>
      <c r="FC48" s="722"/>
      <c r="FD48" s="722"/>
      <c r="FE48" s="722"/>
      <c r="FF48" s="722"/>
      <c r="FG48" s="722"/>
      <c r="FH48" s="722"/>
      <c r="FI48" s="722"/>
      <c r="FJ48" s="722"/>
      <c r="FK48" s="722"/>
      <c r="FL48" s="722"/>
      <c r="FM48" s="822"/>
      <c r="FN48" s="820">
        <v>8.2039498700000006</v>
      </c>
      <c r="FO48" s="820">
        <v>7.6171483100000001</v>
      </c>
      <c r="FP48" s="820">
        <v>8.0090948799999993</v>
      </c>
      <c r="FQ48" s="820">
        <v>7.4014763299999995</v>
      </c>
      <c r="FR48" s="820">
        <v>8.12768713</v>
      </c>
      <c r="FS48" s="820">
        <v>7.6018515499999992</v>
      </c>
      <c r="FT48" s="820">
        <v>7.0694352400000007</v>
      </c>
      <c r="FU48" s="820">
        <v>6.7725754199999999</v>
      </c>
      <c r="FV48" s="820">
        <v>6.9149475499999999</v>
      </c>
      <c r="FW48" s="820">
        <v>8.4512634999999996</v>
      </c>
      <c r="FX48" s="820">
        <v>8.2378114500000006</v>
      </c>
      <c r="FY48" s="821">
        <v>8.4498341000000003</v>
      </c>
      <c r="FZ48" s="820">
        <v>7.7884429300000004</v>
      </c>
      <c r="GA48" s="820">
        <v>7.8958960999999999</v>
      </c>
      <c r="GB48" s="820">
        <v>8.4353015500000001</v>
      </c>
      <c r="GC48" s="820">
        <v>8.5888994400000005</v>
      </c>
      <c r="GD48" s="820">
        <v>9.6350808699999995</v>
      </c>
      <c r="GE48" s="820">
        <v>8.2207031599999993</v>
      </c>
      <c r="GF48" s="820">
        <v>6.5861597700000001</v>
      </c>
      <c r="GG48" s="820"/>
      <c r="GH48" s="824"/>
      <c r="GI48" s="824"/>
      <c r="GJ48" s="722"/>
      <c r="GK48" s="822"/>
      <c r="GL48" s="820"/>
      <c r="GM48" s="820"/>
      <c r="GN48" s="820"/>
      <c r="GO48" s="820"/>
      <c r="GP48" s="820"/>
      <c r="GQ48" s="820"/>
      <c r="GR48" s="820"/>
      <c r="GS48" s="820"/>
      <c r="GT48" s="824"/>
      <c r="GU48" s="824"/>
      <c r="GV48" s="722"/>
      <c r="GW48" s="822"/>
      <c r="HC48" s="5" t="str">
        <f>A48</f>
        <v>Horseracing GGR</v>
      </c>
      <c r="HD48" s="722">
        <f>GG48</f>
        <v>0</v>
      </c>
      <c r="HE48" s="260">
        <f>GG48/FU48-1</f>
        <v>-1</v>
      </c>
      <c r="HF48" s="260">
        <f>GG48/GF48-1</f>
        <v>-1</v>
      </c>
      <c r="HG48" s="126">
        <f>SUM($FZ48:GG48)</f>
        <v>57.150483819999998</v>
      </c>
      <c r="HH48" s="126">
        <f>SUM($FN48:FU48)</f>
        <v>60.803218730000005</v>
      </c>
      <c r="HI48" s="205">
        <f>HG48/HH48-1</f>
        <v>-6.0074696476516753E-2</v>
      </c>
    </row>
    <row r="49" spans="1:217">
      <c r="A49" s="653" t="s">
        <v>861</v>
      </c>
      <c r="B49" s="648"/>
      <c r="C49" s="648"/>
      <c r="D49" s="648"/>
      <c r="E49" s="648"/>
      <c r="F49" s="648"/>
      <c r="G49" s="648"/>
      <c r="H49" s="648"/>
      <c r="I49" s="648"/>
      <c r="J49" s="648"/>
      <c r="K49" s="648"/>
      <c r="L49" s="648"/>
      <c r="M49" s="650"/>
      <c r="N49" s="648"/>
      <c r="O49" s="648"/>
      <c r="P49" s="648"/>
      <c r="Q49" s="648"/>
      <c r="R49" s="648"/>
      <c r="S49" s="648"/>
      <c r="T49" s="648"/>
      <c r="U49" s="648"/>
      <c r="V49" s="648"/>
      <c r="W49" s="648"/>
      <c r="X49" s="648"/>
      <c r="Y49" s="650"/>
      <c r="Z49" s="648"/>
      <c r="AA49" s="648"/>
      <c r="AB49" s="648"/>
      <c r="AC49" s="648"/>
      <c r="AD49" s="648"/>
      <c r="AE49" s="648"/>
      <c r="AF49" s="648"/>
      <c r="AG49" s="648"/>
      <c r="AH49" s="648"/>
      <c r="AI49" s="648"/>
      <c r="AJ49" s="648"/>
      <c r="AK49" s="650"/>
      <c r="AL49" s="648"/>
      <c r="AM49" s="648"/>
      <c r="AN49" s="648"/>
      <c r="AO49" s="648"/>
      <c r="AP49" s="648"/>
      <c r="AQ49" s="648"/>
      <c r="AR49" s="648"/>
      <c r="AS49" s="648"/>
      <c r="AT49" s="648"/>
      <c r="AU49" s="648"/>
      <c r="AV49" s="648"/>
      <c r="AW49" s="650"/>
      <c r="AX49" s="648"/>
      <c r="AY49" s="648"/>
      <c r="AZ49" s="648"/>
      <c r="BA49" s="648"/>
      <c r="BB49" s="648"/>
      <c r="BC49" s="648"/>
      <c r="BD49" s="648"/>
      <c r="BE49" s="648"/>
      <c r="BF49" s="648"/>
      <c r="BG49" s="648"/>
      <c r="BH49" s="648"/>
      <c r="BI49" s="650"/>
      <c r="BJ49" s="648"/>
      <c r="BK49" s="648"/>
      <c r="BL49" s="648"/>
      <c r="BM49" s="648"/>
      <c r="BN49" s="648"/>
      <c r="BO49" s="648"/>
      <c r="BP49" s="648"/>
      <c r="BQ49" s="648"/>
      <c r="BR49" s="648"/>
      <c r="BS49" s="648"/>
      <c r="BT49" s="648"/>
      <c r="BU49" s="650"/>
      <c r="BV49" s="648"/>
      <c r="BW49" s="648"/>
      <c r="BX49" s="648"/>
      <c r="BY49" s="648"/>
      <c r="BZ49" s="648"/>
      <c r="CA49" s="648"/>
      <c r="CB49" s="648"/>
      <c r="CC49" s="648"/>
      <c r="CD49" s="648"/>
      <c r="CE49" s="648"/>
      <c r="CF49" s="648"/>
      <c r="CG49" s="650"/>
      <c r="CH49" s="648"/>
      <c r="CI49" s="648"/>
      <c r="CJ49" s="648"/>
      <c r="CK49" s="648"/>
      <c r="CL49" s="648"/>
      <c r="CM49" s="648"/>
      <c r="CN49" s="648"/>
      <c r="CO49" s="648"/>
      <c r="CP49" s="648"/>
      <c r="CQ49" s="648"/>
      <c r="CR49" s="648"/>
      <c r="CS49" s="650"/>
      <c r="CT49" s="648"/>
      <c r="CU49" s="648"/>
      <c r="CV49" s="648"/>
      <c r="CW49" s="648"/>
      <c r="CX49" s="648"/>
      <c r="CY49" s="648"/>
      <c r="CZ49" s="648"/>
      <c r="DA49" s="648"/>
      <c r="DB49" s="648"/>
      <c r="DC49" s="648"/>
      <c r="DD49" s="648"/>
      <c r="DE49" s="650"/>
      <c r="DF49" s="648"/>
      <c r="DG49" s="648"/>
      <c r="DH49" s="648"/>
      <c r="DI49" s="648"/>
      <c r="DJ49" s="648"/>
      <c r="DK49" s="648"/>
      <c r="DL49" s="648"/>
      <c r="DM49" s="648"/>
      <c r="DN49" s="648"/>
      <c r="DO49" s="648"/>
      <c r="DP49" s="648"/>
      <c r="DQ49" s="650"/>
      <c r="DR49" s="648"/>
      <c r="DS49" s="648"/>
      <c r="DT49" s="648"/>
      <c r="DU49" s="648"/>
      <c r="DV49" s="648"/>
      <c r="DW49" s="648"/>
      <c r="DX49" s="648"/>
      <c r="DY49" s="648"/>
      <c r="DZ49" s="648"/>
      <c r="EA49" s="648"/>
      <c r="EB49" s="648"/>
      <c r="EC49" s="650"/>
      <c r="ED49" s="648"/>
      <c r="EE49" s="648"/>
      <c r="EF49" s="648"/>
      <c r="EG49" s="648"/>
      <c r="EH49" s="648"/>
      <c r="EI49" s="648"/>
      <c r="EJ49" s="648"/>
      <c r="EK49" s="648"/>
      <c r="EL49" s="648"/>
      <c r="EM49" s="648"/>
      <c r="EN49" s="648"/>
      <c r="EO49" s="650"/>
      <c r="EP49" s="648"/>
      <c r="EQ49" s="648"/>
      <c r="ER49" s="648"/>
      <c r="ES49" s="648"/>
      <c r="ET49" s="648"/>
      <c r="EU49" s="648"/>
      <c r="EV49" s="648"/>
      <c r="EW49" s="648"/>
      <c r="EX49" s="648"/>
      <c r="EY49" s="648"/>
      <c r="EZ49" s="648"/>
      <c r="FA49" s="650"/>
      <c r="FB49" s="797"/>
      <c r="FC49" s="648"/>
      <c r="FD49" s="648"/>
      <c r="FE49" s="648"/>
      <c r="FF49" s="648"/>
      <c r="FG49" s="648"/>
      <c r="FH49" s="648"/>
      <c r="FI49" s="648"/>
      <c r="FJ49" s="648"/>
      <c r="FK49" s="648"/>
      <c r="FL49" s="648"/>
      <c r="FM49" s="650"/>
      <c r="FN49" s="811">
        <f>FN48/FN47</f>
        <v>0.16561306208537846</v>
      </c>
      <c r="FO49" s="811">
        <f>FO48/FO47</f>
        <v>0.16627318299400734</v>
      </c>
      <c r="FP49" s="811">
        <f>FP48/FP47</f>
        <v>0.14326192374193206</v>
      </c>
      <c r="FQ49" s="811">
        <f t="shared" ref="FQ49" si="478">FQ48/FQ47</f>
        <v>0.13559906163280569</v>
      </c>
      <c r="FR49" s="811">
        <f t="shared" ref="FR49" si="479">FR48/FR47</f>
        <v>0.14462806703758277</v>
      </c>
      <c r="FS49" s="811">
        <f t="shared" ref="FS49" si="480">FS48/FS47</f>
        <v>0.14921900546073805</v>
      </c>
      <c r="FT49" s="811">
        <f t="shared" ref="FT49:GD49" si="481">FT48/FT47</f>
        <v>0.15543940841543299</v>
      </c>
      <c r="FU49" s="811">
        <f t="shared" si="481"/>
        <v>0.1575613506183054</v>
      </c>
      <c r="FV49" s="811">
        <f t="shared" si="481"/>
        <v>0.14247073562705712</v>
      </c>
      <c r="FW49" s="811">
        <f t="shared" si="481"/>
        <v>0.16056549094932887</v>
      </c>
      <c r="FX49" s="811">
        <f t="shared" si="481"/>
        <v>0.16834695335567881</v>
      </c>
      <c r="FY49" s="774">
        <f t="shared" si="481"/>
        <v>0.16684511085159989</v>
      </c>
      <c r="FZ49" s="811">
        <f t="shared" si="481"/>
        <v>0.16279786642711944</v>
      </c>
      <c r="GA49" s="811">
        <f t="shared" si="481"/>
        <v>0.16257563844374132</v>
      </c>
      <c r="GB49" s="811">
        <f t="shared" si="481"/>
        <v>0.14936704039422566</v>
      </c>
      <c r="GC49" s="811">
        <f t="shared" si="481"/>
        <v>0.15203390369195266</v>
      </c>
      <c r="GD49" s="811">
        <f t="shared" si="481"/>
        <v>0.16993806969010911</v>
      </c>
      <c r="GE49" s="811">
        <f t="shared" ref="GE49" si="482">GE48/GE47</f>
        <v>0.17943300886948041</v>
      </c>
      <c r="GF49" s="811">
        <f t="shared" ref="GF49" si="483">GF48/GF47</f>
        <v>0.15747646123540515</v>
      </c>
      <c r="GG49" s="817"/>
      <c r="GH49" s="817"/>
      <c r="GI49" s="817"/>
      <c r="GJ49" s="817"/>
      <c r="GK49" s="818"/>
      <c r="GL49" s="811"/>
      <c r="GM49" s="811"/>
      <c r="GN49" s="811"/>
      <c r="GO49" s="811"/>
      <c r="GP49" s="811"/>
      <c r="GQ49" s="811"/>
      <c r="GR49" s="811"/>
      <c r="GS49" s="817"/>
      <c r="GT49" s="817"/>
      <c r="GU49" s="817"/>
      <c r="GV49" s="817"/>
      <c r="GW49" s="818"/>
      <c r="HC49" s="653" t="str">
        <f>A49</f>
        <v>Horseracing GGR Margin (%)</v>
      </c>
      <c r="HD49" s="811">
        <f>GG49</f>
        <v>0</v>
      </c>
      <c r="HE49" s="811"/>
      <c r="HF49" s="811"/>
      <c r="HG49" s="811">
        <f>HG48/HG47</f>
        <v>0.16157381440160068</v>
      </c>
      <c r="HH49" s="811">
        <f>HH48/HH47</f>
        <v>0.15146195906200968</v>
      </c>
      <c r="HI49" s="774"/>
    </row>
    <row r="50" spans="1:217" ht="16" thickBot="1"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BA50" s="126"/>
      <c r="BB50" s="126"/>
      <c r="BC50" s="126"/>
      <c r="BD50" s="126"/>
      <c r="BE50" s="126"/>
      <c r="BF50" s="126"/>
      <c r="BG50" s="126"/>
      <c r="BH50" s="126"/>
      <c r="BI50" s="126"/>
      <c r="BJ50" s="126"/>
      <c r="HC50" s="217"/>
      <c r="HD50" s="657"/>
      <c r="HE50" s="657"/>
      <c r="HF50" s="657"/>
      <c r="HG50" s="657"/>
      <c r="HH50" s="657"/>
      <c r="HI50" s="658"/>
    </row>
    <row r="51" spans="1:217"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BA51" s="126"/>
      <c r="BB51" s="126"/>
      <c r="BC51" s="126"/>
      <c r="BD51" s="126"/>
      <c r="BE51" s="126"/>
      <c r="BF51" s="126"/>
      <c r="BG51" s="126"/>
      <c r="BH51" s="126"/>
      <c r="BI51" s="126"/>
      <c r="BJ51" s="126"/>
    </row>
    <row r="52" spans="1:217" ht="19">
      <c r="A52" s="435" t="s">
        <v>850</v>
      </c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U52" s="435" t="s">
        <v>780</v>
      </c>
      <c r="AQ52" s="435"/>
      <c r="CE52" s="126"/>
      <c r="DS52" s="445"/>
      <c r="DT52" s="445"/>
      <c r="DU52" s="445"/>
      <c r="DV52" s="445"/>
      <c r="DW52" s="445"/>
      <c r="DX52" s="445"/>
      <c r="DY52" s="445"/>
      <c r="DZ52" s="445"/>
      <c r="EA52" s="445"/>
      <c r="EB52" s="445"/>
      <c r="EC52" s="126"/>
      <c r="ED52" s="445"/>
      <c r="EE52" s="445"/>
      <c r="EF52" s="445"/>
      <c r="EP52" s="445"/>
      <c r="EQ52" s="445"/>
      <c r="ER52" s="445"/>
      <c r="FN52" s="126"/>
      <c r="GA52" s="722"/>
      <c r="GB52" s="722"/>
      <c r="GC52" s="260"/>
      <c r="GU52" s="126"/>
      <c r="GV52" s="126"/>
    </row>
    <row r="53" spans="1:217" ht="16" thickBot="1"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AC53" s="126"/>
      <c r="CE53" s="126"/>
      <c r="DR53" s="126"/>
      <c r="DW53" s="260"/>
      <c r="EF53" s="260"/>
      <c r="ER53" s="260"/>
      <c r="FN53" s="126"/>
      <c r="FO53" s="260"/>
      <c r="GA53" s="260"/>
      <c r="GB53" s="260"/>
      <c r="GH53" s="209"/>
      <c r="GI53" s="209"/>
      <c r="GJ53" s="209"/>
      <c r="GK53" s="209"/>
    </row>
    <row r="54" spans="1:217">
      <c r="A54" s="662" t="s">
        <v>286</v>
      </c>
      <c r="B54" s="15">
        <v>2009</v>
      </c>
      <c r="C54" s="15">
        <v>2010</v>
      </c>
      <c r="D54" s="15">
        <v>2011</v>
      </c>
      <c r="E54" s="15">
        <v>2012</v>
      </c>
      <c r="F54" s="15">
        <v>2013</v>
      </c>
      <c r="G54" s="15">
        <v>2014</v>
      </c>
      <c r="H54" s="15">
        <v>2015</v>
      </c>
      <c r="I54" s="15">
        <v>2016</v>
      </c>
      <c r="J54" s="15">
        <v>2017</v>
      </c>
      <c r="K54" s="15">
        <v>2018</v>
      </c>
      <c r="L54" s="15">
        <v>2019</v>
      </c>
      <c r="M54" s="15">
        <v>2020</v>
      </c>
      <c r="N54" s="15">
        <v>2021</v>
      </c>
      <c r="O54" s="15">
        <v>2022</v>
      </c>
      <c r="P54" s="15">
        <v>2023</v>
      </c>
      <c r="Q54" s="15">
        <v>2024</v>
      </c>
      <c r="R54" s="710" t="s">
        <v>879</v>
      </c>
      <c r="U54" s="14" t="s">
        <v>286</v>
      </c>
      <c r="V54" s="664"/>
      <c r="W54" s="725" t="s">
        <v>572</v>
      </c>
      <c r="X54" s="663" t="s">
        <v>573</v>
      </c>
      <c r="Y54" s="663" t="s">
        <v>574</v>
      </c>
      <c r="Z54" s="664" t="s">
        <v>575</v>
      </c>
      <c r="AA54" s="663" t="s">
        <v>520</v>
      </c>
      <c r="AB54" s="663" t="s">
        <v>521</v>
      </c>
      <c r="AC54" s="663" t="s">
        <v>522</v>
      </c>
      <c r="AD54" s="663" t="s">
        <v>523</v>
      </c>
      <c r="AE54" s="725" t="s">
        <v>524</v>
      </c>
      <c r="AF54" s="663" t="s">
        <v>525</v>
      </c>
      <c r="AG54" s="663" t="s">
        <v>526</v>
      </c>
      <c r="AH54" s="664" t="s">
        <v>527</v>
      </c>
      <c r="AI54" s="663" t="s">
        <v>528</v>
      </c>
      <c r="AJ54" s="663" t="s">
        <v>529</v>
      </c>
      <c r="AK54" s="663" t="s">
        <v>530</v>
      </c>
      <c r="AL54" s="663" t="s">
        <v>531</v>
      </c>
      <c r="AM54" s="725" t="s">
        <v>532</v>
      </c>
      <c r="AN54" s="663" t="s">
        <v>533</v>
      </c>
      <c r="AO54" s="663" t="s">
        <v>534</v>
      </c>
      <c r="AP54" s="664" t="s">
        <v>535</v>
      </c>
      <c r="AQ54" s="725" t="s">
        <v>536</v>
      </c>
      <c r="AR54" s="663" t="s">
        <v>537</v>
      </c>
      <c r="AS54" s="663" t="s">
        <v>538</v>
      </c>
      <c r="AT54" s="664" t="s">
        <v>539</v>
      </c>
      <c r="AU54" s="663" t="s">
        <v>540</v>
      </c>
      <c r="AV54" s="663" t="s">
        <v>541</v>
      </c>
      <c r="AW54" s="663" t="s">
        <v>542</v>
      </c>
      <c r="AX54" s="663" t="s">
        <v>543</v>
      </c>
      <c r="AY54" s="725" t="s">
        <v>544</v>
      </c>
      <c r="AZ54" s="663" t="s">
        <v>545</v>
      </c>
      <c r="BA54" s="663" t="s">
        <v>546</v>
      </c>
      <c r="BB54" s="664" t="s">
        <v>547</v>
      </c>
      <c r="BC54" s="663" t="s">
        <v>548</v>
      </c>
      <c r="BD54" s="663" t="s">
        <v>549</v>
      </c>
      <c r="BE54" s="663" t="s">
        <v>550</v>
      </c>
      <c r="BF54" s="663" t="s">
        <v>551</v>
      </c>
      <c r="BG54" s="725" t="s">
        <v>552</v>
      </c>
      <c r="BH54" s="663" t="s">
        <v>553</v>
      </c>
      <c r="BI54" s="663" t="s">
        <v>554</v>
      </c>
      <c r="BJ54" s="664" t="s">
        <v>555</v>
      </c>
      <c r="BK54" s="663" t="s">
        <v>556</v>
      </c>
      <c r="BL54" s="663" t="s">
        <v>557</v>
      </c>
      <c r="BM54" s="663" t="s">
        <v>558</v>
      </c>
      <c r="BN54" s="663" t="s">
        <v>559</v>
      </c>
      <c r="BO54" s="725" t="s">
        <v>560</v>
      </c>
      <c r="BP54" s="663" t="s">
        <v>561</v>
      </c>
      <c r="BQ54" s="663" t="s">
        <v>562</v>
      </c>
      <c r="BR54" s="664" t="s">
        <v>563</v>
      </c>
      <c r="BS54" s="663" t="s">
        <v>564</v>
      </c>
      <c r="BT54" s="663" t="s">
        <v>565</v>
      </c>
      <c r="BU54" s="663" t="s">
        <v>566</v>
      </c>
      <c r="BV54" s="663" t="s">
        <v>567</v>
      </c>
      <c r="BW54" s="725" t="s">
        <v>568</v>
      </c>
      <c r="BX54" s="663" t="s">
        <v>569</v>
      </c>
      <c r="BY54" s="663" t="s">
        <v>570</v>
      </c>
      <c r="BZ54" s="664" t="s">
        <v>571</v>
      </c>
      <c r="CA54" s="725" t="s">
        <v>775</v>
      </c>
      <c r="CB54" s="663" t="s">
        <v>822</v>
      </c>
      <c r="CC54" s="663" t="s">
        <v>776</v>
      </c>
      <c r="CD54" s="664" t="s">
        <v>777</v>
      </c>
      <c r="CE54" s="725" t="s">
        <v>839</v>
      </c>
      <c r="CF54" s="663" t="s">
        <v>840</v>
      </c>
      <c r="CG54" s="663" t="s">
        <v>841</v>
      </c>
      <c r="CH54" s="664" t="s">
        <v>842</v>
      </c>
      <c r="CI54" s="725" t="s">
        <v>880</v>
      </c>
      <c r="CJ54" s="663" t="s">
        <v>881</v>
      </c>
      <c r="CK54" s="663" t="s">
        <v>882</v>
      </c>
      <c r="CL54" s="664" t="s">
        <v>883</v>
      </c>
      <c r="DQ54" s="260"/>
      <c r="DW54" s="260"/>
      <c r="FB54" s="260"/>
      <c r="FC54" s="260"/>
      <c r="FD54" s="260"/>
      <c r="FE54" s="260"/>
      <c r="FF54" s="260"/>
      <c r="FG54" s="260"/>
      <c r="FH54" s="260"/>
      <c r="FI54" s="260"/>
      <c r="FJ54" s="260"/>
      <c r="FK54" s="260"/>
      <c r="FL54" s="260"/>
      <c r="FM54" s="260"/>
      <c r="FN54" s="260"/>
      <c r="FP54" s="260"/>
      <c r="GI54" s="843"/>
    </row>
    <row r="55" spans="1:217">
      <c r="A55" s="5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7"/>
      <c r="U55" s="6"/>
      <c r="V55" s="115"/>
      <c r="W55" s="726"/>
      <c r="Z55" s="115"/>
      <c r="AE55" s="726"/>
      <c r="AH55" s="115"/>
      <c r="AM55" s="726"/>
      <c r="AP55" s="115"/>
      <c r="AQ55" s="726"/>
      <c r="AT55" s="115"/>
      <c r="AY55" s="726"/>
      <c r="BB55" s="115"/>
      <c r="BG55" s="726"/>
      <c r="BJ55" s="115"/>
      <c r="BO55" s="726"/>
      <c r="BR55" s="115"/>
      <c r="BW55" s="726"/>
      <c r="BZ55" s="115"/>
      <c r="CA55" s="726"/>
      <c r="CD55" s="115"/>
      <c r="CE55" s="726"/>
      <c r="CH55" s="115"/>
      <c r="CI55" s="726"/>
      <c r="CL55" s="115"/>
      <c r="DQ55" s="260"/>
      <c r="DW55" s="260"/>
      <c r="EF55" s="260"/>
      <c r="EZ55" s="722"/>
      <c r="FA55" s="722"/>
      <c r="FB55" s="445"/>
      <c r="FC55" s="260"/>
      <c r="FD55" s="260"/>
      <c r="FE55" s="260"/>
      <c r="FF55" s="260"/>
      <c r="FG55" s="260"/>
      <c r="FH55" s="260"/>
      <c r="FI55" s="260"/>
      <c r="FJ55" s="260"/>
      <c r="FK55" s="260"/>
      <c r="FL55" s="260"/>
      <c r="FM55" s="260"/>
      <c r="FN55" s="260"/>
      <c r="FO55" s="260"/>
      <c r="FP55" s="260"/>
    </row>
    <row r="56" spans="1:217">
      <c r="A56" s="5" t="s">
        <v>474</v>
      </c>
      <c r="G56" s="126"/>
      <c r="H56" s="126"/>
      <c r="I56" s="126"/>
      <c r="J56" s="126"/>
      <c r="K56" s="126"/>
      <c r="L56" s="445"/>
      <c r="M56" s="445"/>
      <c r="N56" s="445"/>
      <c r="O56" s="445"/>
      <c r="P56" s="445"/>
      <c r="Q56" s="445"/>
      <c r="R56" s="127"/>
      <c r="U56" s="6" t="s">
        <v>110</v>
      </c>
      <c r="V56" s="115"/>
      <c r="W56" s="402">
        <f>SUM(B24:D24)</f>
        <v>46.10755335358202</v>
      </c>
      <c r="X56" s="126">
        <f>SUM(E24:G24)</f>
        <v>42.255791559237494</v>
      </c>
      <c r="Y56" s="126">
        <f>SUM(H24:J24)</f>
        <v>34.658947696645001</v>
      </c>
      <c r="Z56" s="127">
        <f>SUM(K24:M24)</f>
        <v>47.715089100191292</v>
      </c>
      <c r="AA56" s="126">
        <f>SUM(N24:P24)</f>
        <v>62.041605999999994</v>
      </c>
      <c r="AB56" s="126">
        <f>SUM(Q24:S24)</f>
        <v>56.737563999999999</v>
      </c>
      <c r="AC56" s="126">
        <f>SUM(T24:V24)</f>
        <v>54.692504</v>
      </c>
      <c r="AD56" s="126">
        <f>SUM(W24:Y24)</f>
        <v>39.367523000000006</v>
      </c>
      <c r="AE56" s="402">
        <f>SUM(Z24:AB24)</f>
        <v>74.078000000000003</v>
      </c>
      <c r="AF56" s="126">
        <f>SUM(AC24:AE24)</f>
        <v>42.774000000000001</v>
      </c>
      <c r="AG56" s="126">
        <f>SUM(AF24:AH24)</f>
        <v>30.648</v>
      </c>
      <c r="AH56" s="127">
        <f>SUM(AI24:AK24)</f>
        <v>61.334708000000006</v>
      </c>
      <c r="AI56" s="126">
        <f>SUM(AL24:AN24)</f>
        <v>53.794021996699996</v>
      </c>
      <c r="AJ56" s="126">
        <f>SUM(AO24:AQ24)</f>
        <v>33.878428954700006</v>
      </c>
      <c r="AK56" s="126">
        <f>SUM(AR24:AT24)</f>
        <v>18.411836000000001</v>
      </c>
      <c r="AL56" s="126">
        <f>SUM(AU24:AW24)</f>
        <v>60.822000999999993</v>
      </c>
      <c r="AM56" s="402">
        <f>SUM(AX24:AZ24)</f>
        <v>55.900000000000006</v>
      </c>
      <c r="AN56" s="126">
        <f>SUM(BA24:BC24)</f>
        <v>39.39</v>
      </c>
      <c r="AO56" s="126">
        <f>SUM(BD24:BF24)</f>
        <v>25.52</v>
      </c>
      <c r="AP56" s="127">
        <f>SUM(BG24:BI24)</f>
        <v>71.2</v>
      </c>
      <c r="AQ56" s="402">
        <f>SUM(BJ24:BL24)</f>
        <v>55.64</v>
      </c>
      <c r="AR56" s="126">
        <f>SUM(BM24:BO24)</f>
        <v>44.35</v>
      </c>
      <c r="AS56" s="126">
        <f>SUM(BP24:BR24)</f>
        <v>33.28</v>
      </c>
      <c r="AT56" s="127">
        <f>SUM(BS24:BU24)</f>
        <v>80.73</v>
      </c>
      <c r="AU56" s="126">
        <f>SUM(BV24:BX24)</f>
        <v>61.08</v>
      </c>
      <c r="AV56" s="126">
        <f>SUM(BY24:CA24)</f>
        <v>55.92</v>
      </c>
      <c r="AW56" s="126">
        <f>SUM(CB24:CD24)</f>
        <v>47.559999999999995</v>
      </c>
      <c r="AX56" s="126">
        <f>SUM(CE24:CG24)</f>
        <v>102.47</v>
      </c>
      <c r="AY56" s="402">
        <f>SUM(CH24:CJ24)</f>
        <v>103.08499999999999</v>
      </c>
      <c r="AZ56" s="126">
        <f>SUM(CK24:CM24)</f>
        <v>73.393999999999991</v>
      </c>
      <c r="BA56" s="126">
        <f>SUM(CN24:CP24)</f>
        <v>87.256</v>
      </c>
      <c r="BB56" s="127">
        <f>SUM(CQ24:CS24)</f>
        <v>91.91</v>
      </c>
      <c r="BC56" s="126">
        <f>SUM(CT24:CV24)</f>
        <v>93.52</v>
      </c>
      <c r="BD56" s="126">
        <f>SUM(CW24:CY24)</f>
        <v>120.08000000000001</v>
      </c>
      <c r="BE56" s="126">
        <f>SUM(CZ24:DB24)</f>
        <v>125.48</v>
      </c>
      <c r="BF56" s="126">
        <f>SUM(DC24:DE24)</f>
        <v>222.89</v>
      </c>
      <c r="BG56" s="402">
        <f>SUM(DF24:DH24)</f>
        <v>162.91341982</v>
      </c>
      <c r="BH56" s="126">
        <f>SUM(DI24:DK24)</f>
        <v>147.09582600000005</v>
      </c>
      <c r="BI56" s="126">
        <f>SUM(DL24:DN24)</f>
        <v>161.82075448999998</v>
      </c>
      <c r="BJ56" s="127">
        <f>SUM(DO24:DQ24)</f>
        <v>168.99071158999999</v>
      </c>
      <c r="BK56" s="126">
        <f>SUM(DR24:DT24)</f>
        <v>179.12704486999999</v>
      </c>
      <c r="BL56" s="126">
        <f>SUM(DU24:DW24)</f>
        <v>174.20705253</v>
      </c>
      <c r="BM56" s="126">
        <f>SUM(DX24:DZ24)</f>
        <v>164.65453490000002</v>
      </c>
      <c r="BN56" s="126">
        <f>SUM(EA24:EC24)</f>
        <v>207.62122818999995</v>
      </c>
      <c r="BO56" s="402">
        <f>SUM(ED24:EF24)</f>
        <v>231.31814641000003</v>
      </c>
      <c r="BP56" s="126">
        <f>SUM(EG24:EI24)</f>
        <v>118.94860894999997</v>
      </c>
      <c r="BQ56" s="126">
        <f>SUM(EJ24:EL24)</f>
        <v>233.55328438999993</v>
      </c>
      <c r="BR56" s="127">
        <f>SUM(EM24:EO24)</f>
        <v>413.91963988999998</v>
      </c>
      <c r="BS56" s="126">
        <f>SUM(EP24:ER24)</f>
        <v>462.67102494000005</v>
      </c>
      <c r="BT56" s="126">
        <f>SUM(ES24:EU24)</f>
        <v>370.46555736999994</v>
      </c>
      <c r="BU56" s="126">
        <f>SUM(EV24:EX24)</f>
        <v>264.01831972000002</v>
      </c>
      <c r="BV56" s="126">
        <f>SUM(EY24:FA24)</f>
        <v>345.19242476000005</v>
      </c>
      <c r="BW56" s="402">
        <f>SUM(FB24:FD24)</f>
        <v>378.47200144999999</v>
      </c>
      <c r="BX56" s="126">
        <f>SUM(FE24:FG24)</f>
        <v>290.73689556000005</v>
      </c>
      <c r="BY56" s="126">
        <f>SUM(FH24:FJ24)</f>
        <v>337.40618638000001</v>
      </c>
      <c r="BZ56" s="127">
        <f>SUM(FK24:FM24)</f>
        <v>344.8670868100001</v>
      </c>
      <c r="CA56" s="402">
        <f>SUM(FN24:FP24)</f>
        <v>456</v>
      </c>
      <c r="CB56" s="126">
        <f>SUM(FQ24:FS24)</f>
        <v>369.2</v>
      </c>
      <c r="CC56" s="126">
        <f>SUM(FT24:FV24)</f>
        <v>306.3</v>
      </c>
      <c r="CD56" s="127">
        <f>SUM(FW24:FY24)</f>
        <v>343.8</v>
      </c>
      <c r="CE56" s="402">
        <f>SUM(FZ24:GB24)</f>
        <v>378.79999999999995</v>
      </c>
      <c r="CF56" s="126">
        <f>SUM(GC24:GE24)</f>
        <v>412.46302457000002</v>
      </c>
      <c r="CG56" s="126">
        <f>SUM(GF24:GH24)</f>
        <v>358.33782841000004</v>
      </c>
      <c r="CH56" s="127">
        <f>SUM(GI24:GK24)</f>
        <v>473.23773905000002</v>
      </c>
      <c r="CI56" s="402">
        <f>SUM(GL24:GN24)</f>
        <v>483.06233397999995</v>
      </c>
      <c r="CJ56" s="126">
        <f>SUM(GO24:GQ24)</f>
        <v>309.79999999999995</v>
      </c>
      <c r="CK56" s="126">
        <f>SUM(GR24:GT24)</f>
        <v>0</v>
      </c>
      <c r="CL56" s="127">
        <f>SUM(GU24:GW24)</f>
        <v>0</v>
      </c>
      <c r="DQ56" s="260"/>
      <c r="EF56" s="260"/>
      <c r="EZ56" s="722"/>
      <c r="FA56" s="722"/>
      <c r="FB56" s="445"/>
      <c r="FN56" s="445"/>
      <c r="FO56" s="445"/>
      <c r="FP56" s="260"/>
    </row>
    <row r="57" spans="1:217">
      <c r="A57" s="5" t="s">
        <v>778</v>
      </c>
      <c r="G57" s="126"/>
      <c r="H57" s="126"/>
      <c r="I57" s="126"/>
      <c r="J57" s="126"/>
      <c r="K57" s="126"/>
      <c r="L57" s="126"/>
      <c r="M57" s="126"/>
      <c r="N57" s="126"/>
      <c r="O57" s="126">
        <v>39.799999999999997</v>
      </c>
      <c r="P57" s="126"/>
      <c r="Q57" s="126"/>
      <c r="R57" s="127"/>
      <c r="U57" s="6" t="s">
        <v>831</v>
      </c>
      <c r="V57" s="115"/>
      <c r="W57" s="402">
        <f>SUM(B33:D33)</f>
        <v>57.093083425721034</v>
      </c>
      <c r="X57" s="126">
        <f>SUM(E33:G33)</f>
        <v>70.415518431290863</v>
      </c>
      <c r="Y57" s="126">
        <f>SUM(H33:J33)</f>
        <v>70.041333303686372</v>
      </c>
      <c r="Z57" s="127">
        <f>SUM(K33:M33)</f>
        <v>89.488082599722361</v>
      </c>
      <c r="AA57" s="126">
        <f>SUM(N33:P33)</f>
        <v>111.06927599999999</v>
      </c>
      <c r="AB57" s="126">
        <f>SUM(Q33:S33)</f>
        <v>105.861155</v>
      </c>
      <c r="AC57" s="126">
        <f>SUM(T33:V33)</f>
        <v>94.371982000000003</v>
      </c>
      <c r="AD57" s="126">
        <f>SUM(W33:Y33)</f>
        <v>109.387905</v>
      </c>
      <c r="AE57" s="402">
        <f>SUM(Z33:AB33)</f>
        <v>114.10511899999999</v>
      </c>
      <c r="AF57" s="126">
        <f>SUM(AC33:AE33)</f>
        <v>95.164887999999991</v>
      </c>
      <c r="AG57" s="126">
        <f>SUM(AF33:AH33)</f>
        <v>123.098</v>
      </c>
      <c r="AH57" s="127">
        <f>SUM(AI33:AK33)</f>
        <v>156.09573500000002</v>
      </c>
      <c r="AI57" s="126">
        <f>SUM(AL33:AN33)</f>
        <v>156.42697900000002</v>
      </c>
      <c r="AJ57" s="126">
        <f>SUM(AO33:AQ33)</f>
        <v>134.20838900000001</v>
      </c>
      <c r="AK57" s="126">
        <f>SUM(AR33:AT33)</f>
        <v>122.308272</v>
      </c>
      <c r="AL57" s="126">
        <f>SUM(AU33:AW33)</f>
        <v>137.39167700000002</v>
      </c>
      <c r="AM57" s="402">
        <f>SUM(AX33:AZ33)</f>
        <v>134.26</v>
      </c>
      <c r="AN57" s="126">
        <f>SUM(BA33:BC33)</f>
        <v>121.20000000000002</v>
      </c>
      <c r="AO57" s="126">
        <f>SUM(BD33:BF33)</f>
        <v>115.46</v>
      </c>
      <c r="AP57" s="127">
        <f>SUM(BG33:BI33)</f>
        <v>135.06</v>
      </c>
      <c r="AQ57" s="402">
        <f>SUM(BJ33:BL33)</f>
        <v>123.12</v>
      </c>
      <c r="AR57" s="126">
        <f>SUM(BM33:BO33)</f>
        <v>112.21</v>
      </c>
      <c r="AS57" s="126">
        <f>SUM(BP33:BR33)</f>
        <v>108.96</v>
      </c>
      <c r="AT57" s="127">
        <f>SUM(BS33:BU33)</f>
        <v>126.72999999999999</v>
      </c>
      <c r="AU57" s="126">
        <f>SUM(BV33:BX33)</f>
        <v>129.17000000000002</v>
      </c>
      <c r="AV57" s="126">
        <f>SUM(BY33:CA33)</f>
        <v>119.98</v>
      </c>
      <c r="AW57" s="126">
        <f>SUM(CB33:CD33)</f>
        <v>119.33</v>
      </c>
      <c r="AX57" s="126">
        <f>SUM(CE33:CG33)</f>
        <v>138.52000000000001</v>
      </c>
      <c r="AY57" s="402">
        <f>SUM(CH33:CJ33)</f>
        <v>154.29</v>
      </c>
      <c r="AZ57" s="126">
        <f>SUM(CK33:CM33)</f>
        <v>143.31</v>
      </c>
      <c r="BA57" s="126">
        <f>SUM(CN33:CP33)</f>
        <v>144.61000000000001</v>
      </c>
      <c r="BB57" s="127">
        <f>SUM(CQ33:CS33)</f>
        <v>164.85</v>
      </c>
      <c r="BC57" s="126">
        <f>SUM(CT33:CV33)</f>
        <v>185.4</v>
      </c>
      <c r="BD57" s="126">
        <f>SUM(CW33:CY33)</f>
        <v>176.52</v>
      </c>
      <c r="BE57" s="126">
        <f>SUM(CZ33:DB33)</f>
        <v>180.57</v>
      </c>
      <c r="BF57" s="126">
        <f>SUM(DC33:DE33)</f>
        <v>205.48000000000002</v>
      </c>
      <c r="BG57" s="402">
        <f>SUM(DF33:DH33)</f>
        <v>226.74492263000002</v>
      </c>
      <c r="BH57" s="126">
        <f>SUM(DI33:DK33)</f>
        <v>212.50321451000002</v>
      </c>
      <c r="BI57" s="126">
        <f>SUM(DL33:DN33)</f>
        <v>210.38898968000001</v>
      </c>
      <c r="BJ57" s="127">
        <f>SUM(DO33:DQ33)</f>
        <v>238.47212798999999</v>
      </c>
      <c r="BK57" s="126">
        <f>SUM(DR33:DT33)</f>
        <v>254.99914461558967</v>
      </c>
      <c r="BL57" s="126">
        <f>SUM(DU33:DW33)</f>
        <v>241.60101962511698</v>
      </c>
      <c r="BM57" s="126">
        <f>SUM(DX33:DZ33)</f>
        <v>242.46913570634996</v>
      </c>
      <c r="BN57" s="126">
        <f>SUM(EA33:EC33)</f>
        <v>267.59329088166032</v>
      </c>
      <c r="BO57" s="402">
        <f>SUM(ED33:EF33)</f>
        <v>317.76909081006602</v>
      </c>
      <c r="BP57" s="126">
        <f>SUM(EG33:EI33)</f>
        <v>387.95461579872097</v>
      </c>
      <c r="BQ57" s="126">
        <f>SUM(EJ33:EL33)</f>
        <v>326.84639042333799</v>
      </c>
      <c r="BR57" s="127">
        <f>SUM(EM33:EO33)</f>
        <v>450.78502282282784</v>
      </c>
      <c r="BS57" s="126">
        <f>SUM(EP33:ER33)</f>
        <v>541.14388019499995</v>
      </c>
      <c r="BT57" s="126">
        <f>SUM(ES33:EU33)</f>
        <v>509.447159763</v>
      </c>
      <c r="BU57" s="126">
        <f>SUM(EV33:EX33)</f>
        <v>451.77637358700002</v>
      </c>
      <c r="BV57" s="126">
        <f>SUM(EY33:FA33)</f>
        <v>514.99715680099985</v>
      </c>
      <c r="BW57" s="402">
        <f>SUM(FB33:FD33)</f>
        <v>543.01791601100001</v>
      </c>
      <c r="BX57" s="126">
        <f>SUM(FE33:FG33)</f>
        <v>526.23175460100015</v>
      </c>
      <c r="BY57" s="126">
        <f>SUM(FH33:FJ33)</f>
        <v>550.28421970299996</v>
      </c>
      <c r="BZ57" s="127">
        <f>SUM(FK33:FM33)</f>
        <v>624.51235219000012</v>
      </c>
      <c r="CA57" s="402">
        <f>SUM(FN33:FP33)</f>
        <v>647.21708924584914</v>
      </c>
      <c r="CB57" s="126">
        <f>SUM(FQ33:FS33)</f>
        <v>615.92317305999995</v>
      </c>
      <c r="CC57" s="126">
        <f>SUM(FT33:FV33)</f>
        <v>628.99346252000009</v>
      </c>
      <c r="CD57" s="127">
        <f>SUM(FW33:FY33)</f>
        <v>717.46117141000002</v>
      </c>
      <c r="CE57" s="402">
        <f>SUM(FZ33:GB33)</f>
        <v>744.34262067999998</v>
      </c>
      <c r="CF57" s="126">
        <f>SUM(GC33:GE33)</f>
        <v>709.25362283999993</v>
      </c>
      <c r="CG57" s="126">
        <f>SUM(GF33:GH33)</f>
        <v>752.38069885999994</v>
      </c>
      <c r="CH57" s="127">
        <f>SUM(GI33:GK33)</f>
        <v>833.76038650999999</v>
      </c>
      <c r="CI57" s="402">
        <f>SUM(GL33:GN33)</f>
        <v>845.94981237000002</v>
      </c>
      <c r="CJ57" s="126">
        <f>SUM(GO33:GQ33)</f>
        <v>543.22550324999997</v>
      </c>
      <c r="CK57" s="126">
        <f>SUM(GR33:GT33)</f>
        <v>0</v>
      </c>
      <c r="CL57" s="127">
        <f>SUM(GU33:GW33)</f>
        <v>0</v>
      </c>
      <c r="DQ57" s="260"/>
      <c r="EF57" s="260"/>
      <c r="EZ57" s="722"/>
      <c r="FA57" s="722"/>
      <c r="FB57" s="445"/>
      <c r="FN57" s="445"/>
    </row>
    <row r="58" spans="1:217">
      <c r="A58" s="653" t="s">
        <v>476</v>
      </c>
      <c r="B58" s="648"/>
      <c r="C58" s="648"/>
      <c r="D58" s="648"/>
      <c r="E58" s="648"/>
      <c r="F58" s="648"/>
      <c r="G58" s="648"/>
      <c r="H58" s="648"/>
      <c r="I58" s="648"/>
      <c r="J58" s="648"/>
      <c r="K58" s="648"/>
      <c r="L58" s="648"/>
      <c r="M58" s="648"/>
      <c r="N58" s="648"/>
      <c r="O58" s="648"/>
      <c r="P58" s="648"/>
      <c r="Q58" s="648"/>
      <c r="R58" s="650"/>
      <c r="U58" s="6"/>
      <c r="V58" s="127"/>
      <c r="W58" s="402"/>
      <c r="X58" s="126"/>
      <c r="Y58" s="126"/>
      <c r="Z58" s="115"/>
      <c r="AA58" s="126"/>
      <c r="AB58" s="126"/>
      <c r="AC58" s="126"/>
      <c r="AD58" s="126"/>
      <c r="AE58" s="402"/>
      <c r="AF58" s="126"/>
      <c r="AG58" s="126"/>
      <c r="AH58" s="115"/>
      <c r="AI58" s="126"/>
      <c r="AJ58" s="126"/>
      <c r="AK58" s="126"/>
      <c r="AL58" s="126"/>
      <c r="AM58" s="402"/>
      <c r="AN58" s="126"/>
      <c r="AO58" s="126"/>
      <c r="AP58" s="115"/>
      <c r="AQ58" s="402"/>
      <c r="AR58" s="126"/>
      <c r="AS58" s="126"/>
      <c r="AT58" s="115"/>
      <c r="AU58" s="126"/>
      <c r="AV58" s="126"/>
      <c r="AW58" s="126"/>
      <c r="AX58" s="126"/>
      <c r="AY58" s="402"/>
      <c r="AZ58" s="126"/>
      <c r="BA58" s="126"/>
      <c r="BB58" s="115"/>
      <c r="BC58" s="126"/>
      <c r="BD58" s="126"/>
      <c r="BE58" s="126"/>
      <c r="BF58" s="126"/>
      <c r="BG58" s="402"/>
      <c r="BH58" s="126"/>
      <c r="BI58" s="126"/>
      <c r="BJ58" s="115"/>
      <c r="BK58" s="126"/>
      <c r="BL58" s="126"/>
      <c r="BM58" s="126"/>
      <c r="BN58" s="126"/>
      <c r="BO58" s="402"/>
      <c r="BP58" s="126"/>
      <c r="BQ58" s="126"/>
      <c r="BR58" s="115"/>
      <c r="BS58" s="126"/>
      <c r="BT58" s="126"/>
      <c r="BU58" s="126"/>
      <c r="BV58" s="126"/>
      <c r="BW58" s="402"/>
      <c r="BX58" s="126"/>
      <c r="BY58" s="126"/>
      <c r="BZ58" s="115"/>
      <c r="CA58" s="402"/>
      <c r="CB58" s="126"/>
      <c r="CC58" s="126"/>
      <c r="CD58" s="115"/>
      <c r="CE58" s="402"/>
      <c r="CF58" s="126"/>
      <c r="CG58" s="126"/>
      <c r="CH58" s="115"/>
      <c r="CI58" s="402"/>
      <c r="CJ58" s="126"/>
      <c r="CK58" s="126"/>
      <c r="CL58" s="115"/>
      <c r="DQ58" s="260"/>
      <c r="EF58" s="260"/>
      <c r="EZ58" s="445"/>
      <c r="FA58" s="445"/>
      <c r="FB58" s="445"/>
      <c r="FN58" s="445"/>
    </row>
    <row r="59" spans="1:217">
      <c r="A59" s="5"/>
      <c r="R59" s="115"/>
      <c r="U59" s="71" t="s">
        <v>576</v>
      </c>
      <c r="V59" s="661"/>
      <c r="W59" s="727">
        <f>SUM(W56:W57)</f>
        <v>103.20063677930305</v>
      </c>
      <c r="X59" s="73">
        <f t="shared" ref="X59:BZ59" si="484">SUM(X56:X57)</f>
        <v>112.67130999052836</v>
      </c>
      <c r="Y59" s="73">
        <f t="shared" si="484"/>
        <v>104.70028100033137</v>
      </c>
      <c r="Z59" s="661">
        <f t="shared" si="484"/>
        <v>137.20317169991364</v>
      </c>
      <c r="AA59" s="73">
        <f t="shared" si="484"/>
        <v>173.11088199999998</v>
      </c>
      <c r="AB59" s="73">
        <f t="shared" si="484"/>
        <v>162.59871899999999</v>
      </c>
      <c r="AC59" s="73">
        <f t="shared" si="484"/>
        <v>149.06448599999999</v>
      </c>
      <c r="AD59" s="73">
        <f t="shared" si="484"/>
        <v>148.75542799999999</v>
      </c>
      <c r="AE59" s="727">
        <f t="shared" si="484"/>
        <v>188.18311899999998</v>
      </c>
      <c r="AF59" s="73">
        <f t="shared" si="484"/>
        <v>137.93888799999999</v>
      </c>
      <c r="AG59" s="73">
        <f t="shared" si="484"/>
        <v>153.74600000000001</v>
      </c>
      <c r="AH59" s="661">
        <f t="shared" si="484"/>
        <v>217.43044300000003</v>
      </c>
      <c r="AI59" s="73">
        <f t="shared" si="484"/>
        <v>210.22100099670001</v>
      </c>
      <c r="AJ59" s="73">
        <f t="shared" si="484"/>
        <v>168.08681795470002</v>
      </c>
      <c r="AK59" s="73">
        <f t="shared" si="484"/>
        <v>140.72010800000001</v>
      </c>
      <c r="AL59" s="73">
        <f t="shared" si="484"/>
        <v>198.21367800000002</v>
      </c>
      <c r="AM59" s="727">
        <f t="shared" si="484"/>
        <v>190.16</v>
      </c>
      <c r="AN59" s="73">
        <f t="shared" si="484"/>
        <v>160.59000000000003</v>
      </c>
      <c r="AO59" s="73">
        <f t="shared" si="484"/>
        <v>140.97999999999999</v>
      </c>
      <c r="AP59" s="661">
        <f t="shared" si="484"/>
        <v>206.26</v>
      </c>
      <c r="AQ59" s="727">
        <f t="shared" si="484"/>
        <v>178.76</v>
      </c>
      <c r="AR59" s="73">
        <f t="shared" si="484"/>
        <v>156.56</v>
      </c>
      <c r="AS59" s="73">
        <f t="shared" si="484"/>
        <v>142.24</v>
      </c>
      <c r="AT59" s="661">
        <f t="shared" si="484"/>
        <v>207.45999999999998</v>
      </c>
      <c r="AU59" s="73">
        <f t="shared" si="484"/>
        <v>190.25</v>
      </c>
      <c r="AV59" s="73">
        <f t="shared" si="484"/>
        <v>175.9</v>
      </c>
      <c r="AW59" s="73">
        <f t="shared" si="484"/>
        <v>166.89</v>
      </c>
      <c r="AX59" s="73">
        <f t="shared" si="484"/>
        <v>240.99</v>
      </c>
      <c r="AY59" s="727">
        <f t="shared" si="484"/>
        <v>257.375</v>
      </c>
      <c r="AZ59" s="73">
        <f t="shared" si="484"/>
        <v>216.70400000000001</v>
      </c>
      <c r="BA59" s="73">
        <f t="shared" si="484"/>
        <v>231.86600000000001</v>
      </c>
      <c r="BB59" s="661">
        <f t="shared" si="484"/>
        <v>256.76</v>
      </c>
      <c r="BC59" s="73">
        <f t="shared" si="484"/>
        <v>278.92</v>
      </c>
      <c r="BD59" s="73">
        <f t="shared" si="484"/>
        <v>296.60000000000002</v>
      </c>
      <c r="BE59" s="73">
        <f t="shared" si="484"/>
        <v>306.05</v>
      </c>
      <c r="BF59" s="73">
        <f t="shared" si="484"/>
        <v>428.37</v>
      </c>
      <c r="BG59" s="727">
        <f t="shared" si="484"/>
        <v>389.65834245000002</v>
      </c>
      <c r="BH59" s="73">
        <f t="shared" si="484"/>
        <v>359.59904051000007</v>
      </c>
      <c r="BI59" s="73">
        <f t="shared" si="484"/>
        <v>372.20974417000002</v>
      </c>
      <c r="BJ59" s="661">
        <f t="shared" si="484"/>
        <v>407.46283957999998</v>
      </c>
      <c r="BK59" s="73">
        <f t="shared" si="484"/>
        <v>434.12618948558963</v>
      </c>
      <c r="BL59" s="73">
        <f t="shared" si="484"/>
        <v>415.80807215511697</v>
      </c>
      <c r="BM59" s="73">
        <f t="shared" si="484"/>
        <v>407.12367060634995</v>
      </c>
      <c r="BN59" s="73">
        <f t="shared" si="484"/>
        <v>475.21451907166028</v>
      </c>
      <c r="BO59" s="727">
        <f t="shared" si="484"/>
        <v>549.08723722006607</v>
      </c>
      <c r="BP59" s="73">
        <f t="shared" si="484"/>
        <v>506.90322474872096</v>
      </c>
      <c r="BQ59" s="73">
        <f t="shared" si="484"/>
        <v>560.39967481333792</v>
      </c>
      <c r="BR59" s="661">
        <f t="shared" si="484"/>
        <v>864.70466271282783</v>
      </c>
      <c r="BS59" s="73">
        <f t="shared" si="484"/>
        <v>1003.814905135</v>
      </c>
      <c r="BT59" s="73">
        <f t="shared" si="484"/>
        <v>879.91271713299989</v>
      </c>
      <c r="BU59" s="73">
        <f t="shared" si="484"/>
        <v>715.79469330699999</v>
      </c>
      <c r="BV59" s="73">
        <f t="shared" si="484"/>
        <v>860.18958156099984</v>
      </c>
      <c r="BW59" s="727">
        <f t="shared" si="484"/>
        <v>921.489917461</v>
      </c>
      <c r="BX59" s="73">
        <f t="shared" si="484"/>
        <v>816.96865016100014</v>
      </c>
      <c r="BY59" s="73">
        <f t="shared" si="484"/>
        <v>887.69040608299997</v>
      </c>
      <c r="BZ59" s="661">
        <f t="shared" si="484"/>
        <v>969.37943900000027</v>
      </c>
      <c r="CA59" s="727">
        <f>SUM(CA56:CA57)</f>
        <v>1103.2170892458491</v>
      </c>
      <c r="CB59" s="73">
        <f t="shared" ref="CB59:CC59" si="485">SUM(CB56:CB57)</f>
        <v>985.12317306</v>
      </c>
      <c r="CC59" s="73">
        <f t="shared" si="485"/>
        <v>935.29346252000005</v>
      </c>
      <c r="CD59" s="661">
        <f>SUM(CD56:CD57)</f>
        <v>1061.2611714100001</v>
      </c>
      <c r="CE59" s="727">
        <f>SUM(CE56:CE57)</f>
        <v>1123.1426206799999</v>
      </c>
      <c r="CF59" s="73">
        <f t="shared" ref="CF59:CG59" si="486">SUM(CF56:CF57)</f>
        <v>1121.71664741</v>
      </c>
      <c r="CG59" s="73">
        <f t="shared" si="486"/>
        <v>1110.7185272699999</v>
      </c>
      <c r="CH59" s="661">
        <f>SUM(CH56:CH57)</f>
        <v>1306.9981255600001</v>
      </c>
      <c r="CI59" s="727">
        <f>SUM(CI56:CI57)</f>
        <v>1329.01214635</v>
      </c>
      <c r="CJ59" s="73">
        <f t="shared" ref="CJ59:CK59" si="487">SUM(CJ56:CJ57)</f>
        <v>853.02550324999993</v>
      </c>
      <c r="CK59" s="73">
        <f t="shared" si="487"/>
        <v>0</v>
      </c>
      <c r="CL59" s="661">
        <f>SUM(CL56:CL57)</f>
        <v>0</v>
      </c>
      <c r="DQ59" s="260"/>
      <c r="EE59"/>
      <c r="EF59"/>
      <c r="EG59"/>
      <c r="EZ59" s="722"/>
      <c r="FA59" s="722"/>
      <c r="FB59" s="445"/>
      <c r="FN59" s="445"/>
      <c r="FO59" s="445"/>
    </row>
    <row r="60" spans="1:217" ht="16" thickBot="1">
      <c r="A60" s="5" t="s">
        <v>503</v>
      </c>
      <c r="K60" s="126">
        <f>SUM(DF18:DQ18)</f>
        <v>66.690145000000001</v>
      </c>
      <c r="L60" s="126">
        <f>SUM(DR18:EC18)</f>
        <v>277.30498685000003</v>
      </c>
      <c r="M60" s="126">
        <f>SUM(ED18:EO18)</f>
        <v>169.05721406000001</v>
      </c>
      <c r="N60" s="126">
        <f>SUM(EP18:FA18)</f>
        <v>166.99864199999999</v>
      </c>
      <c r="O60" s="126">
        <f>SUM(FB18:FM18)</f>
        <v>356.29179348000008</v>
      </c>
      <c r="P60" s="126">
        <f>SUM(FN18:FY18)</f>
        <v>415.71981019000003</v>
      </c>
      <c r="Q60" s="126">
        <f>SUM(FZ18:GK18)</f>
        <v>475.38420507000001</v>
      </c>
      <c r="R60" s="127">
        <f>SUM(GL18:GW18)</f>
        <v>172.04463213</v>
      </c>
      <c r="U60" s="481"/>
      <c r="V60" s="658"/>
      <c r="W60" s="723"/>
      <c r="X60" s="724"/>
      <c r="Y60" s="724"/>
      <c r="Z60" s="728"/>
      <c r="AA60" s="724"/>
      <c r="AB60" s="724"/>
      <c r="AC60" s="724"/>
      <c r="AD60" s="724"/>
      <c r="AE60" s="723"/>
      <c r="AF60" s="724"/>
      <c r="AG60" s="724"/>
      <c r="AH60" s="728"/>
      <c r="AI60" s="724"/>
      <c r="AJ60" s="724"/>
      <c r="AK60" s="724"/>
      <c r="AL60" s="724"/>
      <c r="AM60" s="723"/>
      <c r="AN60" s="724"/>
      <c r="AO60" s="724"/>
      <c r="AP60" s="728"/>
      <c r="AQ60" s="723"/>
      <c r="AR60" s="724"/>
      <c r="AS60" s="724"/>
      <c r="AT60" s="728"/>
      <c r="AU60" s="724"/>
      <c r="AV60" s="724"/>
      <c r="AW60" s="724"/>
      <c r="AX60" s="724"/>
      <c r="AY60" s="723"/>
      <c r="AZ60" s="724"/>
      <c r="BA60" s="724"/>
      <c r="BB60" s="728"/>
      <c r="BC60" s="724"/>
      <c r="BD60" s="724"/>
      <c r="BE60" s="724"/>
      <c r="BF60" s="724"/>
      <c r="BG60" s="723"/>
      <c r="BH60" s="724"/>
      <c r="BI60" s="724"/>
      <c r="BJ60" s="728"/>
      <c r="BK60" s="724"/>
      <c r="BL60" s="724"/>
      <c r="BM60" s="724"/>
      <c r="BN60" s="724"/>
      <c r="BO60" s="723"/>
      <c r="BP60" s="724"/>
      <c r="BQ60" s="724"/>
      <c r="BR60" s="728"/>
      <c r="BS60" s="724"/>
      <c r="BT60" s="724"/>
      <c r="BU60" s="724"/>
      <c r="BV60" s="724"/>
      <c r="BW60" s="723"/>
      <c r="BX60" s="724"/>
      <c r="BY60" s="724"/>
      <c r="BZ60" s="728"/>
      <c r="CA60" s="723"/>
      <c r="CB60" s="724"/>
      <c r="CC60" s="724"/>
      <c r="CD60" s="728"/>
      <c r="CE60" s="723"/>
      <c r="CF60" s="724"/>
      <c r="CG60" s="724"/>
      <c r="CH60" s="728"/>
      <c r="CI60" s="723"/>
      <c r="CJ60" s="724"/>
      <c r="CK60" s="724"/>
      <c r="CL60" s="728"/>
      <c r="DQ60" s="260"/>
      <c r="EE60"/>
      <c r="EF60"/>
      <c r="EG60"/>
      <c r="EH60" s="260"/>
      <c r="EJ60" s="260"/>
      <c r="EZ60" s="722"/>
      <c r="FA60" s="722"/>
      <c r="FB60" s="445"/>
      <c r="FO60" s="445"/>
    </row>
    <row r="61" spans="1:217">
      <c r="A61" s="5" t="s">
        <v>447</v>
      </c>
      <c r="K61" s="126"/>
      <c r="L61" s="126">
        <f>SUM(DR19:EC19)</f>
        <v>29.749987799999996</v>
      </c>
      <c r="M61" s="126">
        <f>SUM(ED19:EO19)</f>
        <v>75.950330649999998</v>
      </c>
      <c r="N61" s="126">
        <f>SUM(EP19:FA19)</f>
        <v>105.70368163000001</v>
      </c>
      <c r="O61" s="126">
        <f>SUM(FB19:FM19)</f>
        <v>109.48323745000002</v>
      </c>
      <c r="P61" s="126">
        <f>SUM(FN19:FY19)</f>
        <v>137.72530631000001</v>
      </c>
      <c r="Q61" s="126">
        <f>SUM(FZ19:GK19)</f>
        <v>179.08763162000002</v>
      </c>
      <c r="R61" s="127">
        <f>SUM(GL19:GW19)</f>
        <v>62.339618340000001</v>
      </c>
      <c r="V61" s="126"/>
      <c r="W61" s="126"/>
      <c r="X61" s="126"/>
      <c r="Y61" s="126"/>
      <c r="AA61" s="126"/>
      <c r="AB61" s="126"/>
      <c r="AC61" s="126"/>
      <c r="AD61" s="126"/>
      <c r="AE61" s="126"/>
      <c r="AF61" s="126"/>
      <c r="AG61" s="126"/>
      <c r="AI61" s="126"/>
      <c r="AJ61" s="126"/>
      <c r="AK61" s="126"/>
      <c r="AL61" s="126"/>
      <c r="AM61" s="126"/>
      <c r="AN61" s="126"/>
      <c r="AO61" s="126"/>
      <c r="AQ61" s="126"/>
      <c r="AR61" s="126"/>
      <c r="AS61" s="126"/>
      <c r="AU61" s="126"/>
      <c r="AV61" s="126"/>
      <c r="AW61" s="126"/>
      <c r="AX61" s="126"/>
      <c r="AY61" s="126"/>
      <c r="AZ61" s="126"/>
      <c r="BA61" s="126"/>
      <c r="BC61" s="126"/>
      <c r="BD61" s="126"/>
      <c r="BE61" s="126"/>
      <c r="BF61" s="126"/>
      <c r="BG61" s="126"/>
      <c r="BH61" s="126"/>
      <c r="BI61" s="126"/>
      <c r="BK61" s="126"/>
      <c r="BL61" s="126"/>
      <c r="BM61" s="126"/>
      <c r="BN61" s="126"/>
      <c r="BO61" s="126"/>
      <c r="BP61" s="126"/>
      <c r="BQ61" s="126"/>
      <c r="BS61" s="126"/>
      <c r="BT61" s="126"/>
      <c r="BU61" s="126"/>
      <c r="BV61" s="126"/>
      <c r="BW61" s="126"/>
      <c r="BX61" s="126"/>
      <c r="BY61" s="126"/>
      <c r="CA61" s="126"/>
      <c r="CB61" s="126"/>
      <c r="CC61" s="126"/>
      <c r="CE61" s="126"/>
      <c r="DQ61" s="260"/>
      <c r="EE61"/>
      <c r="EF61"/>
      <c r="EG61"/>
      <c r="EH61" s="260"/>
      <c r="EJ61" s="260"/>
      <c r="EZ61" s="722"/>
      <c r="FA61" s="722"/>
      <c r="FB61" s="445"/>
      <c r="FO61" s="445"/>
    </row>
    <row r="62" spans="1:217">
      <c r="A62" s="653" t="s">
        <v>783</v>
      </c>
      <c r="B62" s="648"/>
      <c r="C62" s="648"/>
      <c r="D62" s="648"/>
      <c r="E62" s="648"/>
      <c r="F62" s="648"/>
      <c r="G62" s="648"/>
      <c r="H62" s="648"/>
      <c r="I62" s="648"/>
      <c r="J62" s="648"/>
      <c r="K62" s="648">
        <f t="shared" ref="K62:N62" si="488">SUM(K60:K61)</f>
        <v>66.690145000000001</v>
      </c>
      <c r="L62" s="648">
        <f t="shared" si="488"/>
        <v>307.05497465000002</v>
      </c>
      <c r="M62" s="648">
        <f t="shared" si="488"/>
        <v>245.00754470999999</v>
      </c>
      <c r="N62" s="648">
        <f t="shared" si="488"/>
        <v>272.70232363000002</v>
      </c>
      <c r="O62" s="648">
        <f>SUM(O60:O61)</f>
        <v>465.77503093000007</v>
      </c>
      <c r="P62" s="648">
        <f>SUM(P60:P61)</f>
        <v>553.44511650000004</v>
      </c>
      <c r="Q62" s="648">
        <f>SUM(Q60:Q61)</f>
        <v>654.47183669000003</v>
      </c>
      <c r="R62" s="650">
        <f>SUM(R60:R61)</f>
        <v>234.38425046999998</v>
      </c>
      <c r="V62" s="126"/>
      <c r="W62" s="126"/>
      <c r="X62" s="126"/>
      <c r="Y62" s="126"/>
      <c r="AA62" s="126"/>
      <c r="AB62" s="126"/>
      <c r="AC62" s="126"/>
      <c r="AD62" s="126"/>
      <c r="AE62" s="126"/>
      <c r="AF62" s="126"/>
      <c r="AG62" s="126"/>
      <c r="AI62" s="126"/>
      <c r="AJ62" s="126"/>
      <c r="AK62" s="126"/>
      <c r="AL62" s="126"/>
      <c r="AM62" s="126"/>
      <c r="AN62" s="126"/>
      <c r="AO62" s="126"/>
      <c r="AQ62" s="126"/>
      <c r="AR62" s="126"/>
      <c r="AS62" s="126"/>
      <c r="AU62" s="126"/>
      <c r="AV62" s="126"/>
      <c r="AW62" s="126"/>
      <c r="AX62" s="126"/>
      <c r="AY62" s="126"/>
      <c r="AZ62" s="126"/>
      <c r="BA62" s="126"/>
      <c r="BC62" s="126"/>
      <c r="BD62" s="126"/>
      <c r="BE62" s="126"/>
      <c r="BF62" s="126"/>
      <c r="BG62" s="126"/>
      <c r="BH62" s="126"/>
      <c r="BI62" s="126"/>
      <c r="BK62" s="126"/>
      <c r="BL62" s="126"/>
      <c r="BM62" s="126"/>
      <c r="BN62" s="126"/>
      <c r="BO62" s="126"/>
      <c r="BP62" s="126"/>
      <c r="BQ62" s="126"/>
      <c r="BS62" s="126"/>
      <c r="BT62" s="126"/>
      <c r="BU62" s="126"/>
      <c r="BV62" s="126"/>
      <c r="BW62" s="126"/>
      <c r="BX62" s="126"/>
      <c r="BY62" s="126"/>
      <c r="CA62" s="126"/>
      <c r="CB62" s="126"/>
      <c r="CC62" s="126"/>
      <c r="CE62" s="126"/>
      <c r="DQ62" s="260"/>
      <c r="EE62"/>
      <c r="EF62"/>
      <c r="EG62"/>
      <c r="EH62" s="260"/>
      <c r="EJ62" s="260"/>
      <c r="EZ62" s="722"/>
      <c r="FA62" s="722"/>
      <c r="FB62" s="445"/>
      <c r="FO62" s="445"/>
    </row>
    <row r="63" spans="1:217">
      <c r="A63" s="654" t="s">
        <v>454</v>
      </c>
      <c r="B63" s="655"/>
      <c r="C63" s="655"/>
      <c r="D63" s="655"/>
      <c r="E63" s="655"/>
      <c r="F63" s="655"/>
      <c r="G63" s="655"/>
      <c r="H63" s="655"/>
      <c r="I63" s="655"/>
      <c r="J63" s="655"/>
      <c r="K63" s="655">
        <f t="shared" ref="K63:N63" si="489">K61/K62</f>
        <v>0</v>
      </c>
      <c r="L63" s="655">
        <f t="shared" si="489"/>
        <v>9.6888147908728225E-2</v>
      </c>
      <c r="M63" s="655">
        <f t="shared" si="489"/>
        <v>0.30999180347649141</v>
      </c>
      <c r="N63" s="655">
        <f t="shared" si="489"/>
        <v>0.38761562506309177</v>
      </c>
      <c r="O63" s="655">
        <f>O61/O62</f>
        <v>0.23505604676016634</v>
      </c>
      <c r="P63" s="655">
        <f>P61/P62</f>
        <v>0.24885088368107408</v>
      </c>
      <c r="Q63" s="655">
        <f>Q61/Q62</f>
        <v>0.27363688027545707</v>
      </c>
      <c r="R63" s="651">
        <f>R61/R62</f>
        <v>0.26597187402734279</v>
      </c>
      <c r="V63" s="126"/>
      <c r="W63" s="126"/>
      <c r="X63" s="126"/>
      <c r="Y63" s="126"/>
      <c r="AA63" s="126"/>
      <c r="AB63" s="126"/>
      <c r="AC63" s="126"/>
      <c r="AD63" s="126"/>
      <c r="AE63" s="126"/>
      <c r="AF63" s="126"/>
      <c r="AG63" s="126"/>
      <c r="AI63" s="126"/>
      <c r="AJ63" s="126"/>
      <c r="AK63" s="126"/>
      <c r="AL63" s="126"/>
      <c r="AM63" s="126"/>
      <c r="AN63" s="126"/>
      <c r="AO63" s="126"/>
      <c r="AQ63" s="126"/>
      <c r="AR63" s="126"/>
      <c r="AS63" s="126"/>
      <c r="AU63" s="126"/>
      <c r="AV63" s="126"/>
      <c r="AW63" s="126"/>
      <c r="AX63" s="126"/>
      <c r="AY63" s="126"/>
      <c r="AZ63" s="126"/>
      <c r="BA63" s="126"/>
      <c r="BC63" s="126"/>
      <c r="BD63" s="126"/>
      <c r="BE63" s="126"/>
      <c r="BF63" s="126"/>
      <c r="BG63" s="126"/>
      <c r="BH63" s="126"/>
      <c r="BI63" s="126"/>
      <c r="BK63" s="126"/>
      <c r="BL63" s="126"/>
      <c r="BM63" s="126"/>
      <c r="BN63" s="126"/>
      <c r="BO63" s="126"/>
      <c r="BP63" s="126"/>
      <c r="BQ63" s="126"/>
      <c r="BS63" s="126"/>
      <c r="BT63" s="126"/>
      <c r="BU63" s="126"/>
      <c r="BV63" s="126"/>
      <c r="BW63" s="126"/>
      <c r="BX63" s="126"/>
      <c r="BY63" s="126"/>
      <c r="CA63" s="126"/>
      <c r="CB63" s="126"/>
      <c r="CC63" s="126"/>
      <c r="CE63" s="126"/>
      <c r="CF63" s="260"/>
      <c r="DQ63" s="260"/>
      <c r="EE63"/>
      <c r="EF63"/>
      <c r="EG63"/>
      <c r="EH63" s="260"/>
      <c r="EJ63" s="260"/>
      <c r="EZ63" s="722"/>
      <c r="FA63" s="722"/>
      <c r="FB63" s="445"/>
      <c r="FO63" s="445"/>
    </row>
    <row r="64" spans="1:217">
      <c r="A64" s="5"/>
      <c r="L64" s="126"/>
      <c r="M64" s="126"/>
      <c r="N64" s="126"/>
      <c r="O64" s="126"/>
      <c r="P64" s="126"/>
      <c r="Q64" s="126"/>
      <c r="R64" s="210"/>
      <c r="V64" s="126"/>
      <c r="W64" s="126"/>
      <c r="X64" s="126"/>
      <c r="Y64" s="126"/>
      <c r="AA64" s="126"/>
      <c r="AB64" s="126"/>
      <c r="AC64" s="126"/>
      <c r="AD64" s="126"/>
      <c r="AE64" s="126"/>
      <c r="AF64" s="126"/>
      <c r="AG64" s="126"/>
      <c r="AI64" s="126"/>
      <c r="AJ64" s="126"/>
      <c r="AK64" s="126"/>
      <c r="AL64" s="126"/>
      <c r="AM64" s="126"/>
      <c r="AN64" s="126"/>
      <c r="AO64" s="126"/>
      <c r="AQ64" s="126"/>
      <c r="AR64" s="126"/>
      <c r="AS64" s="126"/>
      <c r="AU64" s="126"/>
      <c r="AV64" s="126"/>
      <c r="AW64" s="126"/>
      <c r="AX64" s="126"/>
      <c r="AY64" s="126"/>
      <c r="AZ64" s="126"/>
      <c r="BA64" s="126"/>
      <c r="BC64" s="126"/>
      <c r="BD64" s="126"/>
      <c r="BE64" s="126"/>
      <c r="BF64" s="126"/>
      <c r="BG64" s="126"/>
      <c r="BH64" s="126"/>
      <c r="BI64" s="126"/>
      <c r="BK64" s="126"/>
      <c r="BL64" s="126"/>
      <c r="BM64" s="126"/>
      <c r="BN64" s="126"/>
      <c r="BO64" s="126"/>
      <c r="BP64" s="126"/>
      <c r="BQ64" s="126"/>
      <c r="BS64" s="126"/>
      <c r="BT64" s="126"/>
      <c r="BU64" s="126"/>
      <c r="BV64" s="126"/>
      <c r="BW64" s="126"/>
      <c r="BX64" s="126"/>
      <c r="BY64" s="126"/>
      <c r="CA64" s="126"/>
      <c r="CB64" s="126"/>
      <c r="CC64" s="126"/>
      <c r="CE64" s="126"/>
      <c r="DQ64" s="260"/>
      <c r="EE64"/>
      <c r="EF64"/>
      <c r="EG64"/>
      <c r="EH64" s="260"/>
      <c r="EJ64" s="260"/>
      <c r="EZ64" s="722"/>
      <c r="FA64" s="722"/>
      <c r="FB64" s="445"/>
      <c r="FO64" s="445"/>
    </row>
    <row r="65" spans="1:158">
      <c r="A65" s="5" t="s">
        <v>446</v>
      </c>
      <c r="B65" s="126">
        <f>SUM(B23:M23)</f>
        <v>807.72822229034421</v>
      </c>
      <c r="C65" s="126">
        <f>SUM(N23:Y23)</f>
        <v>597.4438016165285</v>
      </c>
      <c r="D65" s="126">
        <f>SUM(Z23:AK23)</f>
        <v>614.55868197282996</v>
      </c>
      <c r="E65" s="126">
        <f>SUM(AL23:AW23)</f>
        <v>604.89846457198541</v>
      </c>
      <c r="F65" s="126">
        <f>SUM(AX23:BI23)</f>
        <v>589.99</v>
      </c>
      <c r="G65" s="126">
        <f>SUM(BJ23:BU23)</f>
        <v>600</v>
      </c>
      <c r="H65" s="126">
        <f>SUM(BV23:CG23)</f>
        <v>517.99999999999989</v>
      </c>
      <c r="I65" s="126">
        <f>SUM(CH23:CS23)</f>
        <v>583.34400000000005</v>
      </c>
      <c r="J65" s="126">
        <f>SUM(CT23:DE23)</f>
        <v>809.28</v>
      </c>
      <c r="K65" s="126">
        <f>SUM(DF23:DQ23)</f>
        <v>840.74636133999991</v>
      </c>
      <c r="L65" s="126">
        <f>SUM(DR23:EC23)</f>
        <v>867.52843052999992</v>
      </c>
      <c r="M65" s="126">
        <f>SUM(ED23:EO23)</f>
        <v>580.61266177000016</v>
      </c>
      <c r="N65" s="126">
        <f>SUM(EP23:FA23)</f>
        <v>385.68922760000004</v>
      </c>
      <c r="O65" s="126">
        <f>SUM(FB23:FM23)</f>
        <v>861.10672693000004</v>
      </c>
      <c r="P65" s="126">
        <f>SUM(FN23:FY23)</f>
        <v>929.59999999999991</v>
      </c>
      <c r="Q65" s="126">
        <f>SUM(FZ23:GK23)</f>
        <v>954.32194260000006</v>
      </c>
      <c r="R65" s="127">
        <f>SUM(GL23:GW23)</f>
        <v>513.23204209000005</v>
      </c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  <c r="BI65" s="126"/>
      <c r="BJ65" s="126"/>
      <c r="BK65" s="126"/>
      <c r="BL65" s="126"/>
      <c r="BM65" s="126"/>
      <c r="BN65" s="126"/>
      <c r="BO65" s="126"/>
      <c r="BP65" s="126"/>
      <c r="BQ65" s="126"/>
      <c r="BR65" s="126"/>
      <c r="BS65" s="126"/>
      <c r="BT65" s="126"/>
      <c r="BU65" s="126"/>
      <c r="BV65" s="126"/>
      <c r="BW65" s="126"/>
      <c r="BX65" s="126"/>
      <c r="BY65" s="126"/>
      <c r="CE65" s="126"/>
      <c r="DQ65" s="260"/>
      <c r="EE65"/>
      <c r="EF65"/>
      <c r="EG65"/>
      <c r="EH65" s="260"/>
      <c r="EI65" s="260"/>
      <c r="EJ65" s="260"/>
      <c r="EZ65" s="722"/>
      <c r="FA65" s="722"/>
      <c r="FB65" s="445"/>
    </row>
    <row r="66" spans="1:158">
      <c r="A66" s="5" t="s">
        <v>447</v>
      </c>
      <c r="B66" s="126">
        <f>SUM(B24:M24)</f>
        <v>170.73738170965581</v>
      </c>
      <c r="C66" s="126">
        <f>SUM(N24:Y24)</f>
        <v>212.83919699999998</v>
      </c>
      <c r="D66" s="126">
        <f>SUM(Z24:AK24)</f>
        <v>208.83470799999998</v>
      </c>
      <c r="E66" s="126">
        <f>SUM(AL24:AW24)</f>
        <v>166.9062879514</v>
      </c>
      <c r="F66" s="126">
        <f>SUM(AX24:BI24)</f>
        <v>192.01</v>
      </c>
      <c r="G66" s="126">
        <f>SUM(BJ24:BU24)</f>
        <v>213.99999999999997</v>
      </c>
      <c r="H66" s="126">
        <f>SUM(BV24:CG24)</f>
        <v>267.03000000000003</v>
      </c>
      <c r="I66" s="126">
        <f>SUM(CH24:CS24)</f>
        <v>355.64499999999998</v>
      </c>
      <c r="J66" s="126">
        <f>SUM(CT24:DE24)</f>
        <v>561.97</v>
      </c>
      <c r="K66" s="126">
        <f>SUM(DF24:DQ24)</f>
        <v>640.82071189999999</v>
      </c>
      <c r="L66" s="126">
        <f>SUM(DR24:EC24)</f>
        <v>725.60986048999985</v>
      </c>
      <c r="M66" s="126">
        <f>SUM(ED24:EO24)</f>
        <v>997.73967964000008</v>
      </c>
      <c r="N66" s="126">
        <f>SUM(EP24:FA24)</f>
        <v>1442.3473267900004</v>
      </c>
      <c r="O66" s="126">
        <f>SUM(FB24:FM24)</f>
        <v>1351.4821701999999</v>
      </c>
      <c r="P66" s="126">
        <f>SUM(FN24:FY24)</f>
        <v>1475.3</v>
      </c>
      <c r="Q66" s="126">
        <f>SUM(FZ24:GK24)</f>
        <v>1622.8385920299997</v>
      </c>
      <c r="R66" s="127">
        <f>SUM(GL24:GW24)</f>
        <v>792.86233398000002</v>
      </c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  <c r="BI66" s="126"/>
      <c r="BJ66" s="126"/>
      <c r="BK66" s="126"/>
      <c r="BL66" s="126"/>
      <c r="BM66" s="126"/>
      <c r="BN66" s="126"/>
      <c r="BO66" s="126"/>
      <c r="BP66" s="126"/>
      <c r="BQ66" s="126"/>
      <c r="BR66" s="126"/>
      <c r="BS66" s="126"/>
      <c r="BT66" s="126"/>
      <c r="BU66" s="126"/>
      <c r="BV66" s="126"/>
      <c r="BW66" s="126"/>
      <c r="BX66" s="126"/>
      <c r="BY66" s="126"/>
      <c r="CE66" s="126"/>
      <c r="DQ66" s="260"/>
      <c r="EE66"/>
      <c r="EF66"/>
      <c r="EG66"/>
      <c r="EH66" s="260"/>
      <c r="EI66" s="260"/>
      <c r="EJ66" s="260"/>
      <c r="EQ66"/>
      <c r="ER66"/>
      <c r="ES66"/>
      <c r="ET66" s="260"/>
      <c r="EU66" s="260"/>
      <c r="EV66" s="260"/>
      <c r="EZ66" s="722"/>
      <c r="FA66" s="722"/>
      <c r="FB66" s="445"/>
    </row>
    <row r="67" spans="1:158">
      <c r="A67" s="653" t="s">
        <v>448</v>
      </c>
      <c r="B67" s="648">
        <f>SUM(B65:B66)</f>
        <v>978.46560399999998</v>
      </c>
      <c r="C67" s="648">
        <f t="shared" ref="C67:F67" si="490">SUM(C65:C66)</f>
        <v>810.28299861652852</v>
      </c>
      <c r="D67" s="648">
        <f t="shared" si="490"/>
        <v>823.39338997282994</v>
      </c>
      <c r="E67" s="648">
        <f t="shared" si="490"/>
        <v>771.80475252338545</v>
      </c>
      <c r="F67" s="648">
        <f t="shared" si="490"/>
        <v>782</v>
      </c>
      <c r="G67" s="648">
        <f t="shared" ref="G67:L67" si="491">SUM(G65:G66)</f>
        <v>814</v>
      </c>
      <c r="H67" s="648">
        <f t="shared" si="491"/>
        <v>785.03</v>
      </c>
      <c r="I67" s="648">
        <f t="shared" si="491"/>
        <v>938.98900000000003</v>
      </c>
      <c r="J67" s="648">
        <f t="shared" si="491"/>
        <v>1371.25</v>
      </c>
      <c r="K67" s="648">
        <f t="shared" si="491"/>
        <v>1481.5670732399999</v>
      </c>
      <c r="L67" s="648">
        <f t="shared" si="491"/>
        <v>1593.1382910199998</v>
      </c>
      <c r="M67" s="648">
        <f t="shared" ref="M67:N67" si="492">SUM(M65:M66)</f>
        <v>1578.3523414100002</v>
      </c>
      <c r="N67" s="648">
        <f t="shared" si="492"/>
        <v>1828.0365543900004</v>
      </c>
      <c r="O67" s="648">
        <f>SUM(O65:O66)</f>
        <v>2212.5888971300001</v>
      </c>
      <c r="P67" s="648">
        <f>SUM(P65:P66)</f>
        <v>2404.8999999999996</v>
      </c>
      <c r="Q67" s="648">
        <f>SUM(Q65:Q66)</f>
        <v>2577.1605346299998</v>
      </c>
      <c r="R67" s="650">
        <f>SUM(R65:R66)</f>
        <v>1306.0943760700002</v>
      </c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  <c r="BI67" s="126"/>
      <c r="BJ67" s="126"/>
      <c r="BK67" s="126"/>
      <c r="BL67" s="126"/>
      <c r="BM67" s="126"/>
      <c r="BN67" s="126"/>
      <c r="BO67" s="126"/>
      <c r="BP67" s="126"/>
      <c r="BQ67" s="126"/>
      <c r="BR67" s="126"/>
      <c r="BS67" s="126"/>
      <c r="BT67" s="126"/>
      <c r="BU67" s="126"/>
      <c r="BV67" s="126"/>
      <c r="BW67" s="126"/>
      <c r="BX67" s="126"/>
      <c r="BY67" s="126"/>
      <c r="CE67" s="126"/>
      <c r="DQ67" s="260"/>
      <c r="EE67"/>
      <c r="EF67"/>
      <c r="EG67"/>
      <c r="EH67" s="260"/>
      <c r="EI67" s="260"/>
      <c r="EJ67" s="260"/>
      <c r="EQ67"/>
      <c r="ER67"/>
      <c r="ES67"/>
      <c r="ET67" s="260"/>
      <c r="EU67" s="260"/>
      <c r="EV67" s="260"/>
      <c r="EZ67" s="722"/>
      <c r="FA67" s="722"/>
      <c r="FB67" s="445"/>
    </row>
    <row r="68" spans="1:158">
      <c r="A68" s="654" t="s">
        <v>454</v>
      </c>
      <c r="B68" s="655">
        <f>B66/B67</f>
        <v>0.17449502671496647</v>
      </c>
      <c r="C68" s="655">
        <f t="shared" ref="C68:F68" si="493">C66/C67</f>
        <v>0.26267266789924032</v>
      </c>
      <c r="D68" s="655">
        <f t="shared" si="493"/>
        <v>0.25362689395270838</v>
      </c>
      <c r="E68" s="655">
        <f t="shared" si="493"/>
        <v>0.21625454806504679</v>
      </c>
      <c r="F68" s="655">
        <f t="shared" si="493"/>
        <v>0.24553708439897698</v>
      </c>
      <c r="G68" s="655">
        <f t="shared" ref="G68:L68" si="494">G66/G67</f>
        <v>0.26289926289926285</v>
      </c>
      <c r="H68" s="655">
        <f t="shared" si="494"/>
        <v>0.34015260563290578</v>
      </c>
      <c r="I68" s="655">
        <f t="shared" si="494"/>
        <v>0.37875310573393295</v>
      </c>
      <c r="J68" s="655">
        <f t="shared" si="494"/>
        <v>0.40982315405651781</v>
      </c>
      <c r="K68" s="655">
        <f t="shared" si="494"/>
        <v>0.4325289914135349</v>
      </c>
      <c r="L68" s="655">
        <f t="shared" si="494"/>
        <v>0.45545943160115204</v>
      </c>
      <c r="M68" s="655">
        <f t="shared" ref="M68:N68" si="495">M66/M67</f>
        <v>0.63214001934997766</v>
      </c>
      <c r="N68" s="655">
        <f t="shared" si="495"/>
        <v>0.7890144884281588</v>
      </c>
      <c r="O68" s="655">
        <f>O66/O67</f>
        <v>0.61081485672871205</v>
      </c>
      <c r="P68" s="655">
        <f>P66/P67</f>
        <v>0.61345586095055937</v>
      </c>
      <c r="Q68" s="655">
        <f>Q66/Q67</f>
        <v>0.62970023412336207</v>
      </c>
      <c r="R68" s="651">
        <f>R66/R67</f>
        <v>0.60704827193705524</v>
      </c>
      <c r="CE68" s="126"/>
      <c r="DQ68" s="260"/>
      <c r="EE68"/>
      <c r="EF68"/>
      <c r="EG68"/>
      <c r="EH68" s="260"/>
      <c r="EI68" s="260"/>
      <c r="EJ68" s="260"/>
      <c r="EQ68"/>
      <c r="ER68"/>
      <c r="ES68"/>
      <c r="ET68" s="260"/>
      <c r="EU68" s="260"/>
      <c r="EV68" s="260"/>
      <c r="EZ68" s="722"/>
      <c r="FA68" s="722"/>
      <c r="FB68" s="445"/>
    </row>
    <row r="69" spans="1:158">
      <c r="A69" s="659" t="s">
        <v>396</v>
      </c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7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  <c r="BI69" s="126"/>
      <c r="BJ69" s="126"/>
      <c r="BK69" s="126"/>
      <c r="BL69" s="126"/>
      <c r="BM69" s="126"/>
      <c r="BN69" s="126"/>
      <c r="BO69" s="126"/>
      <c r="BP69" s="126"/>
      <c r="BQ69" s="126"/>
      <c r="BR69" s="126"/>
      <c r="BS69" s="126"/>
      <c r="BT69" s="126"/>
      <c r="BU69" s="126"/>
      <c r="BV69" s="126"/>
      <c r="BW69" s="126"/>
      <c r="BX69" s="126"/>
      <c r="BY69" s="126"/>
      <c r="CE69" s="126"/>
      <c r="DQ69" s="260"/>
      <c r="EE69"/>
      <c r="EF69"/>
      <c r="EG69"/>
      <c r="EI69" s="260"/>
      <c r="EQ69"/>
      <c r="ER69"/>
      <c r="ES69"/>
      <c r="EU69" s="260"/>
      <c r="EZ69" s="722"/>
      <c r="FA69" s="722"/>
      <c r="FB69" s="445"/>
    </row>
    <row r="70" spans="1:158">
      <c r="A70" s="5" t="s">
        <v>449</v>
      </c>
      <c r="B70" s="559"/>
      <c r="C70" s="559"/>
      <c r="D70" s="126">
        <f>SUM(Z28:AK28)</f>
        <v>49.159015000000004</v>
      </c>
      <c r="E70" s="126">
        <f>SUM(AL28:AW28)</f>
        <v>146.89135099999999</v>
      </c>
      <c r="F70" s="126">
        <f>SUM(AX28:BI28)</f>
        <v>244.25</v>
      </c>
      <c r="G70" s="126">
        <f>SUM(BJ28:BU28)</f>
        <v>255.48000000000002</v>
      </c>
      <c r="H70" s="126">
        <f>SUM(BV28:CG28)</f>
        <v>338.33000000000004</v>
      </c>
      <c r="I70" s="126">
        <f>SUM(CH28:CS28)</f>
        <v>438.89000000000004</v>
      </c>
      <c r="J70" s="126">
        <f>SUM(CT28:DE28)</f>
        <v>567.04999999999995</v>
      </c>
      <c r="K70" s="126">
        <f>SUM(DF28:DQ28)</f>
        <v>710.03786290999994</v>
      </c>
      <c r="L70" s="126">
        <f>SUM(DR28:EC28)</f>
        <v>831.16971128123259</v>
      </c>
      <c r="M70" s="126">
        <f>SUM(ED28:EO28)</f>
        <v>1217.8720565599997</v>
      </c>
      <c r="N70" s="126">
        <f>SUM(EP28:FA28)</f>
        <v>1773.6061473599998</v>
      </c>
      <c r="O70" s="126">
        <f>SUM(FB28:FM28)</f>
        <v>2013.1635003899999</v>
      </c>
      <c r="P70" s="126">
        <f>SUM(FN28:FY28)</f>
        <v>2368.3000000000002</v>
      </c>
      <c r="Q70" s="126">
        <f>SUM(FZ28:GK28)</f>
        <v>2797.6071059800001</v>
      </c>
      <c r="R70" s="127">
        <f>SUM(GL28:GW28)</f>
        <v>1285.1172405500001</v>
      </c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  <c r="BI70" s="126"/>
      <c r="BJ70" s="126"/>
      <c r="BK70" s="126"/>
      <c r="BL70" s="126"/>
      <c r="BM70" s="126"/>
      <c r="BN70" s="126"/>
      <c r="BO70" s="126"/>
      <c r="BP70" s="126"/>
      <c r="BQ70" s="126"/>
      <c r="BR70" s="126"/>
      <c r="BS70" s="126"/>
      <c r="BT70" s="126"/>
      <c r="BU70" s="126"/>
      <c r="BV70" s="126"/>
      <c r="BW70" s="126"/>
      <c r="BX70" s="126"/>
      <c r="BY70" s="126"/>
      <c r="CE70" s="126"/>
      <c r="EZ70" s="722"/>
      <c r="FA70" s="722"/>
      <c r="FB70" s="445"/>
    </row>
    <row r="71" spans="1:158">
      <c r="A71" s="5" t="s">
        <v>450</v>
      </c>
      <c r="B71" s="559"/>
      <c r="C71" s="559"/>
      <c r="D71" s="126">
        <f>SUM(Z29:AK29)</f>
        <v>127.98809800000001</v>
      </c>
      <c r="E71" s="126">
        <f>SUM(AL29:AW29)</f>
        <v>209.390691</v>
      </c>
      <c r="F71" s="126">
        <f>SUM(AX29:BI29)</f>
        <v>132.75</v>
      </c>
      <c r="G71" s="126">
        <f>SUM(BJ29:BU29)</f>
        <v>109.53999999999998</v>
      </c>
      <c r="H71" s="126">
        <f>SUM(BV29:CG29)</f>
        <v>72.669999999999987</v>
      </c>
      <c r="I71" s="126">
        <f>SUM(CH29:CS29)</f>
        <v>71.240000000000009</v>
      </c>
      <c r="J71" s="126">
        <f>SUM(CT29:DE29)</f>
        <v>69.83</v>
      </c>
      <c r="K71" s="126">
        <f>SUM(DF29:DQ29)</f>
        <v>65.1056059</v>
      </c>
      <c r="L71" s="126">
        <f>SUM(DR29:EC29)</f>
        <v>60.100845438336002</v>
      </c>
      <c r="M71" s="126">
        <f>SUM(ED29:EO29)</f>
        <v>82.647108402276004</v>
      </c>
      <c r="N71" s="126">
        <f>SUM(EP29:FA29)</f>
        <v>71.22833808999998</v>
      </c>
      <c r="O71" s="126">
        <f>SUM(FB29:FM29)</f>
        <v>67.717786050000001</v>
      </c>
      <c r="P71" s="126">
        <f>SUM(FN29:FY29)</f>
        <v>66.200000000000017</v>
      </c>
      <c r="Q71" s="126">
        <f>SUM(FZ29:GK29)</f>
        <v>61.254505809999991</v>
      </c>
      <c r="R71" s="127">
        <f>SUM(GL29:GW29)</f>
        <v>25.897377079999998</v>
      </c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  <c r="BI71" s="126"/>
      <c r="BJ71" s="126"/>
      <c r="BK71" s="126"/>
      <c r="BL71" s="126"/>
      <c r="BM71" s="126"/>
      <c r="BN71" s="126"/>
      <c r="BO71" s="126"/>
      <c r="BP71" s="126"/>
      <c r="BQ71" s="126"/>
      <c r="BR71" s="126"/>
      <c r="BS71" s="126"/>
      <c r="BT71" s="126"/>
      <c r="BU71" s="126"/>
      <c r="BV71" s="126"/>
      <c r="BW71" s="126"/>
      <c r="BX71" s="126"/>
      <c r="BY71" s="126"/>
      <c r="CE71" s="126"/>
      <c r="EZ71" s="722"/>
      <c r="FA71" s="722"/>
    </row>
    <row r="72" spans="1:158">
      <c r="A72" s="5" t="s">
        <v>451</v>
      </c>
      <c r="B72" s="126">
        <f>SUM(B30:M30)</f>
        <v>287.01451917277438</v>
      </c>
      <c r="C72" s="126">
        <f>SUM(N30:Y30)</f>
        <v>376.48407700000001</v>
      </c>
      <c r="D72" s="126">
        <f>SUM(Z30:AK30)</f>
        <v>256.382203</v>
      </c>
      <c r="E72" s="126">
        <f>SUM(AL30:AW30)</f>
        <v>151.23785899999999</v>
      </c>
      <c r="F72" s="126">
        <f>SUM(AX30:BI30)</f>
        <v>96.990000000000009</v>
      </c>
      <c r="G72" s="126">
        <f>SUM(BJ30:BU30)</f>
        <v>79</v>
      </c>
      <c r="H72" s="126">
        <f>SUM(BV30:CG30)</f>
        <v>70.989999999999995</v>
      </c>
      <c r="I72" s="126">
        <f>SUM(CH30:CS30)</f>
        <v>69.580000000000013</v>
      </c>
      <c r="J72" s="126">
        <f>SUM(CT30:DE30)</f>
        <v>83.21</v>
      </c>
      <c r="K72" s="126">
        <f>SUM(DF30:DQ30)</f>
        <v>81.890562869999997</v>
      </c>
      <c r="L72" s="126">
        <f>SUM(DR30:EC30)</f>
        <v>77.659544118159985</v>
      </c>
      <c r="M72" s="126">
        <f>SUM(ED30:EO30)</f>
        <v>124.28804491621898</v>
      </c>
      <c r="N72" s="126">
        <f>SUM(EP30:FA30)</f>
        <v>105.95519713000002</v>
      </c>
      <c r="O72" s="126">
        <f>SUM(FB30:FM30)</f>
        <v>102.06449288999998</v>
      </c>
      <c r="P72" s="126">
        <f>SUM(FN30:FY30)</f>
        <v>111.29882953584905</v>
      </c>
      <c r="Q72" s="126">
        <f>SUM(FZ30:GK30)</f>
        <v>113.66174726999999</v>
      </c>
      <c r="R72" s="127">
        <f>SUM(GL30:GW30)</f>
        <v>54.942784950000004</v>
      </c>
      <c r="CE72" s="126"/>
      <c r="EZ72" s="722"/>
      <c r="FA72" s="722"/>
    </row>
    <row r="73" spans="1:158">
      <c r="A73" s="656" t="s">
        <v>452</v>
      </c>
      <c r="B73" s="649">
        <f>SUM(B71:B72)</f>
        <v>287.01451917277438</v>
      </c>
      <c r="C73" s="649">
        <f t="shared" ref="C73:F73" si="496">SUM(C71:C72)</f>
        <v>376.48407700000001</v>
      </c>
      <c r="D73" s="649">
        <f t="shared" si="496"/>
        <v>384.37030100000004</v>
      </c>
      <c r="E73" s="649">
        <f t="shared" si="496"/>
        <v>360.62855000000002</v>
      </c>
      <c r="F73" s="649">
        <f t="shared" si="496"/>
        <v>229.74</v>
      </c>
      <c r="G73" s="649">
        <f t="shared" ref="G73:L73" si="497">SUM(G71:G72)</f>
        <v>188.53999999999996</v>
      </c>
      <c r="H73" s="649">
        <f t="shared" si="497"/>
        <v>143.65999999999997</v>
      </c>
      <c r="I73" s="649">
        <f t="shared" si="497"/>
        <v>140.82000000000002</v>
      </c>
      <c r="J73" s="649">
        <f t="shared" si="497"/>
        <v>153.04</v>
      </c>
      <c r="K73" s="649">
        <f t="shared" si="497"/>
        <v>146.99616877</v>
      </c>
      <c r="L73" s="649">
        <f t="shared" si="497"/>
        <v>137.76038955649599</v>
      </c>
      <c r="M73" s="649">
        <f t="shared" ref="M73:N73" si="498">SUM(M71:M72)</f>
        <v>206.935153318495</v>
      </c>
      <c r="N73" s="649">
        <f t="shared" si="498"/>
        <v>177.18353522000001</v>
      </c>
      <c r="O73" s="649">
        <f>SUM(O71:O72)</f>
        <v>169.78227893999997</v>
      </c>
      <c r="P73" s="649">
        <f>SUM(P71:P72)</f>
        <v>177.49882953584907</v>
      </c>
      <c r="Q73" s="649">
        <f>SUM(Q71:Q72)</f>
        <v>174.91625307999999</v>
      </c>
      <c r="R73" s="652">
        <f>SUM(R71:R72)</f>
        <v>80.840162030000002</v>
      </c>
      <c r="CE73" s="126"/>
    </row>
    <row r="74" spans="1:158">
      <c r="A74" s="5" t="s">
        <v>318</v>
      </c>
      <c r="B74" s="126">
        <f>SUM(B32:M32)</f>
        <v>2.3498587646205524E-2</v>
      </c>
      <c r="C74" s="126">
        <f>SUM(N32:Y32)</f>
        <v>44.206241000000006</v>
      </c>
      <c r="D74" s="126">
        <f>SUM(Z32:AK32)</f>
        <v>54.934426000000002</v>
      </c>
      <c r="E74" s="126">
        <f>SUM(AL32:AW32)</f>
        <v>42.815416000000006</v>
      </c>
      <c r="F74" s="126">
        <f>SUM(AX32:BI32)</f>
        <v>31.99</v>
      </c>
      <c r="G74" s="126">
        <f>SUM(BJ32:BU32)</f>
        <v>27</v>
      </c>
      <c r="H74" s="126">
        <f>SUM(BV32:CG32)</f>
        <v>25.009999999999998</v>
      </c>
      <c r="I74" s="126">
        <f>SUM(CH32:CS32)</f>
        <v>27.35</v>
      </c>
      <c r="J74" s="126">
        <f>SUM(CT32:DE32)</f>
        <v>27.879999999999995</v>
      </c>
      <c r="K74" s="126">
        <f>SUM(DF32:DQ32)</f>
        <v>31.075223130000001</v>
      </c>
      <c r="L74" s="126">
        <f>SUM(DR32:EC32)</f>
        <v>37.422039323032401</v>
      </c>
      <c r="M74" s="126">
        <f>SUM(ED32:EO32)</f>
        <v>58.173371130786002</v>
      </c>
      <c r="N74" s="126">
        <f>SUM(EP32:FA32)</f>
        <v>66.574887765999989</v>
      </c>
      <c r="O74" s="126">
        <f>SUM(FB32:FM32)</f>
        <v>61.100463175000009</v>
      </c>
      <c r="P74" s="126">
        <f>SUM(FN32:FY32)</f>
        <v>63.79606669999999</v>
      </c>
      <c r="Q74" s="126">
        <f>SUM(FZ32:GK32)</f>
        <v>67.213969830000011</v>
      </c>
      <c r="R74" s="127">
        <f>SUM(GL32:GW32)</f>
        <v>23.217913039999999</v>
      </c>
      <c r="CE74" s="126"/>
    </row>
    <row r="75" spans="1:158">
      <c r="A75" s="653" t="s">
        <v>455</v>
      </c>
      <c r="B75" s="648">
        <f>B73+B74+B70</f>
        <v>287.03801776042059</v>
      </c>
      <c r="C75" s="648">
        <f t="shared" ref="C75:F75" si="499">C73+C74+C70</f>
        <v>420.69031800000005</v>
      </c>
      <c r="D75" s="648">
        <f t="shared" si="499"/>
        <v>488.46374200000008</v>
      </c>
      <c r="E75" s="648">
        <f t="shared" si="499"/>
        <v>550.33531700000003</v>
      </c>
      <c r="F75" s="648">
        <f t="shared" si="499"/>
        <v>505.98</v>
      </c>
      <c r="G75" s="648">
        <f t="shared" ref="G75:L75" si="500">G73+G74+G70</f>
        <v>471.02</v>
      </c>
      <c r="H75" s="648">
        <f t="shared" si="500"/>
        <v>507</v>
      </c>
      <c r="I75" s="648">
        <f t="shared" si="500"/>
        <v>607.06000000000006</v>
      </c>
      <c r="J75" s="648">
        <f t="shared" si="500"/>
        <v>747.96999999999991</v>
      </c>
      <c r="K75" s="648">
        <f t="shared" si="500"/>
        <v>888.10925480999992</v>
      </c>
      <c r="L75" s="648">
        <f t="shared" si="500"/>
        <v>1006.352140160761</v>
      </c>
      <c r="M75" s="648">
        <f t="shared" ref="M75:O75" si="501">M73+M74+M70</f>
        <v>1482.9805810092807</v>
      </c>
      <c r="N75" s="648">
        <f t="shared" si="501"/>
        <v>2017.3645703459997</v>
      </c>
      <c r="O75" s="648">
        <f t="shared" si="501"/>
        <v>2244.046242505</v>
      </c>
      <c r="P75" s="648">
        <f t="shared" ref="P75:Q75" si="502">P73+P74+P70</f>
        <v>2609.5948962358493</v>
      </c>
      <c r="Q75" s="648">
        <f t="shared" si="502"/>
        <v>3039.7373288900003</v>
      </c>
      <c r="R75" s="650">
        <f t="shared" ref="R75" si="503">R73+R74+R70</f>
        <v>1389.1753156200002</v>
      </c>
      <c r="CE75" s="126"/>
    </row>
    <row r="76" spans="1:158">
      <c r="A76" s="659" t="s">
        <v>457</v>
      </c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7"/>
      <c r="CE76" s="126"/>
    </row>
    <row r="77" spans="1:158">
      <c r="A77" s="660" t="s">
        <v>453</v>
      </c>
      <c r="B77" s="73">
        <f>B66+B75+B61</f>
        <v>457.77539947007642</v>
      </c>
      <c r="C77" s="73">
        <f t="shared" ref="C77:P77" si="504">C66+C75+C61</f>
        <v>633.52951500000006</v>
      </c>
      <c r="D77" s="73">
        <f t="shared" si="504"/>
        <v>697.29845</v>
      </c>
      <c r="E77" s="73">
        <f t="shared" si="504"/>
        <v>717.24160495140006</v>
      </c>
      <c r="F77" s="73">
        <f t="shared" si="504"/>
        <v>697.99</v>
      </c>
      <c r="G77" s="73">
        <f t="shared" si="504"/>
        <v>685.02</v>
      </c>
      <c r="H77" s="73">
        <f t="shared" si="504"/>
        <v>774.03</v>
      </c>
      <c r="I77" s="73">
        <f t="shared" si="504"/>
        <v>962.70500000000004</v>
      </c>
      <c r="J77" s="73">
        <f t="shared" si="504"/>
        <v>1309.94</v>
      </c>
      <c r="K77" s="73">
        <f t="shared" si="504"/>
        <v>1528.9299667099999</v>
      </c>
      <c r="L77" s="73">
        <f t="shared" si="504"/>
        <v>1761.7119884507608</v>
      </c>
      <c r="M77" s="73">
        <f t="shared" si="504"/>
        <v>2556.6705912992811</v>
      </c>
      <c r="N77" s="73">
        <f t="shared" si="504"/>
        <v>3565.4155787660002</v>
      </c>
      <c r="O77" s="73">
        <f t="shared" si="504"/>
        <v>3705.0116501550001</v>
      </c>
      <c r="P77" s="73">
        <f t="shared" si="504"/>
        <v>4222.6202025458488</v>
      </c>
      <c r="Q77" s="73">
        <f t="shared" ref="Q77:R77" si="505">Q66+Q75+Q61</f>
        <v>4841.6635525400006</v>
      </c>
      <c r="R77" s="661">
        <f t="shared" si="505"/>
        <v>2244.3772679400004</v>
      </c>
      <c r="CE77" s="126"/>
    </row>
    <row r="78" spans="1:158">
      <c r="A78" s="716" t="s">
        <v>501</v>
      </c>
      <c r="B78" s="717">
        <f>(B70+B73)/(B70+B73+Annual!BM26)</f>
        <v>0.37130213999437545</v>
      </c>
      <c r="C78" s="717">
        <f>(C70+C73)/(C70+C73+Annual!BN26)</f>
        <v>0.4465118329092444</v>
      </c>
      <c r="D78" s="717">
        <f>(D70+D73)/(D70+D73+Annual!BO26)</f>
        <v>0.50776845856685071</v>
      </c>
      <c r="E78" s="717">
        <f>(E70+E73)/(E70+E73+Annual!BP26)</f>
        <v>0.59603048738346254</v>
      </c>
      <c r="F78" s="717">
        <f>(F70+F73)/(F70+F73+Annual!BQ26)</f>
        <v>0.60535894455867889</v>
      </c>
      <c r="G78" s="717">
        <f>(G70+G73)/(G70+G73+Annual!BR26)</f>
        <v>0.59230460501341686</v>
      </c>
      <c r="H78" s="717">
        <f>(H70+H73)/(H70+H73+Annual!BS26)</f>
        <v>0.61794381979256141</v>
      </c>
      <c r="I78" s="717">
        <f>(I70+I73)/(I70+I73+B238)</f>
        <v>0.66632280188237802</v>
      </c>
      <c r="J78" s="717">
        <f t="shared" ref="J78:R78" si="506">(J70+J73)/(J70+J73+C238)</f>
        <v>0.71419200610814726</v>
      </c>
      <c r="K78" s="717">
        <f t="shared" si="506"/>
        <v>0.77856312836606922</v>
      </c>
      <c r="L78" s="717">
        <f t="shared" si="506"/>
        <v>0.83035113952345507</v>
      </c>
      <c r="M78" s="717">
        <f t="shared" si="506"/>
        <v>0.93760800504844011</v>
      </c>
      <c r="N78" s="717">
        <f t="shared" si="506"/>
        <v>1</v>
      </c>
      <c r="O78" s="717">
        <f t="shared" si="506"/>
        <v>1</v>
      </c>
      <c r="P78" s="717">
        <f t="shared" si="506"/>
        <v>1</v>
      </c>
      <c r="Q78" s="717">
        <f t="shared" si="506"/>
        <v>1</v>
      </c>
      <c r="R78" s="718">
        <f t="shared" si="506"/>
        <v>1</v>
      </c>
      <c r="CE78" s="126"/>
    </row>
    <row r="79" spans="1:158" ht="16" thickBot="1">
      <c r="A79" s="217"/>
      <c r="B79" s="715"/>
      <c r="C79" s="715"/>
      <c r="D79" s="715"/>
      <c r="E79" s="715"/>
      <c r="F79" s="715"/>
      <c r="G79" s="715"/>
      <c r="H79" s="715"/>
      <c r="I79" s="715"/>
      <c r="J79" s="715"/>
      <c r="K79" s="715"/>
      <c r="L79" s="715"/>
      <c r="M79" s="715"/>
      <c r="N79" s="715"/>
      <c r="O79" s="715"/>
      <c r="P79" s="715"/>
      <c r="Q79" s="715"/>
      <c r="R79" s="551"/>
      <c r="CE79" s="126"/>
    </row>
    <row r="80" spans="1:158"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CE80" s="126"/>
      <c r="DL80" s="126"/>
      <c r="DX80" s="126"/>
      <c r="EJ80" s="126"/>
      <c r="EV80" s="126"/>
    </row>
    <row r="81" spans="1:152" ht="19">
      <c r="A81" s="435" t="s">
        <v>456</v>
      </c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AM81" s="435" t="s">
        <v>509</v>
      </c>
      <c r="AZ81" s="435" t="s">
        <v>577</v>
      </c>
      <c r="BL81" s="435" t="s">
        <v>516</v>
      </c>
      <c r="CA81" s="435" t="s">
        <v>502</v>
      </c>
      <c r="CM81" s="126"/>
      <c r="CN81" s="126"/>
      <c r="CO81" s="126"/>
      <c r="CP81" s="126"/>
      <c r="CQ81" s="126"/>
      <c r="CR81" s="126"/>
      <c r="CS81" s="126"/>
    </row>
    <row r="82" spans="1:152"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CM82" s="126"/>
      <c r="CN82" s="126"/>
      <c r="CO82" s="126"/>
      <c r="CP82" s="126"/>
      <c r="CQ82" s="126"/>
      <c r="CR82" s="126"/>
      <c r="CS82" s="126"/>
    </row>
    <row r="83" spans="1:152"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CA83" s="99" t="str">
        <f>'New Summary Monthly'!A54</f>
        <v>€m</v>
      </c>
      <c r="CB83" s="99">
        <f>'New Summary Monthly'!B54</f>
        <v>2009</v>
      </c>
      <c r="CC83" s="99">
        <f>'New Summary Monthly'!C54</f>
        <v>2010</v>
      </c>
      <c r="CD83" s="99">
        <f>'New Summary Monthly'!D54</f>
        <v>2011</v>
      </c>
      <c r="CE83" s="99">
        <f>'New Summary Monthly'!E54</f>
        <v>2012</v>
      </c>
      <c r="CF83" s="99">
        <f>'New Summary Monthly'!F54</f>
        <v>2013</v>
      </c>
      <c r="CG83" s="99">
        <f>'New Summary Monthly'!G54</f>
        <v>2014</v>
      </c>
      <c r="CH83" s="99">
        <f>'New Summary Monthly'!H54</f>
        <v>2015</v>
      </c>
      <c r="CI83" s="99">
        <f>'New Summary Monthly'!I54</f>
        <v>2016</v>
      </c>
      <c r="CJ83" s="99">
        <f>'New Summary Monthly'!J54</f>
        <v>2017</v>
      </c>
      <c r="CK83" s="99">
        <f>'New Summary Monthly'!K54</f>
        <v>2018</v>
      </c>
      <c r="CL83" s="99">
        <f>'New Summary Monthly'!L54</f>
        <v>2019</v>
      </c>
      <c r="CM83" s="721">
        <f>Annual!BX12</f>
        <v>2020</v>
      </c>
      <c r="CN83" s="721">
        <f>Annual!BY12</f>
        <v>2021</v>
      </c>
      <c r="CO83" s="721">
        <f>Annual!BZ12</f>
        <v>2022</v>
      </c>
      <c r="CP83" s="721">
        <v>2023</v>
      </c>
      <c r="CQ83" s="721" t="str">
        <f>Annual!CB12</f>
        <v>2024e</v>
      </c>
      <c r="CR83" s="721" t="str">
        <f>Annual!CC12</f>
        <v>2025e</v>
      </c>
      <c r="CS83" s="721" t="str">
        <f>Annual!CD12</f>
        <v>2026e</v>
      </c>
      <c r="CT83" s="721" t="str">
        <f>Annual!CE12</f>
        <v>2027e</v>
      </c>
      <c r="CU83" s="721" t="str">
        <f>Annual!CF12</f>
        <v>2028e</v>
      </c>
      <c r="CV83" s="721" t="str">
        <f>Annual!CG12</f>
        <v>2029e</v>
      </c>
      <c r="CW83" s="721" t="str">
        <f>Annual!CH12</f>
        <v>2030e</v>
      </c>
      <c r="DL83" s="126"/>
      <c r="DX83" s="126"/>
      <c r="EJ83" s="126"/>
      <c r="EV83" s="126"/>
    </row>
    <row r="84" spans="1:152"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CA84" s="99" t="s">
        <v>505</v>
      </c>
      <c r="CB84" s="445">
        <f>(Annual!M114+Annual!M115)/(Annual!BM28+Annual!BM34)</f>
        <v>0.37130213999437545</v>
      </c>
      <c r="CC84" s="445">
        <f>(Annual!N114+Annual!N115)/(Annual!BN28+Annual!BN34)</f>
        <v>0.4465118329092444</v>
      </c>
      <c r="CD84" s="445">
        <f>(Annual!O114+Annual!O115)/(Annual!BO28+Annual!BO34)</f>
        <v>0.50776845856685071</v>
      </c>
      <c r="CE84" s="445">
        <f>(Annual!P114+Annual!P115)/(Annual!BP28+Annual!BP34)</f>
        <v>0.59387470778530782</v>
      </c>
      <c r="CF84" s="445">
        <f>(Annual!Q114+Annual!Q115)/(Annual!BQ28+Annual!BQ34)</f>
        <v>0.6053639846743295</v>
      </c>
      <c r="CG84" s="445">
        <f>(Annual!R114+Annual!R115)/(Annual!BR28+Annual!BR34)</f>
        <v>0.59229372774200795</v>
      </c>
      <c r="CH84" s="445">
        <f>(Annual!S114+Annual!S115)/(Annual!BS28+Annual!BS34)</f>
        <v>0.61941251596424007</v>
      </c>
      <c r="CI84" s="445">
        <f>(Annual!T114+Annual!T115)/(Annual!BT28+Annual!BT34)</f>
        <v>0.66681682430022882</v>
      </c>
      <c r="CJ84" s="445">
        <f>(Annual!U114+Annual!U115)/(Annual!BU28+Annual!BU34)</f>
        <v>0.71473240445752839</v>
      </c>
      <c r="CK84" s="445">
        <f>(Annual!V114+Annual!V115)/(Annual!BV28+Annual!BV34)</f>
        <v>0.77856312836606922</v>
      </c>
      <c r="CL84" s="445">
        <f>(Annual!W114+Annual!W115)/(Annual!BW28+Annual!BW34)</f>
        <v>0.83035113952345507</v>
      </c>
      <c r="CM84" s="445">
        <f>(Annual!X114+Annual!X115)/(Annual!BX28+Annual!BX34)</f>
        <v>0.93760800504844011</v>
      </c>
      <c r="CN84" s="445">
        <f>(Annual!Y114+Annual!Y115)/(Annual!BY28+Annual!BY34)</f>
        <v>0.97024348748056588</v>
      </c>
      <c r="CO84" s="445">
        <f>(Annual!Z114+Annual!Z115)/(Annual!BZ28+Annual!BZ34)</f>
        <v>0.9431478966177379</v>
      </c>
      <c r="CP84" s="445">
        <f>(Annual!AA114+Annual!AA115)/(Annual!CA28+Annual!CA34)</f>
        <v>0.95141226985288518</v>
      </c>
      <c r="CQ84" s="445">
        <f>(Annual!AB114+Annual!AB115)/(Annual!CB28+Annual!CB34)</f>
        <v>0.95891637078903635</v>
      </c>
      <c r="CR84" s="445">
        <f>(Annual!AC114+Annual!AC115)/(Annual!CC28+Annual!CC34)</f>
        <v>0.96390380385803565</v>
      </c>
      <c r="CS84" s="445">
        <f>(Annual!AD114+Annual!AD115)/(Annual!CD28+Annual!CD34)</f>
        <v>0.96777812694356335</v>
      </c>
      <c r="CT84" s="445">
        <f>(Annual!AE114+Annual!AE115)/(Annual!CE28+Annual!CE34)</f>
        <v>0.97099413249991184</v>
      </c>
      <c r="CU84" s="445">
        <f>(Annual!AF114+Annual!AF115)/(Annual!CF28+Annual!CF34)</f>
        <v>0.9737056496919938</v>
      </c>
      <c r="CV84" s="445">
        <f>(Annual!AG114+Annual!AG115)/(Annual!CG28+Annual!CG34)</f>
        <v>0.97600312988113169</v>
      </c>
      <c r="CW84" s="445">
        <f>(Annual!AH114+Annual!AH115)/(Annual!CH28+Annual!CH34)</f>
        <v>0.97796257849656731</v>
      </c>
    </row>
    <row r="85" spans="1:152" ht="19"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CM85" s="126"/>
      <c r="CN85" s="126"/>
      <c r="CO85" s="126"/>
      <c r="CP85" s="126"/>
      <c r="CQ85" s="126"/>
      <c r="CR85" s="126"/>
      <c r="CS85" s="126"/>
      <c r="DI85" s="435" t="s">
        <v>878</v>
      </c>
    </row>
    <row r="86" spans="1:152" ht="19"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BV86" s="126"/>
      <c r="BW86" s="126"/>
      <c r="BX86" s="126"/>
      <c r="CM86" s="126"/>
      <c r="CN86" s="126"/>
      <c r="CO86" s="126"/>
      <c r="CP86" s="435" t="s">
        <v>864</v>
      </c>
      <c r="CQ86" s="126"/>
      <c r="CR86" s="126"/>
      <c r="CS86" s="126"/>
    </row>
    <row r="87" spans="1:152">
      <c r="CM87" s="126"/>
      <c r="CN87" s="126"/>
      <c r="CO87" s="126"/>
      <c r="CP87" s="126"/>
      <c r="CQ87" s="126"/>
      <c r="CR87" s="126"/>
      <c r="CS87" s="126"/>
    </row>
    <row r="88" spans="1:152">
      <c r="BV88" s="126"/>
      <c r="BW88" s="126"/>
      <c r="BX88" s="126"/>
      <c r="CM88" s="126"/>
      <c r="CN88" s="126"/>
      <c r="CO88" s="126"/>
      <c r="CP88" s="126"/>
      <c r="CQ88" s="126"/>
      <c r="CR88" s="126"/>
      <c r="CS88" s="126"/>
    </row>
    <row r="89" spans="1:152">
      <c r="CM89" s="126"/>
      <c r="CN89" s="126"/>
      <c r="CO89" s="126"/>
      <c r="CP89" s="126"/>
      <c r="CQ89" s="126"/>
      <c r="CR89" s="126"/>
      <c r="CS89" s="126"/>
    </row>
    <row r="90" spans="1:152">
      <c r="BV90" s="126"/>
      <c r="BW90" s="126"/>
      <c r="BX90" s="126"/>
      <c r="CM90" s="126"/>
      <c r="CN90" s="126"/>
      <c r="CO90" s="126"/>
      <c r="CP90" s="126"/>
      <c r="CQ90" s="126"/>
      <c r="CR90" s="126"/>
      <c r="CS90" s="126"/>
    </row>
    <row r="91" spans="1:152">
      <c r="CM91" s="126"/>
      <c r="CN91" s="126"/>
      <c r="CO91" s="126"/>
      <c r="CP91" s="126"/>
      <c r="CQ91" s="126"/>
      <c r="CR91" s="126"/>
      <c r="CS91" s="126"/>
      <c r="CT91" s="126"/>
    </row>
    <row r="92" spans="1:152">
      <c r="BV92" s="126"/>
      <c r="BW92" s="126"/>
      <c r="BX92" s="126"/>
      <c r="CM92" s="126"/>
      <c r="CN92" s="126"/>
      <c r="CO92" s="126"/>
      <c r="CP92" s="126"/>
      <c r="CQ92" s="126"/>
      <c r="CR92" s="126"/>
      <c r="CS92" s="126"/>
      <c r="CT92" s="126"/>
    </row>
    <row r="93" spans="1:152">
      <c r="CM93" s="126"/>
      <c r="CN93" s="126"/>
      <c r="CO93" s="126"/>
      <c r="CP93" s="126"/>
      <c r="CQ93" s="126"/>
      <c r="CR93" s="126"/>
      <c r="CS93" s="126"/>
      <c r="CT93" s="126"/>
    </row>
    <row r="94" spans="1:152">
      <c r="BV94" s="126"/>
      <c r="BW94" s="126"/>
      <c r="BX94" s="126"/>
      <c r="CM94" s="126"/>
      <c r="CN94" s="126"/>
      <c r="CO94" s="126"/>
      <c r="CP94" s="126"/>
      <c r="CQ94" s="126"/>
      <c r="CR94" s="126"/>
      <c r="CS94" s="126"/>
      <c r="CT94" s="126"/>
    </row>
    <row r="95" spans="1:152">
      <c r="CM95" s="126"/>
      <c r="CN95" s="126"/>
      <c r="CO95" s="126"/>
      <c r="CP95" s="126"/>
      <c r="CQ95" s="126"/>
      <c r="CR95" s="126"/>
      <c r="CS95" s="126"/>
      <c r="CT95" s="126"/>
    </row>
    <row r="96" spans="1:152">
      <c r="BV96" s="126"/>
      <c r="BW96" s="126"/>
      <c r="BX96" s="126"/>
      <c r="CM96" s="126"/>
      <c r="CN96" s="126"/>
      <c r="CO96" s="126"/>
      <c r="CP96" s="126"/>
      <c r="CQ96" s="126"/>
      <c r="CR96" s="126"/>
      <c r="CS96" s="126"/>
      <c r="CT96" s="126"/>
    </row>
    <row r="97" spans="53:146">
      <c r="CM97" s="126"/>
      <c r="CN97" s="126"/>
      <c r="CO97" s="126"/>
      <c r="CP97" s="126"/>
      <c r="CQ97" s="126"/>
      <c r="CR97" s="126"/>
      <c r="CS97" s="126"/>
      <c r="CT97" s="126"/>
    </row>
    <row r="98" spans="53:146">
      <c r="BV98" s="126"/>
      <c r="BW98" s="126"/>
      <c r="BX98" s="126"/>
      <c r="CM98" s="126"/>
      <c r="CN98" s="126"/>
      <c r="CO98" s="126"/>
      <c r="CP98" s="126"/>
      <c r="CQ98" s="126"/>
      <c r="CR98" s="126"/>
      <c r="CS98" s="126"/>
      <c r="CT98" s="126"/>
    </row>
    <row r="99" spans="53:146">
      <c r="CM99" s="126"/>
      <c r="CN99" s="126"/>
      <c r="CO99" s="126"/>
      <c r="CP99" s="126"/>
      <c r="CQ99" s="126"/>
      <c r="CR99" s="126"/>
      <c r="CS99" s="126"/>
      <c r="CT99" s="126"/>
    </row>
    <row r="100" spans="53:146">
      <c r="BV100" s="126"/>
      <c r="BW100" s="126"/>
      <c r="BX100" s="126"/>
      <c r="CM100" s="126"/>
      <c r="CN100" s="126"/>
      <c r="CO100" s="126"/>
      <c r="CP100" s="126"/>
      <c r="CQ100" s="126"/>
      <c r="CR100" s="126"/>
      <c r="CS100" s="126"/>
      <c r="CT100" s="126"/>
    </row>
    <row r="101" spans="53:146">
      <c r="CM101" s="126"/>
      <c r="CN101" s="126"/>
      <c r="CO101" s="126"/>
      <c r="CP101" s="126"/>
      <c r="CQ101" s="126"/>
      <c r="CR101" s="126"/>
      <c r="CS101" s="126"/>
      <c r="CT101" s="126"/>
    </row>
    <row r="102" spans="53:146">
      <c r="BV102" s="126"/>
      <c r="BW102" s="126"/>
      <c r="BX102" s="126"/>
      <c r="CM102" s="126"/>
      <c r="CN102" s="126"/>
      <c r="CO102" s="126"/>
      <c r="CP102" s="126"/>
      <c r="CQ102" s="126"/>
      <c r="CR102" s="126"/>
      <c r="CS102" s="126"/>
      <c r="CT102" s="126"/>
    </row>
    <row r="103" spans="53:146">
      <c r="CM103" s="126"/>
      <c r="CN103" s="126"/>
      <c r="CO103" s="126"/>
      <c r="CP103" s="126"/>
      <c r="CQ103" s="126"/>
      <c r="CR103" s="126"/>
      <c r="CS103" s="126"/>
      <c r="CT103" s="126"/>
    </row>
    <row r="104" spans="53:146">
      <c r="BV104" s="126"/>
      <c r="BW104" s="126"/>
      <c r="BX104" s="126"/>
      <c r="CM104" s="126"/>
      <c r="CN104" s="126"/>
      <c r="CO104" s="126"/>
      <c r="CP104" s="126"/>
      <c r="CQ104" s="126"/>
      <c r="CR104" s="126"/>
      <c r="CS104" s="126"/>
      <c r="CT104" s="126"/>
    </row>
    <row r="105" spans="53:146" ht="19">
      <c r="CM105" s="126"/>
      <c r="CN105" s="126"/>
      <c r="CO105" s="126"/>
      <c r="CP105" s="126"/>
      <c r="CQ105" s="126"/>
      <c r="CR105" s="126"/>
      <c r="CS105" s="126"/>
      <c r="CT105" s="126"/>
      <c r="EP105" s="435" t="s">
        <v>866</v>
      </c>
    </row>
    <row r="106" spans="53:146">
      <c r="BV106" s="126"/>
      <c r="BW106" s="126"/>
      <c r="BX106" s="126"/>
      <c r="CM106" s="126"/>
      <c r="CN106" s="126"/>
      <c r="CO106" s="126"/>
      <c r="CP106" s="126"/>
      <c r="CQ106" s="126"/>
      <c r="CR106" s="126"/>
      <c r="CS106" s="126"/>
      <c r="CT106" s="126"/>
    </row>
    <row r="107" spans="53:146">
      <c r="CT107" s="126"/>
    </row>
    <row r="108" spans="53:146">
      <c r="BD108" s="126"/>
      <c r="BE108" s="126"/>
      <c r="BF108" s="126"/>
      <c r="BG108" s="126"/>
      <c r="BH108" s="126"/>
      <c r="BI108" s="126"/>
      <c r="BJ108" s="126"/>
      <c r="BK108" s="126"/>
      <c r="BL108" s="126"/>
      <c r="BM108" s="126"/>
      <c r="CM108" s="126"/>
      <c r="CN108" s="126"/>
      <c r="CO108" s="126"/>
      <c r="CP108" s="126"/>
      <c r="CQ108" s="126"/>
      <c r="CR108" s="126"/>
      <c r="CS108" s="126"/>
      <c r="CT108" s="126"/>
    </row>
    <row r="109" spans="53:146" ht="19">
      <c r="CT109" s="126"/>
      <c r="EB109" s="435" t="s">
        <v>862</v>
      </c>
    </row>
    <row r="110" spans="53:146">
      <c r="BA110" s="126"/>
      <c r="BB110" s="126"/>
      <c r="BC110" s="126"/>
      <c r="BD110" s="126"/>
      <c r="BE110" s="126"/>
      <c r="BF110" s="126"/>
      <c r="BG110" s="126"/>
      <c r="BH110" s="126"/>
      <c r="BI110" s="126"/>
      <c r="BJ110" s="126"/>
      <c r="CM110" s="126"/>
      <c r="CN110" s="126"/>
      <c r="CO110" s="126"/>
      <c r="CP110" s="126"/>
      <c r="CQ110" s="126"/>
      <c r="CR110" s="126"/>
      <c r="CS110" s="126"/>
      <c r="CT110" s="126"/>
    </row>
    <row r="111" spans="53:146">
      <c r="CT111" s="126"/>
    </row>
    <row r="112" spans="53:146">
      <c r="BA112" s="126"/>
      <c r="BB112" s="126"/>
      <c r="BC112" s="126"/>
      <c r="BD112" s="126"/>
      <c r="BE112" s="126"/>
      <c r="BF112" s="126"/>
      <c r="BG112" s="126"/>
      <c r="BH112" s="126"/>
      <c r="BI112" s="126"/>
      <c r="BJ112" s="126"/>
      <c r="CT112" s="126"/>
    </row>
    <row r="113" spans="1:147" ht="19">
      <c r="A113" s="435" t="s">
        <v>473</v>
      </c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AM113" s="435" t="s">
        <v>510</v>
      </c>
      <c r="AZ113" s="435" t="s">
        <v>473</v>
      </c>
      <c r="BL113" s="435" t="s">
        <v>518</v>
      </c>
      <c r="BX113" s="126"/>
      <c r="CA113" s="435" t="s">
        <v>519</v>
      </c>
      <c r="CT113" s="126"/>
      <c r="EQ113" s="99" t="s">
        <v>88</v>
      </c>
    </row>
    <row r="114" spans="1:147"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AM114" s="126"/>
      <c r="BC114" s="126"/>
      <c r="BD114" s="126"/>
      <c r="BE114" s="126"/>
      <c r="BF114" s="126"/>
      <c r="BG114" s="126"/>
      <c r="BH114" s="126"/>
      <c r="BI114" s="126"/>
      <c r="BJ114" s="126"/>
      <c r="CT114" s="126"/>
      <c r="EQ114" s="99" t="s">
        <v>109</v>
      </c>
    </row>
    <row r="115" spans="1:147"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AM115" s="126"/>
      <c r="BW115" s="126"/>
      <c r="BX115" s="126"/>
      <c r="CT115" s="126"/>
      <c r="EQ115" s="99" t="s">
        <v>242</v>
      </c>
    </row>
    <row r="116" spans="1:147"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AM116" s="126"/>
      <c r="BC116" s="126"/>
      <c r="BD116" s="126"/>
      <c r="BE116" s="126"/>
      <c r="BF116" s="126"/>
      <c r="BG116" s="126"/>
      <c r="BH116" s="126"/>
      <c r="BI116" s="126"/>
      <c r="BJ116" s="126"/>
      <c r="CT116" s="126"/>
    </row>
    <row r="118" spans="1:147">
      <c r="CT118" s="126"/>
    </row>
    <row r="120" spans="1:147">
      <c r="CT120" s="126"/>
    </row>
    <row r="145" spans="1:193" ht="16" thickBo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61"/>
      <c r="N145" s="61"/>
      <c r="O145" s="61"/>
      <c r="P145" s="504"/>
      <c r="Q145" s="504"/>
      <c r="R145" s="504"/>
      <c r="S145" s="504"/>
      <c r="T145" s="504"/>
      <c r="U145" s="504"/>
      <c r="V145" s="504"/>
      <c r="W145" s="504"/>
      <c r="X145" s="504"/>
      <c r="Y145" s="504"/>
      <c r="Z145" s="504"/>
      <c r="AA145" s="504"/>
      <c r="AB145" s="504"/>
      <c r="AC145" s="504"/>
      <c r="AD145" s="504"/>
      <c r="AE145" s="504"/>
      <c r="AF145" s="504"/>
      <c r="AG145" s="504"/>
      <c r="AH145" s="504"/>
      <c r="AI145" s="504"/>
      <c r="AJ145" s="504"/>
      <c r="AK145" s="504"/>
      <c r="AL145" s="504"/>
      <c r="AM145" s="504"/>
      <c r="AN145" s="504"/>
      <c r="AO145" s="504"/>
      <c r="AP145" s="504"/>
      <c r="AQ145" s="504"/>
      <c r="AR145" s="504"/>
      <c r="AS145" s="504"/>
      <c r="AT145" s="504"/>
      <c r="AU145" s="504"/>
      <c r="AV145" s="504"/>
      <c r="AW145" s="504"/>
      <c r="AX145" s="504"/>
      <c r="AY145" s="504"/>
      <c r="AZ145" s="504"/>
      <c r="BA145" s="504"/>
      <c r="BB145" s="504"/>
      <c r="BC145" s="504"/>
      <c r="BD145" s="504"/>
      <c r="BE145" s="504"/>
      <c r="BF145" s="504"/>
      <c r="BG145" s="504"/>
      <c r="BH145" s="504"/>
      <c r="BI145" s="504"/>
      <c r="BJ145" s="504"/>
      <c r="BK145" s="504"/>
      <c r="BL145" s="504"/>
      <c r="BM145" s="504"/>
      <c r="BN145" s="504"/>
      <c r="BO145" s="504"/>
      <c r="BP145" s="504"/>
      <c r="BQ145" s="504"/>
      <c r="BR145" s="504"/>
      <c r="BS145" s="504"/>
      <c r="BT145" s="504"/>
      <c r="BU145" s="504"/>
      <c r="BV145" s="504"/>
      <c r="BW145" s="504"/>
      <c r="BX145" s="504"/>
      <c r="BY145" s="504"/>
      <c r="BZ145" s="504"/>
      <c r="CA145" s="504"/>
      <c r="CB145" s="504"/>
      <c r="CC145" s="504"/>
      <c r="CD145" s="504"/>
      <c r="CE145" s="504"/>
      <c r="CF145" s="504"/>
      <c r="CG145" s="504"/>
      <c r="CH145" s="504"/>
      <c r="CI145" s="504"/>
      <c r="CJ145" s="504"/>
      <c r="CK145" s="504"/>
      <c r="CL145" s="504"/>
      <c r="CM145" s="504"/>
      <c r="CN145" s="504"/>
      <c r="CO145" s="504"/>
      <c r="CP145" s="504"/>
      <c r="CQ145" s="504"/>
      <c r="CR145" s="504"/>
      <c r="CS145" s="504"/>
      <c r="CT145" s="504"/>
      <c r="CU145" s="504"/>
      <c r="CV145" s="504"/>
      <c r="CW145" s="504"/>
      <c r="CX145" s="504"/>
      <c r="CY145" s="504"/>
      <c r="CZ145" s="504"/>
      <c r="DA145" s="504"/>
      <c r="DB145" s="504"/>
      <c r="DC145" s="504"/>
      <c r="DD145" s="504"/>
      <c r="DE145" s="504"/>
      <c r="DF145" s="504"/>
      <c r="DG145" s="504"/>
      <c r="DH145" s="504"/>
      <c r="DI145" s="504"/>
      <c r="DJ145" s="504"/>
      <c r="DK145" s="504"/>
      <c r="DL145" s="504"/>
      <c r="DM145" s="504"/>
      <c r="DN145" s="504"/>
      <c r="DO145" s="504"/>
      <c r="DP145" s="504"/>
      <c r="DQ145" s="504"/>
      <c r="DR145" s="504"/>
      <c r="DS145" s="504"/>
      <c r="DT145" s="504"/>
      <c r="DU145" s="504"/>
      <c r="DV145" s="504"/>
      <c r="DW145" s="504"/>
      <c r="DX145" s="504"/>
      <c r="DY145" s="504"/>
      <c r="DZ145" s="504"/>
      <c r="EA145" s="504"/>
      <c r="EB145" s="504"/>
      <c r="EC145" s="504"/>
      <c r="ED145" s="504"/>
      <c r="EE145" s="504"/>
      <c r="EF145" s="504"/>
      <c r="EG145" s="504"/>
      <c r="EH145" s="504"/>
      <c r="EI145" s="504"/>
      <c r="EJ145" s="504"/>
      <c r="EK145" s="504"/>
      <c r="EL145" s="504"/>
      <c r="EM145" s="504"/>
      <c r="EN145" s="504"/>
      <c r="EO145" s="504"/>
      <c r="EP145" s="504"/>
      <c r="EQ145" s="504"/>
      <c r="ER145" s="504"/>
      <c r="ES145" s="504"/>
      <c r="ET145" s="504"/>
      <c r="EU145" s="504"/>
      <c r="EV145" s="504"/>
      <c r="EW145" s="504"/>
      <c r="EX145" s="504"/>
      <c r="EY145" s="504"/>
      <c r="EZ145" s="504"/>
      <c r="FA145" s="504"/>
      <c r="FB145" s="504"/>
      <c r="FC145" s="504"/>
      <c r="FD145" s="504"/>
      <c r="FE145" s="504"/>
      <c r="FF145" s="504"/>
      <c r="FG145" s="504"/>
      <c r="FH145" s="504"/>
      <c r="FI145" s="504"/>
      <c r="FJ145" s="504"/>
      <c r="FK145" s="504"/>
      <c r="FL145" s="504"/>
      <c r="FM145" s="504"/>
      <c r="FN145" s="504"/>
      <c r="FO145" s="504"/>
      <c r="FP145" s="504"/>
      <c r="FQ145" s="504"/>
      <c r="FR145" s="504"/>
      <c r="FS145" s="504"/>
      <c r="FT145" s="504"/>
      <c r="FU145" s="504"/>
      <c r="FV145" s="504"/>
      <c r="FW145" s="504"/>
      <c r="FX145" s="504"/>
      <c r="FY145" s="504"/>
      <c r="FZ145" s="504"/>
      <c r="GA145" s="504"/>
      <c r="GB145" s="504"/>
      <c r="GC145" s="504"/>
      <c r="GD145" s="504"/>
      <c r="GE145" s="504"/>
      <c r="GF145" s="504"/>
      <c r="GG145" s="504"/>
      <c r="GH145" s="504"/>
      <c r="GI145" s="504"/>
      <c r="GJ145" s="504"/>
      <c r="GK145" s="504"/>
    </row>
    <row r="146" spans="1:193">
      <c r="A146" s="9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</row>
    <row r="147" spans="1:193" ht="16" thickBo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</row>
    <row r="148" spans="1:193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  <c r="FW148" s="11"/>
      <c r="FX148" s="11"/>
      <c r="FY148" s="11"/>
      <c r="FZ148" s="11"/>
      <c r="GA148" s="11"/>
      <c r="GB148" s="11"/>
      <c r="GC148" s="11"/>
      <c r="GD148" s="11"/>
      <c r="GE148" s="11"/>
      <c r="GF148" s="11"/>
      <c r="GG148" s="11"/>
      <c r="GH148" s="11"/>
      <c r="GI148" s="11"/>
      <c r="GJ148" s="11"/>
      <c r="GK148" s="11"/>
    </row>
    <row r="149" spans="1:193" ht="19">
      <c r="A149" s="435" t="s">
        <v>468</v>
      </c>
      <c r="AS149" s="688"/>
    </row>
    <row r="150" spans="1:193" ht="16" thickBot="1"/>
    <row r="151" spans="1:193" ht="23" customHeight="1">
      <c r="A151" s="666" t="s">
        <v>150</v>
      </c>
      <c r="B151" s="667">
        <v>42217</v>
      </c>
      <c r="C151" s="667">
        <v>42248</v>
      </c>
      <c r="D151" s="667">
        <v>42278</v>
      </c>
      <c r="E151" s="667">
        <v>42309</v>
      </c>
      <c r="F151" s="668">
        <v>42339</v>
      </c>
      <c r="G151" s="667">
        <v>42370</v>
      </c>
      <c r="H151" s="667">
        <v>42401</v>
      </c>
      <c r="I151" s="667">
        <v>42430</v>
      </c>
      <c r="J151" s="667">
        <v>42461</v>
      </c>
      <c r="K151" s="667">
        <v>42491</v>
      </c>
      <c r="L151" s="667">
        <v>42522</v>
      </c>
      <c r="M151" s="667">
        <v>42552</v>
      </c>
      <c r="N151" s="667">
        <v>42583</v>
      </c>
      <c r="O151" s="667">
        <v>42614</v>
      </c>
      <c r="P151" s="667">
        <v>42644</v>
      </c>
      <c r="Q151" s="667">
        <v>42675</v>
      </c>
      <c r="R151" s="668">
        <v>42705</v>
      </c>
      <c r="S151" s="667">
        <v>42736</v>
      </c>
      <c r="T151" s="667">
        <v>42767</v>
      </c>
      <c r="U151" s="667">
        <v>42795</v>
      </c>
      <c r="V151" s="667">
        <v>42826</v>
      </c>
      <c r="W151" s="667">
        <v>42856</v>
      </c>
      <c r="X151" s="667">
        <v>42887</v>
      </c>
      <c r="Y151" s="667">
        <v>42917</v>
      </c>
      <c r="Z151" s="667">
        <v>42948</v>
      </c>
      <c r="AA151" s="667">
        <v>42979</v>
      </c>
      <c r="AB151" s="667">
        <v>43009</v>
      </c>
      <c r="AC151" s="667">
        <v>43040</v>
      </c>
      <c r="AD151" s="668">
        <v>43070</v>
      </c>
      <c r="AE151" s="667">
        <v>43101</v>
      </c>
      <c r="AF151" s="667">
        <v>43132</v>
      </c>
      <c r="AG151" s="667">
        <v>43160</v>
      </c>
      <c r="AH151" s="667">
        <v>43191</v>
      </c>
      <c r="AI151" s="667">
        <v>43221</v>
      </c>
      <c r="AJ151" s="667">
        <v>43252</v>
      </c>
      <c r="AK151" s="667">
        <v>43282</v>
      </c>
      <c r="AL151" s="667">
        <v>43313</v>
      </c>
      <c r="AM151" s="667">
        <v>43344</v>
      </c>
      <c r="AN151" s="667">
        <v>43374</v>
      </c>
      <c r="AO151" s="667">
        <v>43405</v>
      </c>
      <c r="AP151" s="668">
        <v>43435</v>
      </c>
      <c r="AQ151" s="667">
        <v>43466</v>
      </c>
      <c r="AR151" s="667">
        <v>43497</v>
      </c>
      <c r="AS151" s="667">
        <v>43525</v>
      </c>
      <c r="AT151" s="667">
        <v>43556</v>
      </c>
      <c r="AU151" s="667">
        <v>43586</v>
      </c>
      <c r="AV151" s="667">
        <v>43617</v>
      </c>
      <c r="AW151" s="667">
        <v>43647</v>
      </c>
      <c r="AX151" s="667">
        <v>43678</v>
      </c>
      <c r="AY151" s="667">
        <v>43709</v>
      </c>
      <c r="AZ151" s="667">
        <v>43739</v>
      </c>
      <c r="BA151" s="667">
        <v>43770</v>
      </c>
      <c r="BB151" s="668">
        <v>43800</v>
      </c>
      <c r="BC151" s="667">
        <v>43831</v>
      </c>
      <c r="BD151" s="667">
        <v>43862</v>
      </c>
      <c r="BE151" s="667">
        <v>43891</v>
      </c>
      <c r="BF151" s="667">
        <v>43922</v>
      </c>
      <c r="BG151" s="667">
        <v>43952</v>
      </c>
      <c r="BH151" s="667">
        <v>43983</v>
      </c>
      <c r="BI151" s="667">
        <v>44013</v>
      </c>
      <c r="BJ151" s="667">
        <v>44044</v>
      </c>
      <c r="BK151" s="667">
        <v>44075</v>
      </c>
      <c r="BL151" s="667">
        <v>44105</v>
      </c>
      <c r="BM151" s="667">
        <v>44136</v>
      </c>
      <c r="BN151" s="668">
        <v>44166</v>
      </c>
      <c r="BO151" s="667">
        <v>44197</v>
      </c>
      <c r="BP151" s="667">
        <v>44228</v>
      </c>
      <c r="BQ151" s="667">
        <v>44256</v>
      </c>
      <c r="BR151" s="667">
        <v>44287</v>
      </c>
      <c r="BS151" s="667">
        <v>44317</v>
      </c>
      <c r="BT151" s="667">
        <v>44348</v>
      </c>
      <c r="BU151" s="667">
        <v>44378</v>
      </c>
      <c r="BV151" s="667">
        <v>44409</v>
      </c>
      <c r="BW151" s="667">
        <v>44440</v>
      </c>
      <c r="BX151" s="667">
        <v>44470</v>
      </c>
      <c r="BY151" s="667">
        <v>44501</v>
      </c>
      <c r="BZ151" s="668">
        <v>44531</v>
      </c>
    </row>
    <row r="152" spans="1:193">
      <c r="A152" s="669"/>
      <c r="B152" s="670"/>
      <c r="C152" s="670"/>
      <c r="D152" s="670"/>
      <c r="E152" s="670"/>
      <c r="F152" s="671"/>
      <c r="G152" s="670"/>
      <c r="H152" s="670"/>
      <c r="I152" s="670"/>
      <c r="J152" s="670"/>
      <c r="K152" s="670"/>
      <c r="L152" s="670"/>
      <c r="M152" s="670"/>
      <c r="N152" s="670"/>
      <c r="O152" s="670"/>
      <c r="P152" s="670"/>
      <c r="Q152" s="670"/>
      <c r="R152" s="671"/>
      <c r="S152" s="670"/>
      <c r="T152" s="670"/>
      <c r="U152" s="670"/>
      <c r="V152" s="670"/>
      <c r="W152" s="670"/>
      <c r="X152" s="670"/>
      <c r="Y152" s="670"/>
      <c r="Z152" s="670"/>
      <c r="AA152" s="670"/>
      <c r="AB152" s="670"/>
      <c r="AC152" s="670"/>
      <c r="AD152" s="671"/>
      <c r="AE152" s="670"/>
      <c r="AF152" s="670"/>
      <c r="AG152" s="670"/>
      <c r="AH152" s="670"/>
      <c r="AI152" s="670"/>
      <c r="AJ152" s="670"/>
      <c r="AK152" s="670"/>
      <c r="AL152" s="670"/>
      <c r="AM152" s="670"/>
      <c r="AN152" s="670"/>
      <c r="AO152" s="670"/>
      <c r="AP152" s="671"/>
      <c r="AQ152" s="670"/>
      <c r="AR152" s="670"/>
      <c r="AS152" s="670"/>
      <c r="AT152" s="670"/>
      <c r="AU152" s="670"/>
      <c r="AV152" s="670"/>
      <c r="AW152" s="670"/>
      <c r="AX152" s="670"/>
      <c r="AY152" s="670"/>
      <c r="AZ152" s="670"/>
      <c r="BA152" s="670"/>
      <c r="BB152" s="671"/>
      <c r="BC152" s="670"/>
      <c r="BD152" s="670"/>
      <c r="BE152" s="670"/>
      <c r="BF152" s="670"/>
      <c r="BG152" s="670"/>
      <c r="BH152" s="670"/>
      <c r="BI152" s="670"/>
      <c r="BJ152" s="670"/>
      <c r="BK152" s="670"/>
      <c r="BL152" s="670"/>
      <c r="BM152" s="670"/>
      <c r="BN152" s="671"/>
      <c r="BO152" s="670"/>
      <c r="BP152" s="670"/>
      <c r="BQ152" s="670"/>
      <c r="BR152" s="670"/>
      <c r="BS152" s="670"/>
      <c r="BT152" s="670"/>
      <c r="BU152" s="670"/>
      <c r="BV152" s="670"/>
      <c r="BW152" s="670"/>
      <c r="BX152" s="670"/>
      <c r="BY152" s="670"/>
      <c r="BZ152" s="671"/>
    </row>
    <row r="153" spans="1:193">
      <c r="A153" s="669" t="s">
        <v>458</v>
      </c>
      <c r="B153" s="692">
        <v>5.4783805799999996</v>
      </c>
      <c r="C153" s="692">
        <v>5.4669999999999996</v>
      </c>
      <c r="D153" s="692">
        <v>5.4103693570999996</v>
      </c>
      <c r="E153" s="692">
        <v>5.7275672406568203</v>
      </c>
      <c r="F153" s="693">
        <v>5.9893176000000006</v>
      </c>
      <c r="G153" s="692">
        <v>5.8337643032999997</v>
      </c>
      <c r="H153" s="692">
        <v>5.1037626960000004</v>
      </c>
      <c r="I153" s="692">
        <v>5.4512921411999997</v>
      </c>
      <c r="J153" s="692">
        <v>5.4712719604000002</v>
      </c>
      <c r="K153" s="692">
        <v>5.4003456324999997</v>
      </c>
      <c r="L153" s="692">
        <v>5.6299835561</v>
      </c>
      <c r="M153" s="692">
        <v>5.3296055669999989</v>
      </c>
      <c r="N153" s="692">
        <v>5.1952400000000001</v>
      </c>
      <c r="O153" s="692">
        <v>5.3511889999999998</v>
      </c>
      <c r="P153" s="692">
        <v>6.1127209999999996</v>
      </c>
      <c r="Q153" s="692">
        <v>5.4563849105999997</v>
      </c>
      <c r="R153" s="693">
        <v>5.6280000000000001</v>
      </c>
      <c r="S153" s="692">
        <v>6.0977990000000002</v>
      </c>
      <c r="T153" s="692">
        <v>5.3114400000000002</v>
      </c>
      <c r="U153" s="692">
        <v>5.6654460000000002</v>
      </c>
      <c r="V153" s="692">
        <v>5.836646</v>
      </c>
      <c r="W153" s="692">
        <v>4.3930249999999997</v>
      </c>
      <c r="X153" s="692">
        <v>5.1047089999999997</v>
      </c>
      <c r="Y153" s="692">
        <v>5.1295529999999996</v>
      </c>
      <c r="Z153" s="692">
        <v>5.2069859999999997</v>
      </c>
      <c r="AA153" s="692">
        <v>5.1369319999999998</v>
      </c>
      <c r="AB153" s="692">
        <v>5.6044159999999996</v>
      </c>
      <c r="AC153" s="692">
        <v>5.2733980000000003</v>
      </c>
      <c r="AD153" s="693">
        <v>5.385785999999996</v>
      </c>
      <c r="AE153" s="692">
        <v>5.3144439999999999</v>
      </c>
      <c r="AF153" s="692">
        <v>4.5764060000000004</v>
      </c>
      <c r="AG153" s="692">
        <v>4.8769460000000002</v>
      </c>
      <c r="AH153" s="692">
        <v>4.8989050000000001</v>
      </c>
      <c r="AI153" s="692">
        <v>4.647049</v>
      </c>
      <c r="AJ153" s="694">
        <f>ROUND(AJ165*SUM(AE153:AI153)/SUM(AE165:AI165),3)</f>
        <v>4.399</v>
      </c>
      <c r="AK153" s="692">
        <v>3.4332099999999999</v>
      </c>
      <c r="AL153" s="695"/>
      <c r="AM153" s="695"/>
      <c r="AN153" s="695"/>
      <c r="AO153" s="695"/>
      <c r="AP153" s="696"/>
      <c r="AQ153" s="695"/>
      <c r="AR153" s="695"/>
      <c r="AS153" s="695"/>
      <c r="AT153" s="695"/>
      <c r="AU153" s="695"/>
      <c r="AV153" s="695"/>
      <c r="AW153" s="695"/>
      <c r="AX153" s="695"/>
      <c r="AY153" s="695"/>
      <c r="AZ153" s="695"/>
      <c r="BA153" s="695"/>
      <c r="BB153" s="696"/>
      <c r="BC153" s="695"/>
      <c r="BD153" s="695"/>
      <c r="BE153" s="695"/>
      <c r="BF153" s="695"/>
      <c r="BG153" s="695"/>
      <c r="BH153" s="695"/>
      <c r="BI153" s="695"/>
      <c r="BJ153" s="695"/>
      <c r="BK153" s="695"/>
      <c r="BL153" s="695"/>
      <c r="BM153" s="695"/>
      <c r="BN153" s="696"/>
      <c r="BO153" s="692"/>
      <c r="BP153" s="692"/>
      <c r="BQ153" s="692"/>
      <c r="BR153" s="692"/>
      <c r="BS153" s="692"/>
      <c r="BT153" s="692"/>
      <c r="BU153" s="692"/>
      <c r="BV153" s="692"/>
      <c r="BW153" s="692"/>
      <c r="BX153" s="692"/>
      <c r="BY153" s="692"/>
      <c r="BZ153" s="693"/>
    </row>
    <row r="154" spans="1:193">
      <c r="A154" s="669" t="s">
        <v>459</v>
      </c>
      <c r="B154" s="692">
        <v>3.5172615926000002</v>
      </c>
      <c r="C154" s="692">
        <v>2.3620000000000001</v>
      </c>
      <c r="D154" s="692">
        <v>2.7791295675000001</v>
      </c>
      <c r="E154" s="692">
        <v>2.3068509822635201</v>
      </c>
      <c r="F154" s="693">
        <v>3.35</v>
      </c>
      <c r="G154" s="692">
        <v>3.4951424001999998</v>
      </c>
      <c r="H154" s="692">
        <v>2.6016314897999999</v>
      </c>
      <c r="I154" s="692">
        <v>2.6344190593669419</v>
      </c>
      <c r="J154" s="692">
        <v>2.9122955004</v>
      </c>
      <c r="K154" s="692">
        <v>2.5208160639999999</v>
      </c>
      <c r="L154" s="692">
        <v>2.8544035409999999</v>
      </c>
      <c r="M154" s="692">
        <v>2.949217344</v>
      </c>
      <c r="N154" s="692">
        <v>3.2682229999999999</v>
      </c>
      <c r="O154" s="692">
        <v>2.3320059999999998</v>
      </c>
      <c r="P154" s="692">
        <v>2.5912630000000001</v>
      </c>
      <c r="Q154" s="692">
        <v>2.1097960328000003</v>
      </c>
      <c r="R154" s="693">
        <v>2.9390000000000001</v>
      </c>
      <c r="S154" s="692">
        <v>2.9343819999999998</v>
      </c>
      <c r="T154" s="692">
        <v>2.143554</v>
      </c>
      <c r="U154" s="692">
        <v>2.2687039780976077</v>
      </c>
      <c r="V154" s="692">
        <v>2.8903289999999999</v>
      </c>
      <c r="W154" s="692">
        <v>2.4003199999999998</v>
      </c>
      <c r="X154" s="692">
        <v>2.51911</v>
      </c>
      <c r="Y154" s="692">
        <v>2.8114560000000002</v>
      </c>
      <c r="Z154" s="692">
        <v>3.2675900000000002</v>
      </c>
      <c r="AA154" s="692">
        <v>2.566592</v>
      </c>
      <c r="AB154" s="692">
        <v>2.5310549999999998</v>
      </c>
      <c r="AC154" s="692">
        <v>2.3718919999999999</v>
      </c>
      <c r="AD154" s="693">
        <v>3.6187050219023931</v>
      </c>
      <c r="AE154" s="692">
        <v>3.2110669999999999</v>
      </c>
      <c r="AF154" s="692">
        <v>2.2365970000000002</v>
      </c>
      <c r="AG154" s="692">
        <v>2.7559429999999998</v>
      </c>
      <c r="AH154" s="692">
        <v>2.7213729999999998</v>
      </c>
      <c r="AI154" s="692">
        <v>2.3612120000000001</v>
      </c>
      <c r="AJ154" s="692">
        <f>16.536583-SUM(AE154:AI154)</f>
        <v>3.2503910000000005</v>
      </c>
      <c r="AK154" s="692">
        <v>2.791677</v>
      </c>
      <c r="AL154" s="692">
        <v>3.5019979999999999</v>
      </c>
      <c r="AM154" s="692">
        <v>2.921332</v>
      </c>
      <c r="AN154" s="692">
        <v>2.778076</v>
      </c>
      <c r="AO154" s="692">
        <v>2.7606549999999999</v>
      </c>
      <c r="AP154" s="693">
        <v>3.473039</v>
      </c>
      <c r="AQ154" s="692">
        <v>3.105416</v>
      </c>
      <c r="AR154" s="692">
        <f>AF154*1.1582</f>
        <v>2.5904266454</v>
      </c>
      <c r="AS154" s="692">
        <v>3.0865260000000001</v>
      </c>
      <c r="AT154" s="692">
        <v>3.2798449999999999</v>
      </c>
      <c r="AU154" s="692">
        <v>2.657778</v>
      </c>
      <c r="AV154" s="692">
        <v>3.0747170000000001</v>
      </c>
      <c r="AW154" s="692">
        <v>3.0133179999999999</v>
      </c>
      <c r="AX154" s="692">
        <v>3.7739120000000002</v>
      </c>
      <c r="AY154" s="692">
        <v>2.8997130000000002</v>
      </c>
      <c r="AZ154" s="692">
        <v>2.9693770000000002</v>
      </c>
      <c r="BA154" s="692">
        <v>2.9510550000000002</v>
      </c>
      <c r="BB154" s="693">
        <v>3.4975489999999998</v>
      </c>
      <c r="BC154" s="692">
        <v>3.6446399999999999</v>
      </c>
      <c r="BD154" s="694">
        <f>AR154/AR166*BD166</f>
        <v>2.0119642635461994</v>
      </c>
      <c r="BE154" s="694">
        <f>AS154/AS166*BE166</f>
        <v>0.77890776711791931</v>
      </c>
      <c r="BF154" s="695"/>
      <c r="BG154" s="695"/>
      <c r="BH154" s="692">
        <v>1.427332</v>
      </c>
      <c r="BI154" s="692">
        <v>2.4078189999999999</v>
      </c>
      <c r="BJ154" s="692">
        <v>2.8368959999999999</v>
      </c>
      <c r="BK154" s="692"/>
      <c r="BL154" s="692"/>
      <c r="BM154" s="692"/>
      <c r="BN154" s="693"/>
      <c r="BO154" s="692"/>
      <c r="BP154" s="692"/>
      <c r="BQ154" s="692"/>
      <c r="BR154" s="692"/>
      <c r="BS154" s="692"/>
      <c r="BT154" s="692"/>
      <c r="BU154" s="692"/>
      <c r="BV154" s="692"/>
      <c r="BW154" s="692"/>
      <c r="BX154" s="692"/>
      <c r="BY154" s="692"/>
      <c r="BZ154" s="693"/>
    </row>
    <row r="155" spans="1:193">
      <c r="A155" s="669" t="s">
        <v>460</v>
      </c>
      <c r="B155" s="692">
        <v>4.2504005871000006</v>
      </c>
      <c r="C155" s="692">
        <v>2.867</v>
      </c>
      <c r="D155" s="692">
        <v>2.3667412928</v>
      </c>
      <c r="E155" s="692">
        <v>2.4800898857963998</v>
      </c>
      <c r="F155" s="693">
        <v>2.8740000000000001</v>
      </c>
      <c r="G155" s="692">
        <v>3.058738956</v>
      </c>
      <c r="H155" s="692">
        <v>2.8456552579999999</v>
      </c>
      <c r="I155" s="692">
        <v>2.7821222683999998</v>
      </c>
      <c r="J155" s="692">
        <v>2.5494434910000003</v>
      </c>
      <c r="K155" s="692">
        <v>2.3371479463</v>
      </c>
      <c r="L155" s="692">
        <v>2.7137497289999999</v>
      </c>
      <c r="M155" s="692">
        <v>3.0364583168000001</v>
      </c>
      <c r="N155" s="692">
        <v>4.0638690000000004</v>
      </c>
      <c r="O155" s="692">
        <v>2.8380559999999999</v>
      </c>
      <c r="P155" s="692">
        <v>2.7475520000000002</v>
      </c>
      <c r="Q155" s="692">
        <v>2.301921186</v>
      </c>
      <c r="R155" s="693">
        <v>3.12</v>
      </c>
      <c r="S155" s="692">
        <v>3.1122700000000001</v>
      </c>
      <c r="T155" s="692">
        <v>2.89222</v>
      </c>
      <c r="U155" s="692">
        <v>2.5974439999999999</v>
      </c>
      <c r="V155" s="692">
        <v>3.2116950000000002</v>
      </c>
      <c r="W155" s="692">
        <v>2.4136609999999998</v>
      </c>
      <c r="X155" s="692">
        <v>2.4864850000000001</v>
      </c>
      <c r="Y155" s="692">
        <v>2.8924159999999999</v>
      </c>
      <c r="Z155" s="692">
        <v>4.1634539999999998</v>
      </c>
      <c r="AA155" s="692">
        <v>2.919791</v>
      </c>
      <c r="AB155" s="692">
        <v>2.427657</v>
      </c>
      <c r="AC155" s="692">
        <v>2.2330610000000002</v>
      </c>
      <c r="AD155" s="693">
        <v>3.1658370000000033</v>
      </c>
      <c r="AE155" s="692">
        <v>2.83595</v>
      </c>
      <c r="AF155" s="692">
        <v>2.8430010000000001</v>
      </c>
      <c r="AG155" s="692">
        <v>2.6238519999999999</v>
      </c>
      <c r="AH155" s="692">
        <v>2.98</v>
      </c>
      <c r="AI155" s="692">
        <v>2.7124440000000001</v>
      </c>
      <c r="AJ155" s="692">
        <f>16.652334-SUM(AE155:AI155)</f>
        <v>2.6570870000000006</v>
      </c>
      <c r="AK155" s="692">
        <v>2.7865820000000001</v>
      </c>
      <c r="AL155" s="692">
        <v>4.0599999999999996</v>
      </c>
      <c r="AM155" s="692">
        <v>2.8948119999999999</v>
      </c>
      <c r="AN155" s="692">
        <v>2.4697490000000002</v>
      </c>
      <c r="AO155" s="692">
        <v>2.3287879999999999</v>
      </c>
      <c r="AP155" s="693">
        <v>3.3128000000000064</v>
      </c>
      <c r="AQ155" s="692">
        <v>3.0268250000000001</v>
      </c>
      <c r="AR155" s="692">
        <v>2.703449</v>
      </c>
      <c r="AS155" s="692">
        <v>2.860204</v>
      </c>
      <c r="AT155" s="692">
        <v>2.977849</v>
      </c>
      <c r="AU155" s="692">
        <v>2.961049</v>
      </c>
      <c r="AV155" s="692">
        <v>2.5149819999999998</v>
      </c>
      <c r="AW155" s="692">
        <v>2.9790860000000001</v>
      </c>
      <c r="AX155" s="692">
        <v>4.4777230000000001</v>
      </c>
      <c r="AY155" s="692">
        <v>3.0734140000000001</v>
      </c>
      <c r="AZ155" s="692">
        <v>2.6173289999999998</v>
      </c>
      <c r="BA155" s="692">
        <v>2.2013440000000002</v>
      </c>
      <c r="BB155" s="693">
        <v>3.1439089999999998</v>
      </c>
      <c r="BC155" s="692">
        <v>3.1449509999999998</v>
      </c>
      <c r="BD155" s="694">
        <f t="shared" ref="BD155:BE155" si="507">AR155/AR167*BD167</f>
        <v>2.4831268694567852</v>
      </c>
      <c r="BE155" s="694">
        <f t="shared" si="507"/>
        <v>0.92507410380272026</v>
      </c>
      <c r="BF155" s="695"/>
      <c r="BG155" s="695"/>
      <c r="BH155" s="692">
        <v>1.386174</v>
      </c>
      <c r="BI155" s="692">
        <v>2.4</v>
      </c>
      <c r="BJ155" s="692">
        <v>3.8612980000000001</v>
      </c>
      <c r="BK155" s="692"/>
      <c r="BL155" s="692"/>
      <c r="BM155" s="692"/>
      <c r="BN155" s="693"/>
      <c r="BO155" s="692"/>
      <c r="BP155" s="692"/>
      <c r="BQ155" s="692"/>
      <c r="BR155" s="692"/>
      <c r="BS155" s="692"/>
      <c r="BT155" s="692"/>
      <c r="BU155" s="692"/>
      <c r="BV155" s="692"/>
      <c r="BW155" s="692"/>
      <c r="BX155" s="692"/>
      <c r="BY155" s="692"/>
      <c r="BZ155" s="693"/>
    </row>
    <row r="156" spans="1:193">
      <c r="A156" s="669" t="s">
        <v>461</v>
      </c>
      <c r="B156" s="692">
        <v>4.777040261999999</v>
      </c>
      <c r="C156" s="692">
        <v>3.8969999999999998</v>
      </c>
      <c r="D156" s="692">
        <v>4.0777866725000003</v>
      </c>
      <c r="E156" s="692">
        <v>3.4367954668903797</v>
      </c>
      <c r="F156" s="693">
        <v>3.9759999999999995</v>
      </c>
      <c r="G156" s="692">
        <v>4.8538139288000002</v>
      </c>
      <c r="H156" s="692">
        <v>3.9771926400000006</v>
      </c>
      <c r="I156" s="692">
        <v>4.566255651324</v>
      </c>
      <c r="J156" s="692">
        <v>4.1579321662000002</v>
      </c>
      <c r="K156" s="692">
        <v>3.8892833616000004</v>
      </c>
      <c r="L156" s="692">
        <v>3.6340499706</v>
      </c>
      <c r="M156" s="692">
        <v>4.1868447999999994</v>
      </c>
      <c r="N156" s="692">
        <v>4.1684469999999996</v>
      </c>
      <c r="O156" s="692">
        <v>4.1483809999999997</v>
      </c>
      <c r="P156" s="692">
        <v>4.6736810000000002</v>
      </c>
      <c r="Q156" s="692">
        <v>3.9138998597999999</v>
      </c>
      <c r="R156" s="693">
        <v>4.1559999999999997</v>
      </c>
      <c r="S156" s="692">
        <v>4.2704680000000002</v>
      </c>
      <c r="T156" s="692">
        <v>3.6622400000000002</v>
      </c>
      <c r="U156" s="692">
        <v>4.01287956</v>
      </c>
      <c r="V156" s="692">
        <v>4.5857859999999997</v>
      </c>
      <c r="W156" s="692">
        <v>4.2861840000000004</v>
      </c>
      <c r="X156" s="692">
        <v>4.2364769999999998</v>
      </c>
      <c r="Y156" s="692">
        <v>4.2897999999999996</v>
      </c>
      <c r="Z156" s="692">
        <v>4.9171950000000004</v>
      </c>
      <c r="AA156" s="692">
        <v>4.1849049999999997</v>
      </c>
      <c r="AB156" s="692">
        <v>4.239554</v>
      </c>
      <c r="AC156" s="692">
        <v>3.9319869999999999</v>
      </c>
      <c r="AD156" s="693">
        <v>4.7342914400000069</v>
      </c>
      <c r="AE156" s="692">
        <v>5.2365060000000003</v>
      </c>
      <c r="AF156" s="692">
        <v>4.1092769999999996</v>
      </c>
      <c r="AG156" s="692">
        <v>4.7152729999999998</v>
      </c>
      <c r="AH156" s="692">
        <v>4.6644589999999999</v>
      </c>
      <c r="AI156" s="692">
        <v>4.456842</v>
      </c>
      <c r="AJ156" s="692">
        <f>26.628563-SUM(AE156:AI156)</f>
        <v>3.4462059999999965</v>
      </c>
      <c r="AK156" s="692">
        <v>4.7859999999999996</v>
      </c>
      <c r="AL156" s="692">
        <v>4.8507660000000001</v>
      </c>
      <c r="AM156" s="692">
        <v>4.6277629999999998</v>
      </c>
      <c r="AN156" s="692">
        <v>3.9755509999999998</v>
      </c>
      <c r="AO156" s="692">
        <v>4.3896940000000004</v>
      </c>
      <c r="AP156" s="693">
        <v>4.8085039999999921</v>
      </c>
      <c r="AQ156" s="692">
        <v>4.820487</v>
      </c>
      <c r="AR156" s="692">
        <v>3.7593740000000002</v>
      </c>
      <c r="AS156" s="692">
        <v>5.0903039999999997</v>
      </c>
      <c r="AT156" s="692">
        <v>4.0664959999999999</v>
      </c>
      <c r="AU156" s="692">
        <v>4.4043559999999999</v>
      </c>
      <c r="AV156" s="692">
        <v>3.5027279999999998</v>
      </c>
      <c r="AW156" s="692">
        <v>4.8140330000000002</v>
      </c>
      <c r="AX156" s="692">
        <v>5.1528879999999999</v>
      </c>
      <c r="AY156" s="692">
        <v>4.1907420000000002</v>
      </c>
      <c r="AZ156" s="692">
        <v>3.4363199999999998</v>
      </c>
      <c r="BA156" s="692">
        <v>4.1092779999999998</v>
      </c>
      <c r="BB156" s="693">
        <v>5.0994989999999998</v>
      </c>
      <c r="BC156" s="692">
        <v>4.9539340000000003</v>
      </c>
      <c r="BD156" s="694">
        <f t="shared" ref="BD156" si="508">AR156/AR168*BD168</f>
        <v>2.5163194491114362</v>
      </c>
      <c r="BE156" s="694">
        <f>AS156/AS168*BE168</f>
        <v>0.93209433598744407</v>
      </c>
      <c r="BF156" s="695"/>
      <c r="BG156" s="695"/>
      <c r="BH156" s="692">
        <v>1.635778</v>
      </c>
      <c r="BI156" s="692">
        <v>3.7745860000000002</v>
      </c>
      <c r="BJ156" s="692">
        <v>4.1977820000000001</v>
      </c>
      <c r="BK156" s="692"/>
      <c r="BL156" s="692"/>
      <c r="BM156" s="692"/>
      <c r="BN156" s="693"/>
      <c r="BO156" s="692"/>
      <c r="BP156" s="692"/>
      <c r="BQ156" s="692"/>
      <c r="BR156" s="692"/>
      <c r="BS156" s="692"/>
      <c r="BT156" s="692"/>
      <c r="BU156" s="692"/>
      <c r="BV156" s="692"/>
      <c r="BW156" s="692"/>
      <c r="BX156" s="692"/>
      <c r="BY156" s="692"/>
      <c r="BZ156" s="693"/>
    </row>
    <row r="157" spans="1:193">
      <c r="A157" s="673" t="s">
        <v>462</v>
      </c>
      <c r="B157" s="697">
        <f t="shared" ref="B157:P157" si="509">SUM(B153:B156)</f>
        <v>18.0230830217</v>
      </c>
      <c r="C157" s="697">
        <f t="shared" si="509"/>
        <v>14.593</v>
      </c>
      <c r="D157" s="697">
        <f t="shared" si="509"/>
        <v>14.634026889899999</v>
      </c>
      <c r="E157" s="697">
        <f>SUM(E153:E156)</f>
        <v>13.95130357560712</v>
      </c>
      <c r="F157" s="698">
        <f>SUM(F153:F156)</f>
        <v>16.189317600000003</v>
      </c>
      <c r="G157" s="697">
        <f t="shared" si="509"/>
        <v>17.2414595883</v>
      </c>
      <c r="H157" s="697">
        <f t="shared" si="509"/>
        <v>14.5282420838</v>
      </c>
      <c r="I157" s="697">
        <f t="shared" si="509"/>
        <v>15.434089120290942</v>
      </c>
      <c r="J157" s="697">
        <f t="shared" si="509"/>
        <v>15.090943118</v>
      </c>
      <c r="K157" s="697">
        <f t="shared" si="509"/>
        <v>14.147593004400001</v>
      </c>
      <c r="L157" s="697">
        <f t="shared" si="509"/>
        <v>14.8321867967</v>
      </c>
      <c r="M157" s="697">
        <f t="shared" si="509"/>
        <v>15.502126027799999</v>
      </c>
      <c r="N157" s="697">
        <f t="shared" si="509"/>
        <v>16.695779000000002</v>
      </c>
      <c r="O157" s="697">
        <f t="shared" si="509"/>
        <v>14.669632</v>
      </c>
      <c r="P157" s="697">
        <f t="shared" si="509"/>
        <v>16.125216999999999</v>
      </c>
      <c r="Q157" s="697">
        <f>SUM(Q165:Q168)</f>
        <v>21.6407689545</v>
      </c>
      <c r="R157" s="698">
        <f t="shared" ref="R157:AB157" si="510">SUM(R153:R156)</f>
        <v>15.843</v>
      </c>
      <c r="S157" s="697">
        <f t="shared" si="510"/>
        <v>16.414919000000001</v>
      </c>
      <c r="T157" s="697">
        <f t="shared" si="510"/>
        <v>14.009454000000002</v>
      </c>
      <c r="U157" s="697">
        <f t="shared" si="510"/>
        <v>14.544473538097607</v>
      </c>
      <c r="V157" s="697">
        <f t="shared" si="510"/>
        <v>16.524456000000001</v>
      </c>
      <c r="W157" s="697">
        <f t="shared" si="510"/>
        <v>13.49319</v>
      </c>
      <c r="X157" s="697">
        <f t="shared" si="510"/>
        <v>14.346781</v>
      </c>
      <c r="Y157" s="697">
        <f t="shared" si="510"/>
        <v>15.123224999999998</v>
      </c>
      <c r="Z157" s="697">
        <f t="shared" si="510"/>
        <v>17.555225</v>
      </c>
      <c r="AA157" s="697">
        <f t="shared" si="510"/>
        <v>14.808219999999999</v>
      </c>
      <c r="AB157" s="697">
        <f t="shared" si="510"/>
        <v>14.802681999999999</v>
      </c>
      <c r="AC157" s="697">
        <f>SUM(AC165:AC168)</f>
        <v>22.057752999999998</v>
      </c>
      <c r="AD157" s="698">
        <f t="shared" ref="AD157:AU157" si="511">SUM(AD153:AD156)</f>
        <v>16.904619461902399</v>
      </c>
      <c r="AE157" s="697">
        <f t="shared" si="511"/>
        <v>16.597967000000001</v>
      </c>
      <c r="AF157" s="697">
        <f t="shared" si="511"/>
        <v>13.765280999999998</v>
      </c>
      <c r="AG157" s="697">
        <f t="shared" si="511"/>
        <v>14.972014</v>
      </c>
      <c r="AH157" s="697">
        <f t="shared" si="511"/>
        <v>15.264737</v>
      </c>
      <c r="AI157" s="697">
        <f t="shared" si="511"/>
        <v>14.177547000000001</v>
      </c>
      <c r="AJ157" s="697">
        <f t="shared" si="511"/>
        <v>13.752683999999999</v>
      </c>
      <c r="AK157" s="697">
        <f t="shared" si="511"/>
        <v>13.797469</v>
      </c>
      <c r="AL157" s="697">
        <f t="shared" si="511"/>
        <v>12.412763999999999</v>
      </c>
      <c r="AM157" s="697">
        <f t="shared" si="511"/>
        <v>10.443906999999999</v>
      </c>
      <c r="AN157" s="697">
        <f t="shared" si="511"/>
        <v>9.223376</v>
      </c>
      <c r="AO157" s="697">
        <f t="shared" si="511"/>
        <v>9.4791369999999997</v>
      </c>
      <c r="AP157" s="698">
        <f t="shared" si="511"/>
        <v>11.594342999999999</v>
      </c>
      <c r="AQ157" s="697">
        <f t="shared" si="511"/>
        <v>10.952728</v>
      </c>
      <c r="AR157" s="697">
        <f t="shared" si="511"/>
        <v>9.0532496454000011</v>
      </c>
      <c r="AS157" s="697">
        <f t="shared" si="511"/>
        <v>11.037034</v>
      </c>
      <c r="AT157" s="697">
        <f t="shared" si="511"/>
        <v>10.32419</v>
      </c>
      <c r="AU157" s="697">
        <f t="shared" si="511"/>
        <v>10.023183</v>
      </c>
      <c r="AV157" s="697">
        <f t="shared" ref="AV157:AZ157" si="512">SUM(AV153:AV156)</f>
        <v>9.0924269999999989</v>
      </c>
      <c r="AW157" s="697">
        <f t="shared" si="512"/>
        <v>10.806437000000001</v>
      </c>
      <c r="AX157" s="697">
        <f t="shared" si="512"/>
        <v>13.404523000000001</v>
      </c>
      <c r="AY157" s="697">
        <f t="shared" si="512"/>
        <v>10.163869</v>
      </c>
      <c r="AZ157" s="697">
        <f t="shared" si="512"/>
        <v>9.0230259999999998</v>
      </c>
      <c r="BA157" s="697">
        <f t="shared" ref="BA157" si="513">SUM(BA153:BA156)</f>
        <v>9.2616770000000006</v>
      </c>
      <c r="BB157" s="698">
        <f>SUM(BB153:BB156)</f>
        <v>11.740957</v>
      </c>
      <c r="BC157" s="697">
        <f>SUM(BC153:BC156)</f>
        <v>11.743525</v>
      </c>
      <c r="BD157" s="697">
        <f t="shared" ref="BD157:BN157" si="514">SUM(BD153:BD156)</f>
        <v>7.0114105821144213</v>
      </c>
      <c r="BE157" s="697">
        <f t="shared" si="514"/>
        <v>2.6360762069080836</v>
      </c>
      <c r="BF157" s="697">
        <f t="shared" si="514"/>
        <v>0</v>
      </c>
      <c r="BG157" s="697">
        <f t="shared" si="514"/>
        <v>0</v>
      </c>
      <c r="BH157" s="697">
        <f t="shared" si="514"/>
        <v>4.4492840000000005</v>
      </c>
      <c r="BI157" s="697">
        <f t="shared" si="514"/>
        <v>8.5824050000000014</v>
      </c>
      <c r="BJ157" s="697">
        <f t="shared" si="514"/>
        <v>10.895976000000001</v>
      </c>
      <c r="BK157" s="697">
        <f t="shared" si="514"/>
        <v>0</v>
      </c>
      <c r="BL157" s="697">
        <f t="shared" si="514"/>
        <v>0</v>
      </c>
      <c r="BM157" s="697">
        <f t="shared" si="514"/>
        <v>0</v>
      </c>
      <c r="BN157" s="698">
        <f t="shared" si="514"/>
        <v>0</v>
      </c>
      <c r="BO157" s="697">
        <f t="shared" ref="BO157:BY157" si="515">SUM(BO153:BO156)</f>
        <v>0</v>
      </c>
      <c r="BP157" s="697">
        <f t="shared" si="515"/>
        <v>0</v>
      </c>
      <c r="BQ157" s="697">
        <f t="shared" si="515"/>
        <v>0</v>
      </c>
      <c r="BR157" s="697">
        <f t="shared" si="515"/>
        <v>0</v>
      </c>
      <c r="BS157" s="697">
        <f t="shared" si="515"/>
        <v>0</v>
      </c>
      <c r="BT157" s="697">
        <f t="shared" si="515"/>
        <v>0</v>
      </c>
      <c r="BU157" s="697">
        <f t="shared" si="515"/>
        <v>0</v>
      </c>
      <c r="BV157" s="697">
        <f t="shared" si="515"/>
        <v>0</v>
      </c>
      <c r="BW157" s="697">
        <f t="shared" si="515"/>
        <v>0</v>
      </c>
      <c r="BX157" s="697">
        <f t="shared" si="515"/>
        <v>0</v>
      </c>
      <c r="BY157" s="697">
        <f t="shared" si="515"/>
        <v>0</v>
      </c>
      <c r="BZ157" s="698">
        <f>SUM(BZ153:BZ156)</f>
        <v>0</v>
      </c>
    </row>
    <row r="158" spans="1:193">
      <c r="A158" s="659" t="s">
        <v>471</v>
      </c>
      <c r="B158" s="692"/>
      <c r="C158" s="692"/>
      <c r="D158" s="692"/>
      <c r="E158" s="692"/>
      <c r="F158" s="699"/>
      <c r="G158" s="692"/>
      <c r="H158" s="692"/>
      <c r="I158" s="692"/>
      <c r="J158" s="692"/>
      <c r="K158" s="692"/>
      <c r="L158" s="692"/>
      <c r="M158" s="692"/>
      <c r="N158" s="692"/>
      <c r="O158" s="692"/>
      <c r="P158" s="692"/>
      <c r="Q158" s="692"/>
      <c r="R158" s="699"/>
      <c r="S158" s="692"/>
      <c r="T158" s="692"/>
      <c r="U158" s="692"/>
      <c r="V158" s="692"/>
      <c r="W158" s="692"/>
      <c r="X158" s="692"/>
      <c r="Y158" s="692"/>
      <c r="Z158" s="692"/>
      <c r="AA158" s="692"/>
      <c r="AB158" s="692"/>
      <c r="AC158" s="692"/>
      <c r="AD158" s="699"/>
      <c r="AE158" s="692"/>
      <c r="AF158" s="692"/>
      <c r="AG158" s="692"/>
      <c r="AH158" s="692"/>
      <c r="AI158" s="692"/>
      <c r="AJ158" s="692"/>
      <c r="AK158" s="692"/>
      <c r="AL158" s="692"/>
      <c r="AM158" s="692"/>
      <c r="AN158" s="692"/>
      <c r="AO158" s="692"/>
      <c r="AP158" s="699"/>
      <c r="AQ158" s="692"/>
      <c r="AR158" s="692"/>
      <c r="AS158" s="692"/>
      <c r="AT158" s="692"/>
      <c r="AU158" s="692"/>
      <c r="AV158" s="692"/>
      <c r="AW158" s="692"/>
      <c r="AX158" s="692"/>
      <c r="AY158" s="692"/>
      <c r="AZ158" s="692"/>
      <c r="BA158" s="692"/>
      <c r="BB158" s="693"/>
      <c r="BC158" s="692"/>
      <c r="BD158" s="692"/>
      <c r="BE158" s="692"/>
      <c r="BF158" s="692"/>
      <c r="BG158" s="692"/>
      <c r="BH158" s="692"/>
      <c r="BI158" s="692"/>
      <c r="BJ158" s="692"/>
      <c r="BK158" s="692"/>
      <c r="BL158" s="692"/>
      <c r="BM158" s="692"/>
      <c r="BN158" s="699"/>
      <c r="BO158" s="692"/>
      <c r="BP158" s="692"/>
      <c r="BQ158" s="692"/>
      <c r="BR158" s="692"/>
      <c r="BS158" s="692"/>
      <c r="BT158" s="692"/>
      <c r="BU158" s="692"/>
      <c r="BV158" s="692"/>
      <c r="BW158" s="692"/>
      <c r="BX158" s="692"/>
      <c r="BY158" s="692"/>
      <c r="BZ158" s="693"/>
    </row>
    <row r="159" spans="1:193">
      <c r="A159" s="669" t="s">
        <v>458</v>
      </c>
      <c r="B159" s="692">
        <f t="shared" ref="B159:AE162" si="516">B165-B153</f>
        <v>1.6560496950000001</v>
      </c>
      <c r="C159" s="692">
        <f t="shared" si="516"/>
        <v>2.351</v>
      </c>
      <c r="D159" s="692">
        <f t="shared" si="516"/>
        <v>2.2937406678999999</v>
      </c>
      <c r="E159" s="692">
        <f t="shared" si="516"/>
        <v>1.9822946313631791</v>
      </c>
      <c r="F159" s="693">
        <f t="shared" si="516"/>
        <v>2.9306823999999994</v>
      </c>
      <c r="G159" s="692">
        <f t="shared" si="516"/>
        <v>2.1663183243000015</v>
      </c>
      <c r="H159" s="692">
        <f t="shared" si="516"/>
        <v>0.94391547270000054</v>
      </c>
      <c r="I159" s="692">
        <f t="shared" si="516"/>
        <v>2.593889453800001</v>
      </c>
      <c r="J159" s="692">
        <f t="shared" si="516"/>
        <v>2.450459809199999</v>
      </c>
      <c r="K159" s="692">
        <f t="shared" si="516"/>
        <v>2.3810956763000002</v>
      </c>
      <c r="L159" s="692">
        <f t="shared" si="516"/>
        <v>2.5008847081000001</v>
      </c>
      <c r="M159" s="692">
        <f t="shared" si="516"/>
        <v>2.3570326480000006</v>
      </c>
      <c r="N159" s="692">
        <f t="shared" si="516"/>
        <v>1.5723849999999997</v>
      </c>
      <c r="O159" s="692">
        <f t="shared" si="516"/>
        <v>2.0463510000000005</v>
      </c>
      <c r="P159" s="692">
        <f t="shared" si="516"/>
        <v>2.8979340000000002</v>
      </c>
      <c r="Q159" s="692">
        <f t="shared" si="516"/>
        <v>1.9003535168999992</v>
      </c>
      <c r="R159" s="693">
        <f t="shared" si="516"/>
        <v>2.3719999999999999</v>
      </c>
      <c r="S159" s="692">
        <f t="shared" si="516"/>
        <v>2.0622199999999999</v>
      </c>
      <c r="T159" s="692">
        <f t="shared" si="516"/>
        <v>1.5476710000000002</v>
      </c>
      <c r="U159" s="692">
        <f t="shared" si="516"/>
        <v>3.0207790000000001</v>
      </c>
      <c r="V159" s="692">
        <f t="shared" si="516"/>
        <v>2.6122999999999994</v>
      </c>
      <c r="W159" s="692">
        <f t="shared" si="516"/>
        <v>2.5078630000000004</v>
      </c>
      <c r="X159" s="692">
        <f t="shared" si="516"/>
        <v>1.7934570000000001</v>
      </c>
      <c r="Y159" s="692">
        <f t="shared" si="516"/>
        <v>2.1563600000000003</v>
      </c>
      <c r="Z159" s="692">
        <f t="shared" si="516"/>
        <v>1.8903540000000003</v>
      </c>
      <c r="AA159" s="692">
        <f t="shared" si="516"/>
        <v>1.9870679999999998</v>
      </c>
      <c r="AB159" s="692">
        <f t="shared" si="516"/>
        <v>2.3202860000000003</v>
      </c>
      <c r="AC159" s="692">
        <f t="shared" si="516"/>
        <v>3.0346069999999994</v>
      </c>
      <c r="AD159" s="693">
        <f t="shared" si="516"/>
        <v>2.0711750000000109</v>
      </c>
      <c r="AE159" s="692">
        <f t="shared" si="516"/>
        <v>2.1987310000000004</v>
      </c>
      <c r="AF159" s="692">
        <f t="shared" ref="AF159:AK159" si="517">AF165-AF153</f>
        <v>1.4907369999999993</v>
      </c>
      <c r="AG159" s="692">
        <f t="shared" si="517"/>
        <v>2.4590949999999996</v>
      </c>
      <c r="AH159" s="692">
        <f t="shared" si="517"/>
        <v>2.184736</v>
      </c>
      <c r="AI159" s="692">
        <f t="shared" si="517"/>
        <v>1.6149909999999998</v>
      </c>
      <c r="AJ159" s="692">
        <f t="shared" si="517"/>
        <v>1.7992369999999989</v>
      </c>
      <c r="AK159" s="692">
        <f t="shared" si="517"/>
        <v>1.5674890000000001</v>
      </c>
      <c r="AL159" s="695"/>
      <c r="AM159" s="695"/>
      <c r="AN159" s="695"/>
      <c r="AO159" s="695"/>
      <c r="AP159" s="696"/>
      <c r="AQ159" s="695"/>
      <c r="AR159" s="695"/>
      <c r="AS159" s="695"/>
      <c r="AT159" s="695"/>
      <c r="AU159" s="695"/>
      <c r="AV159" s="695"/>
      <c r="AW159" s="695"/>
      <c r="AX159" s="695"/>
      <c r="AY159" s="695"/>
      <c r="AZ159" s="695"/>
      <c r="BA159" s="695"/>
      <c r="BB159" s="696"/>
      <c r="BC159" s="695"/>
      <c r="BD159" s="695"/>
      <c r="BE159" s="695"/>
      <c r="BF159" s="695"/>
      <c r="BG159" s="695"/>
      <c r="BH159" s="695"/>
      <c r="BI159" s="695"/>
      <c r="BJ159" s="695"/>
      <c r="BK159" s="695"/>
      <c r="BL159" s="695"/>
      <c r="BM159" s="695"/>
      <c r="BN159" s="696"/>
      <c r="BO159" s="692"/>
      <c r="BP159" s="692"/>
      <c r="BQ159" s="692"/>
      <c r="BR159" s="692"/>
      <c r="BS159" s="692"/>
      <c r="BT159" s="692"/>
      <c r="BU159" s="692"/>
      <c r="BV159" s="692"/>
      <c r="BW159" s="692"/>
      <c r="BX159" s="692"/>
      <c r="BY159" s="692"/>
      <c r="BZ159" s="693"/>
    </row>
    <row r="160" spans="1:193">
      <c r="A160" s="669" t="s">
        <v>459</v>
      </c>
      <c r="B160" s="692">
        <f t="shared" si="516"/>
        <v>2.4877622916999997</v>
      </c>
      <c r="C160" s="692">
        <f t="shared" si="516"/>
        <v>2.1479999999999997</v>
      </c>
      <c r="D160" s="692">
        <f t="shared" si="516"/>
        <v>3.0490507643999996</v>
      </c>
      <c r="E160" s="692">
        <f t="shared" si="516"/>
        <v>2.7531899167973606</v>
      </c>
      <c r="F160" s="693">
        <f t="shared" si="516"/>
        <v>3.8459999999999996</v>
      </c>
      <c r="G160" s="692">
        <f t="shared" si="516"/>
        <v>2.8020965126000004</v>
      </c>
      <c r="H160" s="692">
        <f t="shared" si="516"/>
        <v>2.5364874312999994</v>
      </c>
      <c r="I160" s="692">
        <f t="shared" si="516"/>
        <v>2.7549528314330578</v>
      </c>
      <c r="J160" s="692">
        <f t="shared" si="516"/>
        <v>2.2020695268000008</v>
      </c>
      <c r="K160" s="692">
        <f t="shared" si="516"/>
        <v>1.7436754504000005</v>
      </c>
      <c r="L160" s="692">
        <f t="shared" si="516"/>
        <v>0.76573546179999985</v>
      </c>
      <c r="M160" s="692">
        <f t="shared" si="516"/>
        <v>1.0829259435000003</v>
      </c>
      <c r="N160" s="692">
        <f t="shared" si="516"/>
        <v>1.646274</v>
      </c>
      <c r="O160" s="692">
        <f t="shared" si="516"/>
        <v>1.6204930000000002</v>
      </c>
      <c r="P160" s="692">
        <f t="shared" si="516"/>
        <v>2.3059559999999997</v>
      </c>
      <c r="Q160" s="692">
        <f t="shared" si="516"/>
        <v>2.4553798053999998</v>
      </c>
      <c r="R160" s="693">
        <f t="shared" si="516"/>
        <v>3.2919999999999998</v>
      </c>
      <c r="S160" s="692">
        <f t="shared" si="516"/>
        <v>2.1679020000000002</v>
      </c>
      <c r="T160" s="692">
        <f t="shared" si="516"/>
        <v>2.2416289999999996</v>
      </c>
      <c r="U160" s="692">
        <f t="shared" si="516"/>
        <v>2.3725050219023922</v>
      </c>
      <c r="V160" s="692">
        <f t="shared" si="516"/>
        <v>2.3691990000000005</v>
      </c>
      <c r="W160" s="692">
        <f t="shared" si="516"/>
        <v>1.6696280000000003</v>
      </c>
      <c r="X160" s="692">
        <f t="shared" si="516"/>
        <v>1.9244140000000001</v>
      </c>
      <c r="Y160" s="692">
        <f t="shared" si="516"/>
        <v>2.2931690000000002</v>
      </c>
      <c r="Z160" s="692">
        <f t="shared" si="516"/>
        <v>2.1559289999999995</v>
      </c>
      <c r="AA160" s="692">
        <f t="shared" si="516"/>
        <v>1.7422240000000002</v>
      </c>
      <c r="AB160" s="692">
        <f t="shared" si="516"/>
        <v>2.0513720000000002</v>
      </c>
      <c r="AC160" s="692">
        <f t="shared" si="516"/>
        <v>1.4796020000000003</v>
      </c>
      <c r="AD160" s="693">
        <f t="shared" si="516"/>
        <v>2.5525399780975988</v>
      </c>
      <c r="AE160" s="692">
        <f>AE166-AE154</f>
        <v>1.6549180000000003</v>
      </c>
      <c r="AF160" s="692">
        <f t="shared" ref="AF160:AG162" si="518">AF166-AF154</f>
        <v>1.9564869999999996</v>
      </c>
      <c r="AG160" s="692">
        <f t="shared" si="518"/>
        <v>2.0971750000000005</v>
      </c>
      <c r="AH160" s="692">
        <f t="shared" ref="AH160" si="519">AH166-AH154</f>
        <v>1.9664400000000004</v>
      </c>
      <c r="AI160" s="692">
        <f t="shared" ref="AI160:AK162" si="520">AI166-AI154</f>
        <v>1.7338979999999999</v>
      </c>
      <c r="AJ160" s="692">
        <f t="shared" si="520"/>
        <v>1.1979459999999982</v>
      </c>
      <c r="AK160" s="692">
        <f t="shared" si="520"/>
        <v>1.9886929999999996</v>
      </c>
      <c r="AL160" s="692">
        <f t="shared" ref="AL160:AP160" si="521">AL166-AL154</f>
        <v>2.1991710000000002</v>
      </c>
      <c r="AM160" s="692">
        <f t="shared" si="521"/>
        <v>1.5058719999999997</v>
      </c>
      <c r="AN160" s="692">
        <f t="shared" si="521"/>
        <v>1.9448000000000003</v>
      </c>
      <c r="AO160" s="692">
        <f t="shared" si="521"/>
        <v>2.3671160000000002</v>
      </c>
      <c r="AP160" s="693">
        <f t="shared" si="521"/>
        <v>2.4631030000000038</v>
      </c>
      <c r="AQ160" s="692">
        <f t="shared" ref="AQ160:AR160" si="522">AQ166-AQ154</f>
        <v>1.9769589999999999</v>
      </c>
      <c r="AR160" s="692">
        <f t="shared" si="522"/>
        <v>2.1708202366</v>
      </c>
      <c r="AS160" s="692">
        <f t="shared" ref="AS160:AV160" si="523">AS166-AS154</f>
        <v>1.9665470000000003</v>
      </c>
      <c r="AT160" s="692">
        <f t="shared" si="523"/>
        <v>2.4658560000000005</v>
      </c>
      <c r="AU160" s="692">
        <f t="shared" si="523"/>
        <v>1.7222519999999997</v>
      </c>
      <c r="AV160" s="692">
        <f t="shared" si="523"/>
        <v>1.190547</v>
      </c>
      <c r="AW160" s="692">
        <f t="shared" ref="AW160:AX160" si="524">AW166-AW154</f>
        <v>2.3832310000000003</v>
      </c>
      <c r="AX160" s="692">
        <f t="shared" si="524"/>
        <v>2.746073</v>
      </c>
      <c r="AY160" s="692">
        <f t="shared" ref="AY160:AZ160" si="525">AY166-AY154</f>
        <v>1.6181799999999997</v>
      </c>
      <c r="AZ160" s="692">
        <f t="shared" si="525"/>
        <v>1.6528949999999996</v>
      </c>
      <c r="BA160" s="692">
        <f t="shared" ref="BA160:BB160" si="526">BA166-BA154</f>
        <v>2.0246259999999996</v>
      </c>
      <c r="BB160" s="693">
        <f t="shared" si="526"/>
        <v>1.8130660000000005</v>
      </c>
      <c r="BC160" s="692">
        <f t="shared" ref="BC160:BE160" si="527">BC166-BC154</f>
        <v>2.6300429999999997</v>
      </c>
      <c r="BD160" s="694">
        <f t="shared" si="527"/>
        <v>1.6860592236332872</v>
      </c>
      <c r="BE160" s="694">
        <f t="shared" si="527"/>
        <v>0.49627274570259339</v>
      </c>
      <c r="BF160" s="695"/>
      <c r="BG160" s="695"/>
      <c r="BH160" s="692">
        <f t="shared" ref="BH160:BH162" si="528">BH166-BH154</f>
        <v>0.62368100000000015</v>
      </c>
      <c r="BI160" s="692">
        <f>BI166-BI154</f>
        <v>1.3352940000000002</v>
      </c>
      <c r="BJ160" s="692">
        <f t="shared" ref="BJ160" si="529">BJ166-BJ154</f>
        <v>2.307515</v>
      </c>
      <c r="BK160" s="692"/>
      <c r="BL160" s="692"/>
      <c r="BM160" s="692"/>
      <c r="BN160" s="693"/>
      <c r="BO160" s="692"/>
      <c r="BP160" s="692"/>
      <c r="BQ160" s="692"/>
      <c r="BR160" s="692"/>
      <c r="BS160" s="692"/>
      <c r="BT160" s="692"/>
      <c r="BU160" s="692"/>
      <c r="BV160" s="692"/>
      <c r="BW160" s="692"/>
      <c r="BX160" s="692"/>
      <c r="BY160" s="692"/>
      <c r="BZ160" s="693"/>
    </row>
    <row r="161" spans="1:78">
      <c r="A161" s="669" t="s">
        <v>460</v>
      </c>
      <c r="B161" s="692">
        <f t="shared" si="516"/>
        <v>1.4398687932000005</v>
      </c>
      <c r="C161" s="692">
        <f t="shared" si="516"/>
        <v>1.129</v>
      </c>
      <c r="D161" s="692">
        <f t="shared" si="516"/>
        <v>0.76267863420000026</v>
      </c>
      <c r="E161" s="692">
        <f t="shared" si="516"/>
        <v>0.38541168833880057</v>
      </c>
      <c r="F161" s="693">
        <f t="shared" si="516"/>
        <v>1.3031250000000001</v>
      </c>
      <c r="G161" s="692">
        <f t="shared" si="516"/>
        <v>1.0670955390000003</v>
      </c>
      <c r="H161" s="692">
        <f t="shared" si="516"/>
        <v>1.0011939920000001</v>
      </c>
      <c r="I161" s="692">
        <f t="shared" si="516"/>
        <v>0.70864590465999999</v>
      </c>
      <c r="J161" s="692">
        <f t="shared" si="516"/>
        <v>0.86257330399999965</v>
      </c>
      <c r="K161" s="692">
        <f t="shared" si="516"/>
        <v>0.6490853834000001</v>
      </c>
      <c r="L161" s="692">
        <f t="shared" si="516"/>
        <v>0.78806917940000032</v>
      </c>
      <c r="M161" s="692">
        <f t="shared" si="516"/>
        <v>1.0422007461999998</v>
      </c>
      <c r="N161" s="692">
        <f t="shared" si="516"/>
        <v>1.194674</v>
      </c>
      <c r="O161" s="692">
        <f t="shared" si="516"/>
        <v>0.66624400000000028</v>
      </c>
      <c r="P161" s="692">
        <f t="shared" si="516"/>
        <v>1.0133179999999999</v>
      </c>
      <c r="Q161" s="692">
        <f t="shared" si="516"/>
        <v>0.21498840920000006</v>
      </c>
      <c r="R161" s="693">
        <f t="shared" si="516"/>
        <v>1.1100000000000003</v>
      </c>
      <c r="S161" s="692">
        <f t="shared" si="516"/>
        <v>0.76175300000000012</v>
      </c>
      <c r="T161" s="692">
        <f t="shared" si="516"/>
        <v>1.157095</v>
      </c>
      <c r="U161" s="692">
        <f t="shared" si="516"/>
        <v>0.79000692000000017</v>
      </c>
      <c r="V161" s="692">
        <f t="shared" si="516"/>
        <v>0.90065499999999998</v>
      </c>
      <c r="W161" s="692">
        <f t="shared" si="516"/>
        <v>0.66271000000000013</v>
      </c>
      <c r="X161" s="692">
        <f t="shared" si="516"/>
        <v>0.67742799999999992</v>
      </c>
      <c r="Y161" s="692">
        <f t="shared" si="516"/>
        <v>0.88167400000000029</v>
      </c>
      <c r="Z161" s="692">
        <f t="shared" si="516"/>
        <v>1.4813160000000005</v>
      </c>
      <c r="AA161" s="692">
        <f t="shared" si="516"/>
        <v>0.74263900000000005</v>
      </c>
      <c r="AB161" s="692">
        <f t="shared" si="516"/>
        <v>0.60700500000000002</v>
      </c>
      <c r="AC161" s="692">
        <f t="shared" si="516"/>
        <v>0.71552099999999985</v>
      </c>
      <c r="AD161" s="693">
        <f t="shared" si="516"/>
        <v>0.89663907999999282</v>
      </c>
      <c r="AE161" s="692">
        <f t="shared" si="516"/>
        <v>0.84342300000000003</v>
      </c>
      <c r="AF161" s="692">
        <f t="shared" si="518"/>
        <v>0.74224599999999974</v>
      </c>
      <c r="AG161" s="692">
        <f t="shared" si="518"/>
        <v>0.64330299999999996</v>
      </c>
      <c r="AH161" s="692">
        <f t="shared" ref="AH161" si="530">AH167-AH155</f>
        <v>0.85999999999999988</v>
      </c>
      <c r="AI161" s="692">
        <f t="shared" si="520"/>
        <v>0.70368299999999984</v>
      </c>
      <c r="AJ161" s="692">
        <f t="shared" si="520"/>
        <v>0.67417100000000119</v>
      </c>
      <c r="AK161" s="692">
        <f t="shared" si="520"/>
        <v>0.76188300000000009</v>
      </c>
      <c r="AL161" s="692">
        <f t="shared" ref="AL161:AM161" si="531">AL167-AL155</f>
        <v>0.77237499999999937</v>
      </c>
      <c r="AM161" s="692">
        <f t="shared" si="531"/>
        <v>0.55126700000000017</v>
      </c>
      <c r="AN161" s="692">
        <f t="shared" ref="AN161:AP161" si="532">AN167-AN155</f>
        <v>0.29858799999999963</v>
      </c>
      <c r="AO161" s="692">
        <f t="shared" si="532"/>
        <v>0.56187000000000031</v>
      </c>
      <c r="AP161" s="693">
        <f t="shared" si="532"/>
        <v>0.95230199999999243</v>
      </c>
      <c r="AQ161" s="692">
        <f t="shared" ref="AQ161:AR161" si="533">AQ167-AQ155</f>
        <v>0.8170980000000001</v>
      </c>
      <c r="AR161" s="692">
        <f t="shared" si="533"/>
        <v>0.87779499999999988</v>
      </c>
      <c r="AS161" s="692">
        <f t="shared" ref="AS161:AT161" si="534">AS167-AS155</f>
        <v>0.64680699999999991</v>
      </c>
      <c r="AT161" s="692">
        <f t="shared" si="534"/>
        <v>0.82520600000000011</v>
      </c>
      <c r="AU161" s="692">
        <f t="shared" ref="AU161:AV161" si="535">AU167-AU155</f>
        <v>0.9097900000000001</v>
      </c>
      <c r="AV161" s="692">
        <f t="shared" si="535"/>
        <v>0.70007100000000033</v>
      </c>
      <c r="AW161" s="692">
        <f t="shared" ref="AW161:AX161" si="536">AW167-AW155</f>
        <v>0.61194999999999977</v>
      </c>
      <c r="AX161" s="692">
        <f t="shared" si="536"/>
        <v>1.2402389999999999</v>
      </c>
      <c r="AY161" s="692">
        <f t="shared" ref="AY161:AZ161" si="537">AY167-AY155</f>
        <v>0.54314399999999985</v>
      </c>
      <c r="AZ161" s="692">
        <f t="shared" si="537"/>
        <v>0.43260100000000001</v>
      </c>
      <c r="BA161" s="692">
        <f t="shared" ref="BA161:BB161" si="538">BA167-BA155</f>
        <v>0.68931399999999998</v>
      </c>
      <c r="BB161" s="693">
        <f t="shared" si="538"/>
        <v>0.69929900000000034</v>
      </c>
      <c r="BC161" s="692">
        <f t="shared" ref="BC161:BE161" si="539">BC167-BC155</f>
        <v>0.76948000000000016</v>
      </c>
      <c r="BD161" s="694">
        <f t="shared" si="539"/>
        <v>0.80625761772270144</v>
      </c>
      <c r="BE161" s="694">
        <f t="shared" si="539"/>
        <v>0.20919640901779235</v>
      </c>
      <c r="BF161" s="695"/>
      <c r="BG161" s="695"/>
      <c r="BH161" s="692">
        <f t="shared" si="528"/>
        <v>0.27773000000000003</v>
      </c>
      <c r="BI161" s="692">
        <f>2.9-BI155</f>
        <v>0.5</v>
      </c>
      <c r="BJ161" s="692">
        <f t="shared" ref="BJ161" si="540">BJ167-BJ155</f>
        <v>1.0617420000000002</v>
      </c>
      <c r="BK161" s="692"/>
      <c r="BL161" s="692"/>
      <c r="BM161" s="692"/>
      <c r="BN161" s="693"/>
      <c r="BO161" s="692"/>
      <c r="BP161" s="692"/>
      <c r="BQ161" s="692"/>
      <c r="BR161" s="692"/>
      <c r="BS161" s="692"/>
      <c r="BT161" s="692"/>
      <c r="BU161" s="692"/>
      <c r="BV161" s="692"/>
      <c r="BW161" s="692"/>
      <c r="BX161" s="692"/>
      <c r="BY161" s="692"/>
      <c r="BZ161" s="693"/>
    </row>
    <row r="162" spans="1:78">
      <c r="A162" s="669" t="s">
        <v>461</v>
      </c>
      <c r="B162" s="692">
        <f t="shared" si="516"/>
        <v>3.5279800429000003</v>
      </c>
      <c r="C162" s="692">
        <f t="shared" si="516"/>
        <v>3.198</v>
      </c>
      <c r="D162" s="692">
        <f t="shared" si="516"/>
        <v>3.6405170965000009</v>
      </c>
      <c r="E162" s="692">
        <f t="shared" si="516"/>
        <v>4.3629110694784199</v>
      </c>
      <c r="F162" s="693">
        <f t="shared" si="516"/>
        <v>4.0537476000000012</v>
      </c>
      <c r="G162" s="692">
        <f t="shared" si="516"/>
        <v>4.8533468082000022</v>
      </c>
      <c r="H162" s="692">
        <f t="shared" si="516"/>
        <v>3.4389743184000001</v>
      </c>
      <c r="I162" s="692">
        <f t="shared" si="516"/>
        <v>3.2915086945519993</v>
      </c>
      <c r="J162" s="692">
        <f t="shared" si="516"/>
        <v>4.8031793410999981</v>
      </c>
      <c r="K162" s="692">
        <f t="shared" si="516"/>
        <v>3.1748576159999997</v>
      </c>
      <c r="L162" s="692">
        <f t="shared" si="516"/>
        <v>3.1732219605999989</v>
      </c>
      <c r="M162" s="692">
        <f t="shared" si="516"/>
        <v>2.5733419045000003</v>
      </c>
      <c r="N162" s="692">
        <f t="shared" si="516"/>
        <v>4.0812999999999997</v>
      </c>
      <c r="O162" s="692">
        <f t="shared" si="516"/>
        <v>4.8726700000000003</v>
      </c>
      <c r="P162" s="692">
        <f t="shared" si="516"/>
        <v>4.1522810000000003</v>
      </c>
      <c r="Q162" s="692">
        <f t="shared" si="516"/>
        <v>3.2880452338000001</v>
      </c>
      <c r="R162" s="693">
        <f t="shared" si="516"/>
        <v>3</v>
      </c>
      <c r="S162" s="692">
        <f t="shared" si="516"/>
        <v>4.5880470000000004</v>
      </c>
      <c r="T162" s="692">
        <f t="shared" si="516"/>
        <v>3.0286360000000001</v>
      </c>
      <c r="U162" s="692">
        <f t="shared" si="516"/>
        <v>3.0193061800000001</v>
      </c>
      <c r="V162" s="692">
        <f t="shared" si="516"/>
        <v>4.4832469999999995</v>
      </c>
      <c r="W162" s="692">
        <f t="shared" si="516"/>
        <v>2.3705639999999999</v>
      </c>
      <c r="X162" s="692">
        <f t="shared" si="516"/>
        <v>2.5823869999999998</v>
      </c>
      <c r="Y162" s="692">
        <f t="shared" si="516"/>
        <v>2.7293950000000002</v>
      </c>
      <c r="Z162" s="692">
        <f t="shared" si="516"/>
        <v>2.0734759999999994</v>
      </c>
      <c r="AA162" s="692">
        <f t="shared" si="516"/>
        <v>3.3518750000000006</v>
      </c>
      <c r="AB162" s="692">
        <f t="shared" si="516"/>
        <v>4.3011129999999991</v>
      </c>
      <c r="AC162" s="692">
        <f t="shared" si="516"/>
        <v>3.0176849999999997</v>
      </c>
      <c r="AD162" s="693">
        <f t="shared" si="516"/>
        <v>3.6966928199999955</v>
      </c>
      <c r="AE162" s="692">
        <f t="shared" si="516"/>
        <v>3.6445419999999995</v>
      </c>
      <c r="AF162" s="692">
        <f t="shared" si="518"/>
        <v>3.7959510000000005</v>
      </c>
      <c r="AG162" s="692">
        <f t="shared" si="518"/>
        <v>4.0549429999999997</v>
      </c>
      <c r="AH162" s="692">
        <f t="shared" ref="AH162" si="541">AH168-AH156</f>
        <v>3.4790490000000043</v>
      </c>
      <c r="AI162" s="692">
        <f t="shared" si="520"/>
        <v>2.9221149999999998</v>
      </c>
      <c r="AJ162" s="692">
        <f t="shared" si="520"/>
        <v>3.8906880000000044</v>
      </c>
      <c r="AK162" s="692">
        <f>AK168-AK156</f>
        <v>2.8324610000000003</v>
      </c>
      <c r="AL162" s="692">
        <f>AL168-AL156</f>
        <v>4.0277159999999999</v>
      </c>
      <c r="AM162" s="692">
        <f>AM168-AM156</f>
        <v>4.2042350000000006</v>
      </c>
      <c r="AN162" s="692">
        <f t="shared" ref="AN162:AO162" si="542">AN168-AN156</f>
        <v>3.9300570000000001</v>
      </c>
      <c r="AO162" s="692">
        <f t="shared" si="542"/>
        <v>3.914439999999999</v>
      </c>
      <c r="AP162" s="693">
        <f t="shared" ref="AP162:AQ162" si="543">AP168-AP156</f>
        <v>2.8221899999999991</v>
      </c>
      <c r="AQ162" s="692">
        <f t="shared" si="543"/>
        <v>3.4171289999999992</v>
      </c>
      <c r="AR162" s="692">
        <f t="shared" ref="AR162:AS162" si="544">AR168-AR156</f>
        <v>3.2140300000000002</v>
      </c>
      <c r="AS162" s="692">
        <f t="shared" si="544"/>
        <v>3.6995350000000009</v>
      </c>
      <c r="AT162" s="692">
        <f t="shared" ref="AT162:AV162" si="545">AT168-AT156</f>
        <v>3.9955910000000001</v>
      </c>
      <c r="AU162" s="692">
        <f t="shared" si="545"/>
        <v>3.685568</v>
      </c>
      <c r="AV162" s="692">
        <f t="shared" si="545"/>
        <v>2.4540060000000001</v>
      </c>
      <c r="AW162" s="692">
        <f t="shared" ref="AW162:AX162" si="546">AW168-AW156</f>
        <v>3.3373309999999989</v>
      </c>
      <c r="AX162" s="692">
        <f t="shared" si="546"/>
        <v>3.9673620000000005</v>
      </c>
      <c r="AY162" s="692">
        <f t="shared" ref="AY162:AZ162" si="547">AY168-AY156</f>
        <v>3.3976129999999998</v>
      </c>
      <c r="AZ162" s="692">
        <f t="shared" si="547"/>
        <v>3.1096680000000005</v>
      </c>
      <c r="BA162" s="692">
        <f t="shared" ref="BA162:BB162" si="548">BA168-BA156</f>
        <v>2.9958980000000004</v>
      </c>
      <c r="BB162" s="693">
        <f t="shared" si="548"/>
        <v>3.0805000000000007</v>
      </c>
      <c r="BC162" s="692">
        <f t="shared" ref="BC162:BE162" si="549">BC168-BC156</f>
        <v>4.9216549999999994</v>
      </c>
      <c r="BD162" s="694">
        <f t="shared" si="549"/>
        <v>2.1512959867859998</v>
      </c>
      <c r="BE162" s="694">
        <f t="shared" si="549"/>
        <v>0.67742822811512027</v>
      </c>
      <c r="BF162" s="695"/>
      <c r="BG162" s="695"/>
      <c r="BH162" s="692">
        <f t="shared" si="528"/>
        <v>0.63156400000000024</v>
      </c>
      <c r="BI162" s="692">
        <f>BI168-BI156</f>
        <v>1.1915269999999998</v>
      </c>
      <c r="BJ162" s="692">
        <f t="shared" ref="BJ162" si="550">BJ168-BJ156</f>
        <v>2.8716879999999998</v>
      </c>
      <c r="BK162" s="692"/>
      <c r="BL162" s="692"/>
      <c r="BM162" s="692"/>
      <c r="BN162" s="693"/>
      <c r="BO162" s="692"/>
      <c r="BP162" s="692"/>
      <c r="BQ162" s="692"/>
      <c r="BR162" s="692"/>
      <c r="BS162" s="692"/>
      <c r="BT162" s="692"/>
      <c r="BU162" s="692"/>
      <c r="BV162" s="692"/>
      <c r="BW162" s="692"/>
      <c r="BX162" s="692"/>
      <c r="BY162" s="692"/>
      <c r="BZ162" s="693"/>
    </row>
    <row r="163" spans="1:78">
      <c r="A163" s="673" t="s">
        <v>463</v>
      </c>
      <c r="B163" s="697">
        <f t="shared" ref="B163:AM163" si="551">SUM(B159:B162)</f>
        <v>9.1116608228000011</v>
      </c>
      <c r="C163" s="697">
        <f t="shared" si="551"/>
        <v>8.8260000000000005</v>
      </c>
      <c r="D163" s="697">
        <f t="shared" si="551"/>
        <v>9.7459871630000006</v>
      </c>
      <c r="E163" s="697">
        <f t="shared" si="551"/>
        <v>9.4838073059777592</v>
      </c>
      <c r="F163" s="698">
        <f t="shared" si="551"/>
        <v>12.133554999999999</v>
      </c>
      <c r="G163" s="697">
        <f t="shared" si="551"/>
        <v>10.888857184100004</v>
      </c>
      <c r="H163" s="697">
        <f t="shared" si="551"/>
        <v>7.9205712144000007</v>
      </c>
      <c r="I163" s="697">
        <f t="shared" si="551"/>
        <v>9.3489968844450573</v>
      </c>
      <c r="J163" s="697">
        <f t="shared" si="551"/>
        <v>10.318281981099997</v>
      </c>
      <c r="K163" s="697">
        <f t="shared" si="551"/>
        <v>7.9487141261000005</v>
      </c>
      <c r="L163" s="697">
        <f t="shared" si="551"/>
        <v>7.2279113098999996</v>
      </c>
      <c r="M163" s="697">
        <f t="shared" si="551"/>
        <v>7.055501242200001</v>
      </c>
      <c r="N163" s="697">
        <f t="shared" si="551"/>
        <v>8.4946330000000003</v>
      </c>
      <c r="O163" s="697">
        <f t="shared" si="551"/>
        <v>9.2057580000000012</v>
      </c>
      <c r="P163" s="697">
        <f t="shared" si="551"/>
        <v>10.369489</v>
      </c>
      <c r="Q163" s="697">
        <f t="shared" si="551"/>
        <v>7.8587669652999992</v>
      </c>
      <c r="R163" s="698">
        <f t="shared" si="551"/>
        <v>9.7740000000000009</v>
      </c>
      <c r="S163" s="697">
        <f t="shared" si="551"/>
        <v>9.5799219999999998</v>
      </c>
      <c r="T163" s="697">
        <f t="shared" si="551"/>
        <v>7.9750309999999995</v>
      </c>
      <c r="U163" s="697">
        <f t="shared" si="551"/>
        <v>9.202597121902393</v>
      </c>
      <c r="V163" s="697">
        <f t="shared" si="551"/>
        <v>10.365400999999999</v>
      </c>
      <c r="W163" s="697">
        <f t="shared" si="551"/>
        <v>7.2107650000000003</v>
      </c>
      <c r="X163" s="697">
        <f t="shared" si="551"/>
        <v>6.9776859999999994</v>
      </c>
      <c r="Y163" s="697">
        <f t="shared" si="551"/>
        <v>8.0605980000000006</v>
      </c>
      <c r="Z163" s="697">
        <f t="shared" si="551"/>
        <v>7.6010749999999998</v>
      </c>
      <c r="AA163" s="697">
        <f t="shared" si="551"/>
        <v>7.8238060000000003</v>
      </c>
      <c r="AB163" s="697">
        <f t="shared" si="551"/>
        <v>9.2797759999999982</v>
      </c>
      <c r="AC163" s="697">
        <f t="shared" si="551"/>
        <v>8.2474149999999984</v>
      </c>
      <c r="AD163" s="698">
        <f t="shared" si="551"/>
        <v>9.217046878097598</v>
      </c>
      <c r="AE163" s="697">
        <f t="shared" si="551"/>
        <v>8.3416139999999999</v>
      </c>
      <c r="AF163" s="697">
        <f t="shared" si="551"/>
        <v>7.9854209999999988</v>
      </c>
      <c r="AG163" s="697">
        <f t="shared" si="551"/>
        <v>9.2545159999999989</v>
      </c>
      <c r="AH163" s="697">
        <f t="shared" si="551"/>
        <v>8.4902250000000059</v>
      </c>
      <c r="AI163" s="697">
        <f t="shared" si="551"/>
        <v>6.9746869999999994</v>
      </c>
      <c r="AJ163" s="697">
        <f t="shared" si="551"/>
        <v>7.5620420000000026</v>
      </c>
      <c r="AK163" s="697">
        <f t="shared" si="551"/>
        <v>7.1505260000000002</v>
      </c>
      <c r="AL163" s="697">
        <f t="shared" si="551"/>
        <v>6.9992619999999999</v>
      </c>
      <c r="AM163" s="697">
        <f t="shared" si="551"/>
        <v>6.261374</v>
      </c>
      <c r="AN163" s="697">
        <f t="shared" ref="AN163:AO163" si="552">SUM(AN159:AN162)</f>
        <v>6.1734450000000001</v>
      </c>
      <c r="AO163" s="697">
        <f t="shared" si="552"/>
        <v>6.8434259999999991</v>
      </c>
      <c r="AP163" s="698">
        <f t="shared" ref="AP163:AQ163" si="553">SUM(AP159:AP162)</f>
        <v>6.2375949999999953</v>
      </c>
      <c r="AQ163" s="697">
        <f t="shared" si="553"/>
        <v>6.2111859999999997</v>
      </c>
      <c r="AR163" s="697">
        <f t="shared" ref="AR163:AS163" si="554">SUM(AR159:AR162)</f>
        <v>6.2626452366000001</v>
      </c>
      <c r="AS163" s="697">
        <f t="shared" si="554"/>
        <v>6.3128890000000011</v>
      </c>
      <c r="AT163" s="697">
        <f t="shared" ref="AT163:AU163" si="555">SUM(AT159:AT162)</f>
        <v>7.2866530000000012</v>
      </c>
      <c r="AU163" s="697">
        <f t="shared" si="555"/>
        <v>6.3176100000000002</v>
      </c>
      <c r="AV163" s="697">
        <f t="shared" ref="AV163:AY163" si="556">SUM(AV159:AV162)</f>
        <v>4.3446240000000005</v>
      </c>
      <c r="AW163" s="697">
        <f t="shared" si="556"/>
        <v>6.3325119999999995</v>
      </c>
      <c r="AX163" s="697">
        <f t="shared" si="556"/>
        <v>7.9536740000000004</v>
      </c>
      <c r="AY163" s="697">
        <f t="shared" si="556"/>
        <v>5.5589369999999994</v>
      </c>
      <c r="AZ163" s="697">
        <f t="shared" ref="AZ163:BA163" si="557">SUM(AZ159:AZ162)</f>
        <v>5.1951640000000001</v>
      </c>
      <c r="BA163" s="697">
        <f t="shared" si="557"/>
        <v>5.7098379999999995</v>
      </c>
      <c r="BB163" s="698">
        <f t="shared" ref="BB163:BN163" si="558">SUM(BB159:BB162)</f>
        <v>5.5928650000000015</v>
      </c>
      <c r="BC163" s="697">
        <f t="shared" si="558"/>
        <v>8.3211779999999997</v>
      </c>
      <c r="BD163" s="697">
        <f t="shared" si="558"/>
        <v>4.6436128281419879</v>
      </c>
      <c r="BE163" s="697">
        <f t="shared" si="558"/>
        <v>1.382897382835506</v>
      </c>
      <c r="BF163" s="697">
        <f t="shared" si="558"/>
        <v>0</v>
      </c>
      <c r="BG163" s="697">
        <f t="shared" si="558"/>
        <v>0</v>
      </c>
      <c r="BH163" s="697">
        <f t="shared" si="558"/>
        <v>1.5329750000000004</v>
      </c>
      <c r="BI163" s="697">
        <f t="shared" si="558"/>
        <v>3.026821</v>
      </c>
      <c r="BJ163" s="697">
        <f t="shared" si="558"/>
        <v>6.240945</v>
      </c>
      <c r="BK163" s="697">
        <f t="shared" si="558"/>
        <v>0</v>
      </c>
      <c r="BL163" s="697">
        <f t="shared" si="558"/>
        <v>0</v>
      </c>
      <c r="BM163" s="697">
        <f t="shared" si="558"/>
        <v>0</v>
      </c>
      <c r="BN163" s="698">
        <f t="shared" si="558"/>
        <v>0</v>
      </c>
      <c r="BO163" s="697">
        <f t="shared" ref="BO163:BZ163" si="559">SUM(BO159:BO162)</f>
        <v>0</v>
      </c>
      <c r="BP163" s="697">
        <f t="shared" si="559"/>
        <v>0</v>
      </c>
      <c r="BQ163" s="697">
        <f t="shared" si="559"/>
        <v>0</v>
      </c>
      <c r="BR163" s="697">
        <f t="shared" si="559"/>
        <v>0</v>
      </c>
      <c r="BS163" s="697">
        <f t="shared" si="559"/>
        <v>0</v>
      </c>
      <c r="BT163" s="697">
        <f t="shared" si="559"/>
        <v>0</v>
      </c>
      <c r="BU163" s="697">
        <f t="shared" si="559"/>
        <v>0</v>
      </c>
      <c r="BV163" s="697">
        <f t="shared" si="559"/>
        <v>0</v>
      </c>
      <c r="BW163" s="697">
        <f t="shared" si="559"/>
        <v>0</v>
      </c>
      <c r="BX163" s="697">
        <f t="shared" si="559"/>
        <v>0</v>
      </c>
      <c r="BY163" s="697">
        <f t="shared" si="559"/>
        <v>0</v>
      </c>
      <c r="BZ163" s="698">
        <f t="shared" si="559"/>
        <v>0</v>
      </c>
    </row>
    <row r="164" spans="1:78">
      <c r="A164" s="659" t="s">
        <v>472</v>
      </c>
      <c r="B164" s="692"/>
      <c r="C164" s="692"/>
      <c r="D164" s="692"/>
      <c r="E164" s="692"/>
      <c r="F164" s="693"/>
      <c r="G164" s="692"/>
      <c r="H164" s="692"/>
      <c r="I164" s="692"/>
      <c r="J164" s="692"/>
      <c r="K164" s="692"/>
      <c r="L164" s="692"/>
      <c r="M164" s="692"/>
      <c r="N164" s="692"/>
      <c r="O164" s="692"/>
      <c r="P164" s="692"/>
      <c r="Q164" s="692"/>
      <c r="R164" s="693"/>
      <c r="S164" s="692"/>
      <c r="T164" s="692"/>
      <c r="U164" s="692"/>
      <c r="V164" s="692"/>
      <c r="W164" s="692"/>
      <c r="X164" s="692"/>
      <c r="Y164" s="692"/>
      <c r="Z164" s="692"/>
      <c r="AA164" s="692"/>
      <c r="AB164" s="692"/>
      <c r="AC164" s="692"/>
      <c r="AD164" s="693"/>
      <c r="AE164" s="692"/>
      <c r="AF164" s="692"/>
      <c r="AG164" s="692"/>
      <c r="AH164" s="692"/>
      <c r="AI164" s="692"/>
      <c r="AJ164" s="692"/>
      <c r="AK164" s="692"/>
      <c r="AL164" s="692"/>
      <c r="AM164" s="692"/>
      <c r="AN164" s="692"/>
      <c r="AO164" s="692"/>
      <c r="AP164" s="693"/>
      <c r="AQ164" s="692"/>
      <c r="AR164" s="692"/>
      <c r="AS164" s="692"/>
      <c r="AT164" s="692"/>
      <c r="AU164" s="692"/>
      <c r="AV164" s="692"/>
      <c r="AW164" s="692"/>
      <c r="AX164" s="692"/>
      <c r="AY164" s="692"/>
      <c r="AZ164" s="692"/>
      <c r="BA164" s="692"/>
      <c r="BB164" s="693"/>
      <c r="BC164" s="692"/>
      <c r="BD164" s="692"/>
      <c r="BE164" s="692"/>
      <c r="BF164" s="692"/>
      <c r="BG164" s="692"/>
      <c r="BH164" s="692"/>
      <c r="BI164" s="692"/>
      <c r="BJ164" s="692"/>
      <c r="BK164" s="692"/>
      <c r="BL164" s="692"/>
      <c r="BM164" s="692"/>
      <c r="BN164" s="693"/>
      <c r="BO164" s="692"/>
      <c r="BP164" s="692"/>
      <c r="BQ164" s="692"/>
      <c r="BR164" s="692"/>
      <c r="BS164" s="692"/>
      <c r="BT164" s="692"/>
      <c r="BU164" s="692"/>
      <c r="BV164" s="692"/>
      <c r="BW164" s="692"/>
      <c r="BX164" s="692"/>
      <c r="BY164" s="692"/>
      <c r="BZ164" s="693"/>
    </row>
    <row r="165" spans="1:78">
      <c r="A165" s="669" t="s">
        <v>458</v>
      </c>
      <c r="B165" s="692">
        <v>7.1344302749999997</v>
      </c>
      <c r="C165" s="692">
        <v>7.8179999999999996</v>
      </c>
      <c r="D165" s="692">
        <v>7.7041100249999994</v>
      </c>
      <c r="E165" s="692">
        <v>7.7098618720199994</v>
      </c>
      <c r="F165" s="693">
        <v>8.92</v>
      </c>
      <c r="G165" s="692">
        <v>8.0000826276000012</v>
      </c>
      <c r="H165" s="692">
        <v>6.047678168700001</v>
      </c>
      <c r="I165" s="692">
        <v>8.0451815950000007</v>
      </c>
      <c r="J165" s="692">
        <v>7.9217317695999991</v>
      </c>
      <c r="K165" s="692">
        <v>7.7814413087999998</v>
      </c>
      <c r="L165" s="692">
        <v>8.1308682642000001</v>
      </c>
      <c r="M165" s="692">
        <v>7.6866382149999994</v>
      </c>
      <c r="N165" s="692">
        <v>6.7676249999999998</v>
      </c>
      <c r="O165" s="692">
        <v>7.3975400000000002</v>
      </c>
      <c r="P165" s="692">
        <v>9.0106549999999999</v>
      </c>
      <c r="Q165" s="692">
        <v>7.356738427499999</v>
      </c>
      <c r="R165" s="693">
        <v>8</v>
      </c>
      <c r="S165" s="692">
        <v>8.1600190000000001</v>
      </c>
      <c r="T165" s="692">
        <v>6.8591110000000004</v>
      </c>
      <c r="U165" s="692">
        <v>8.6862250000000003</v>
      </c>
      <c r="V165" s="692">
        <v>8.4489459999999994</v>
      </c>
      <c r="W165" s="692">
        <v>6.9008880000000001</v>
      </c>
      <c r="X165" s="692">
        <v>6.8981659999999998</v>
      </c>
      <c r="Y165" s="692">
        <v>7.2859129999999999</v>
      </c>
      <c r="Z165" s="692">
        <v>7.09734</v>
      </c>
      <c r="AA165" s="692">
        <v>7.1239999999999997</v>
      </c>
      <c r="AB165" s="692">
        <v>7.9247019999999999</v>
      </c>
      <c r="AC165" s="692">
        <v>8.3080049999999996</v>
      </c>
      <c r="AD165" s="693">
        <v>7.4569610000000068</v>
      </c>
      <c r="AE165" s="692">
        <v>7.5131750000000004</v>
      </c>
      <c r="AF165" s="692">
        <v>6.0671429999999997</v>
      </c>
      <c r="AG165" s="692">
        <v>7.3360409999999998</v>
      </c>
      <c r="AH165" s="692">
        <v>7.0836410000000001</v>
      </c>
      <c r="AI165" s="692">
        <v>6.2620399999999998</v>
      </c>
      <c r="AJ165" s="692">
        <f>40.460277-SUM(AE165:AI165)</f>
        <v>6.1982369999999989</v>
      </c>
      <c r="AK165" s="692">
        <v>5.000699</v>
      </c>
      <c r="AL165" s="695"/>
      <c r="AM165" s="695"/>
      <c r="AN165" s="695"/>
      <c r="AO165" s="695"/>
      <c r="AP165" s="696"/>
      <c r="AQ165" s="695"/>
      <c r="AR165" s="695"/>
      <c r="AS165" s="695"/>
      <c r="AT165" s="695"/>
      <c r="AU165" s="695"/>
      <c r="AV165" s="695"/>
      <c r="AW165" s="695"/>
      <c r="AX165" s="695"/>
      <c r="AY165" s="695"/>
      <c r="AZ165" s="695"/>
      <c r="BA165" s="695"/>
      <c r="BB165" s="696"/>
      <c r="BC165" s="695"/>
      <c r="BD165" s="695"/>
      <c r="BE165" s="695"/>
      <c r="BF165" s="695"/>
      <c r="BG165" s="695"/>
      <c r="BH165" s="695"/>
      <c r="BI165" s="695"/>
      <c r="BJ165" s="695"/>
      <c r="BK165" s="695"/>
      <c r="BL165" s="695"/>
      <c r="BM165" s="695"/>
      <c r="BN165" s="696"/>
      <c r="BO165" s="692"/>
      <c r="BP165" s="692"/>
      <c r="BQ165" s="692"/>
      <c r="BR165" s="692"/>
      <c r="BS165" s="692"/>
      <c r="BT165" s="692"/>
      <c r="BU165" s="692"/>
      <c r="BV165" s="692"/>
      <c r="BW165" s="692"/>
      <c r="BX165" s="692"/>
      <c r="BY165" s="692"/>
      <c r="BZ165" s="693"/>
    </row>
    <row r="166" spans="1:78">
      <c r="A166" s="669" t="s">
        <v>459</v>
      </c>
      <c r="B166" s="692">
        <v>6.0050238842999999</v>
      </c>
      <c r="C166" s="692">
        <v>4.51</v>
      </c>
      <c r="D166" s="692">
        <v>5.8281803318999996</v>
      </c>
      <c r="E166" s="692">
        <v>5.0600408990608807</v>
      </c>
      <c r="F166" s="693">
        <v>7.1959999999999997</v>
      </c>
      <c r="G166" s="692">
        <v>6.2972389128000001</v>
      </c>
      <c r="H166" s="692">
        <v>5.1381189210999993</v>
      </c>
      <c r="I166" s="692">
        <v>5.3893718907999997</v>
      </c>
      <c r="J166" s="692">
        <v>5.1143650272000007</v>
      </c>
      <c r="K166" s="692">
        <v>4.2644915144000004</v>
      </c>
      <c r="L166" s="692">
        <v>3.6201390027999998</v>
      </c>
      <c r="M166" s="692">
        <v>4.0321432875000003</v>
      </c>
      <c r="N166" s="692">
        <v>4.9144969999999999</v>
      </c>
      <c r="O166" s="692">
        <v>3.952499</v>
      </c>
      <c r="P166" s="692">
        <v>4.8972189999999998</v>
      </c>
      <c r="Q166" s="692">
        <v>4.5651758382000001</v>
      </c>
      <c r="R166" s="693">
        <v>6.2309999999999999</v>
      </c>
      <c r="S166" s="692">
        <v>5.102284</v>
      </c>
      <c r="T166" s="692">
        <v>4.3851829999999996</v>
      </c>
      <c r="U166" s="692">
        <v>4.6412089999999999</v>
      </c>
      <c r="V166" s="692">
        <v>5.2595280000000004</v>
      </c>
      <c r="W166" s="692">
        <v>4.0699480000000001</v>
      </c>
      <c r="X166" s="692">
        <v>4.443524</v>
      </c>
      <c r="Y166" s="692">
        <v>5.1046250000000004</v>
      </c>
      <c r="Z166" s="692">
        <v>5.4235189999999998</v>
      </c>
      <c r="AA166" s="692">
        <v>4.3088160000000002</v>
      </c>
      <c r="AB166" s="692">
        <v>4.582427</v>
      </c>
      <c r="AC166" s="692">
        <v>3.8514940000000002</v>
      </c>
      <c r="AD166" s="693">
        <v>6.1712449999999919</v>
      </c>
      <c r="AE166" s="692">
        <v>4.8659850000000002</v>
      </c>
      <c r="AF166" s="692">
        <v>4.1930839999999998</v>
      </c>
      <c r="AG166" s="692">
        <v>4.8531180000000003</v>
      </c>
      <c r="AH166" s="692">
        <v>4.6878130000000002</v>
      </c>
      <c r="AI166" s="692">
        <v>4.09511</v>
      </c>
      <c r="AJ166" s="692">
        <f>27.143447-SUM(AE166:AI166)</f>
        <v>4.4483369999999987</v>
      </c>
      <c r="AK166" s="692">
        <v>4.7803699999999996</v>
      </c>
      <c r="AL166" s="692">
        <v>5.7011690000000002</v>
      </c>
      <c r="AM166" s="692">
        <v>4.4272039999999997</v>
      </c>
      <c r="AN166" s="692">
        <v>4.7228760000000003</v>
      </c>
      <c r="AO166" s="692">
        <v>5.1277710000000001</v>
      </c>
      <c r="AP166" s="693">
        <v>5.9361420000000038</v>
      </c>
      <c r="AQ166" s="692">
        <v>5.0823749999999999</v>
      </c>
      <c r="AR166" s="692">
        <f>AF166*1.1355</f>
        <v>4.761246882</v>
      </c>
      <c r="AS166" s="692">
        <v>5.0530730000000004</v>
      </c>
      <c r="AT166" s="692">
        <v>5.7457010000000004</v>
      </c>
      <c r="AU166" s="692">
        <v>4.3800299999999996</v>
      </c>
      <c r="AV166" s="692">
        <v>4.2652640000000002</v>
      </c>
      <c r="AW166" s="692">
        <v>5.3965490000000003</v>
      </c>
      <c r="AX166" s="692">
        <v>6.5199850000000001</v>
      </c>
      <c r="AY166" s="692">
        <v>4.5178929999999999</v>
      </c>
      <c r="AZ166" s="692">
        <v>4.6222719999999997</v>
      </c>
      <c r="BA166" s="692">
        <v>4.9756809999999998</v>
      </c>
      <c r="BB166" s="693">
        <v>5.3106150000000003</v>
      </c>
      <c r="BC166" s="692">
        <v>6.2746829999999996</v>
      </c>
      <c r="BD166" s="694">
        <v>3.6980234871794866</v>
      </c>
      <c r="BE166" s="694">
        <v>1.2751805128205127</v>
      </c>
      <c r="BF166" s="695"/>
      <c r="BG166" s="695"/>
      <c r="BH166" s="692">
        <v>2.0510130000000002</v>
      </c>
      <c r="BI166" s="692">
        <v>3.7431130000000001</v>
      </c>
      <c r="BJ166" s="692">
        <v>5.1444109999999998</v>
      </c>
      <c r="BK166" s="981">
        <v>7.4912039999999998</v>
      </c>
      <c r="BL166" s="981"/>
      <c r="BM166" s="981"/>
      <c r="BN166" s="982"/>
      <c r="BO166" s="692"/>
      <c r="BP166" s="692"/>
      <c r="BQ166" s="692"/>
      <c r="BR166" s="692"/>
      <c r="BS166" s="692"/>
      <c r="BT166" s="692"/>
      <c r="BU166" s="692"/>
      <c r="BV166" s="692"/>
      <c r="BW166" s="692"/>
      <c r="BX166" s="692"/>
      <c r="BY166" s="692"/>
      <c r="BZ166" s="693"/>
    </row>
    <row r="167" spans="1:78">
      <c r="A167" s="669" t="s">
        <v>460</v>
      </c>
      <c r="B167" s="692">
        <v>5.6902693803000011</v>
      </c>
      <c r="C167" s="692">
        <v>3.996</v>
      </c>
      <c r="D167" s="692">
        <v>3.1294199270000003</v>
      </c>
      <c r="E167" s="692">
        <v>2.8655015741352003</v>
      </c>
      <c r="F167" s="693">
        <v>4.1771250000000002</v>
      </c>
      <c r="G167" s="692">
        <v>4.1258344950000003</v>
      </c>
      <c r="H167" s="692">
        <v>3.84684925</v>
      </c>
      <c r="I167" s="692">
        <v>3.4907681730599998</v>
      </c>
      <c r="J167" s="692">
        <v>3.412016795</v>
      </c>
      <c r="K167" s="692">
        <v>2.9862333297000001</v>
      </c>
      <c r="L167" s="692">
        <v>3.5018189084000002</v>
      </c>
      <c r="M167" s="692">
        <v>4.0786590629999999</v>
      </c>
      <c r="N167" s="692">
        <v>5.2585430000000004</v>
      </c>
      <c r="O167" s="692">
        <v>3.5043000000000002</v>
      </c>
      <c r="P167" s="692">
        <v>3.7608700000000002</v>
      </c>
      <c r="Q167" s="692">
        <v>2.5169095952</v>
      </c>
      <c r="R167" s="693">
        <v>4.2300000000000004</v>
      </c>
      <c r="S167" s="692">
        <v>3.8740230000000002</v>
      </c>
      <c r="T167" s="692">
        <v>4.049315</v>
      </c>
      <c r="U167" s="692">
        <v>3.38745092</v>
      </c>
      <c r="V167" s="692">
        <v>4.1123500000000002</v>
      </c>
      <c r="W167" s="692">
        <v>3.076371</v>
      </c>
      <c r="X167" s="692">
        <v>3.163913</v>
      </c>
      <c r="Y167" s="692">
        <v>3.7740900000000002</v>
      </c>
      <c r="Z167" s="692">
        <v>5.6447700000000003</v>
      </c>
      <c r="AA167" s="692">
        <v>3.6624300000000001</v>
      </c>
      <c r="AB167" s="692">
        <v>3.034662</v>
      </c>
      <c r="AC167" s="692">
        <v>2.948582</v>
      </c>
      <c r="AD167" s="693">
        <v>4.0624760799999962</v>
      </c>
      <c r="AE167" s="692">
        <v>3.679373</v>
      </c>
      <c r="AF167" s="692">
        <v>3.5852469999999999</v>
      </c>
      <c r="AG167" s="692">
        <v>3.2671549999999998</v>
      </c>
      <c r="AH167" s="692">
        <v>3.84</v>
      </c>
      <c r="AI167" s="692">
        <v>3.4161269999999999</v>
      </c>
      <c r="AJ167" s="692">
        <f>21.11916-SUM(AE167:AI167)</f>
        <v>3.3312580000000018</v>
      </c>
      <c r="AK167" s="692">
        <v>3.5484650000000002</v>
      </c>
      <c r="AL167" s="692">
        <v>4.832374999999999</v>
      </c>
      <c r="AM167" s="692">
        <v>3.4460790000000001</v>
      </c>
      <c r="AN167" s="692">
        <v>2.7683369999999998</v>
      </c>
      <c r="AO167" s="692">
        <v>2.8906580000000002</v>
      </c>
      <c r="AP167" s="693">
        <v>4.2651019999999988</v>
      </c>
      <c r="AQ167" s="692">
        <v>3.8439230000000002</v>
      </c>
      <c r="AR167" s="692">
        <v>3.5812439999999999</v>
      </c>
      <c r="AS167" s="692">
        <v>3.5070109999999999</v>
      </c>
      <c r="AT167" s="692">
        <v>3.8030550000000001</v>
      </c>
      <c r="AU167" s="692">
        <v>3.8708390000000001</v>
      </c>
      <c r="AV167" s="692">
        <v>3.2150530000000002</v>
      </c>
      <c r="AW167" s="692">
        <v>3.5910359999999999</v>
      </c>
      <c r="AX167" s="692">
        <v>5.717962</v>
      </c>
      <c r="AY167" s="692">
        <v>3.6165579999999999</v>
      </c>
      <c r="AZ167" s="692">
        <v>3.0499299999999998</v>
      </c>
      <c r="BA167" s="692">
        <v>2.8906580000000002</v>
      </c>
      <c r="BB167" s="693">
        <v>3.8432080000000002</v>
      </c>
      <c r="BC167" s="692">
        <v>3.914431</v>
      </c>
      <c r="BD167" s="694">
        <v>3.2893844871794866</v>
      </c>
      <c r="BE167" s="694">
        <v>1.1342705128205126</v>
      </c>
      <c r="BF167" s="695"/>
      <c r="BG167" s="695"/>
      <c r="BH167" s="692">
        <v>1.663904</v>
      </c>
      <c r="BI167" s="692">
        <f>BI155+BI161</f>
        <v>2.9</v>
      </c>
      <c r="BJ167" s="692">
        <v>4.9230400000000003</v>
      </c>
      <c r="BK167" s="981">
        <v>5.7448610000000002</v>
      </c>
      <c r="BL167" s="981"/>
      <c r="BM167" s="981"/>
      <c r="BN167" s="982"/>
      <c r="BO167" s="692"/>
      <c r="BP167" s="692"/>
      <c r="BQ167" s="692"/>
      <c r="BR167" s="692"/>
      <c r="BS167" s="692"/>
      <c r="BT167" s="692"/>
      <c r="BU167" s="692"/>
      <c r="BV167" s="692"/>
      <c r="BW167" s="692"/>
      <c r="BX167" s="692"/>
      <c r="BY167" s="692"/>
      <c r="BZ167" s="693"/>
    </row>
    <row r="168" spans="1:78">
      <c r="A168" s="669" t="s">
        <v>461</v>
      </c>
      <c r="B168" s="692">
        <v>8.3050203048999993</v>
      </c>
      <c r="C168" s="692">
        <v>7.0949999999999998</v>
      </c>
      <c r="D168" s="692">
        <v>7.7183037690000011</v>
      </c>
      <c r="E168" s="692">
        <v>7.7997065363687996</v>
      </c>
      <c r="F168" s="693">
        <v>8.0297476000000003</v>
      </c>
      <c r="G168" s="692">
        <v>9.7071607370000024</v>
      </c>
      <c r="H168" s="692">
        <v>7.4161669584000007</v>
      </c>
      <c r="I168" s="692">
        <v>7.8577643458759994</v>
      </c>
      <c r="J168" s="692">
        <v>8.9611115072999983</v>
      </c>
      <c r="K168" s="692">
        <v>7.0641409776000001</v>
      </c>
      <c r="L168" s="692">
        <v>6.807271931199999</v>
      </c>
      <c r="M168" s="692">
        <v>6.7601867044999997</v>
      </c>
      <c r="N168" s="692">
        <v>8.2497469999999993</v>
      </c>
      <c r="O168" s="692">
        <v>9.0210509999999999</v>
      </c>
      <c r="P168" s="692">
        <v>8.8259620000000005</v>
      </c>
      <c r="Q168" s="692">
        <v>7.2019450936</v>
      </c>
      <c r="R168" s="693">
        <v>7.1559999999999997</v>
      </c>
      <c r="S168" s="692">
        <v>8.8585150000000006</v>
      </c>
      <c r="T168" s="692">
        <v>6.6908760000000003</v>
      </c>
      <c r="U168" s="692">
        <v>7.0321857400000001</v>
      </c>
      <c r="V168" s="692">
        <v>9.0690329999999992</v>
      </c>
      <c r="W168" s="692">
        <v>6.6567480000000003</v>
      </c>
      <c r="X168" s="692">
        <v>6.8188639999999996</v>
      </c>
      <c r="Y168" s="692">
        <v>7.0191949999999999</v>
      </c>
      <c r="Z168" s="692">
        <v>6.9906709999999999</v>
      </c>
      <c r="AA168" s="692">
        <v>7.5367800000000003</v>
      </c>
      <c r="AB168" s="692">
        <v>8.5406669999999991</v>
      </c>
      <c r="AC168" s="692">
        <v>6.9496719999999996</v>
      </c>
      <c r="AD168" s="693">
        <v>8.4309842600000025</v>
      </c>
      <c r="AE168" s="692">
        <v>8.8810479999999998</v>
      </c>
      <c r="AF168" s="692">
        <v>7.9052280000000001</v>
      </c>
      <c r="AG168" s="692">
        <v>8.7702159999999996</v>
      </c>
      <c r="AH168" s="692">
        <v>8.1435080000000042</v>
      </c>
      <c r="AI168" s="692">
        <v>7.3789569999999998</v>
      </c>
      <c r="AJ168" s="692">
        <f>48.415851-SUM(AE168:AI168)</f>
        <v>7.3368940000000009</v>
      </c>
      <c r="AK168" s="692">
        <v>7.6184609999999999</v>
      </c>
      <c r="AL168" s="692">
        <v>8.878482</v>
      </c>
      <c r="AM168" s="692">
        <v>8.8319980000000005</v>
      </c>
      <c r="AN168" s="692">
        <v>7.905608</v>
      </c>
      <c r="AO168" s="692">
        <v>8.3041339999999995</v>
      </c>
      <c r="AP168" s="693">
        <v>7.6306939999999912</v>
      </c>
      <c r="AQ168" s="692">
        <v>8.2376159999999992</v>
      </c>
      <c r="AR168" s="692">
        <v>6.9734040000000004</v>
      </c>
      <c r="AS168" s="692">
        <v>8.7898390000000006</v>
      </c>
      <c r="AT168" s="692">
        <v>8.062087</v>
      </c>
      <c r="AU168" s="692">
        <v>8.0899239999999999</v>
      </c>
      <c r="AV168" s="692">
        <v>5.956734</v>
      </c>
      <c r="AW168" s="692">
        <v>8.1513639999999992</v>
      </c>
      <c r="AX168" s="692">
        <v>9.1202500000000004</v>
      </c>
      <c r="AY168" s="692">
        <v>7.588355</v>
      </c>
      <c r="AZ168" s="692">
        <v>6.5459880000000004</v>
      </c>
      <c r="BA168" s="692">
        <v>7.1051760000000002</v>
      </c>
      <c r="BB168" s="693">
        <v>8.1799990000000005</v>
      </c>
      <c r="BC168" s="692">
        <v>9.8755889999999997</v>
      </c>
      <c r="BD168" s="694">
        <v>4.667615435897436</v>
      </c>
      <c r="BE168" s="694">
        <v>1.6095225641025643</v>
      </c>
      <c r="BF168" s="695"/>
      <c r="BG168" s="695"/>
      <c r="BH168" s="692">
        <v>2.2673420000000002</v>
      </c>
      <c r="BI168" s="692">
        <v>4.966113</v>
      </c>
      <c r="BJ168" s="692">
        <v>7.0694699999999999</v>
      </c>
      <c r="BK168" s="981">
        <v>11.108908</v>
      </c>
      <c r="BL168" s="981"/>
      <c r="BM168" s="981"/>
      <c r="BN168" s="982"/>
      <c r="BO168" s="692"/>
      <c r="BP168" s="692"/>
      <c r="BQ168" s="692"/>
      <c r="BR168" s="692"/>
      <c r="BS168" s="692"/>
      <c r="BT168" s="692"/>
      <c r="BU168" s="692"/>
      <c r="BV168" s="692"/>
      <c r="BW168" s="692"/>
      <c r="BX168" s="692"/>
      <c r="BY168" s="692"/>
      <c r="BZ168" s="693"/>
    </row>
    <row r="169" spans="1:78">
      <c r="A169" s="675" t="s">
        <v>464</v>
      </c>
      <c r="B169" s="700">
        <f t="shared" ref="B169:P169" si="560">SUM(B165:B168)</f>
        <v>27.134743844500001</v>
      </c>
      <c r="C169" s="700">
        <f t="shared" si="560"/>
        <v>23.418999999999997</v>
      </c>
      <c r="D169" s="700">
        <f t="shared" si="560"/>
        <v>24.380014052900002</v>
      </c>
      <c r="E169" s="700">
        <f t="shared" si="560"/>
        <v>23.43511088158488</v>
      </c>
      <c r="F169" s="701">
        <f t="shared" si="560"/>
        <v>28.3228726</v>
      </c>
      <c r="G169" s="700">
        <f t="shared" si="560"/>
        <v>28.130316772400004</v>
      </c>
      <c r="H169" s="700">
        <f t="shared" si="560"/>
        <v>22.448813298200001</v>
      </c>
      <c r="I169" s="700">
        <f t="shared" si="560"/>
        <v>24.783086004735999</v>
      </c>
      <c r="J169" s="700">
        <f t="shared" si="560"/>
        <v>25.409225099099999</v>
      </c>
      <c r="K169" s="700">
        <f t="shared" si="560"/>
        <v>22.096307130500001</v>
      </c>
      <c r="L169" s="700">
        <f t="shared" si="560"/>
        <v>22.060098106600002</v>
      </c>
      <c r="M169" s="700">
        <f t="shared" si="560"/>
        <v>22.557627270000001</v>
      </c>
      <c r="N169" s="700">
        <f t="shared" si="560"/>
        <v>25.190411999999998</v>
      </c>
      <c r="O169" s="700">
        <f t="shared" si="560"/>
        <v>23.875390000000003</v>
      </c>
      <c r="P169" s="700">
        <f t="shared" si="560"/>
        <v>26.494706000000001</v>
      </c>
      <c r="Q169" s="700">
        <f>SUM(Q153:Q156)</f>
        <v>13.782001989200001</v>
      </c>
      <c r="R169" s="701">
        <f t="shared" ref="R169:AE169" si="561">SUM(R165:R168)</f>
        <v>25.616999999999997</v>
      </c>
      <c r="S169" s="700">
        <f t="shared" si="561"/>
        <v>25.994841000000001</v>
      </c>
      <c r="T169" s="700">
        <f t="shared" si="561"/>
        <v>21.984484999999999</v>
      </c>
      <c r="U169" s="700">
        <f t="shared" si="561"/>
        <v>23.747070659999999</v>
      </c>
      <c r="V169" s="700">
        <f t="shared" si="561"/>
        <v>26.889856999999999</v>
      </c>
      <c r="W169" s="700">
        <f t="shared" si="561"/>
        <v>20.703955000000001</v>
      </c>
      <c r="X169" s="700">
        <f t="shared" si="561"/>
        <v>21.324466999999999</v>
      </c>
      <c r="Y169" s="700">
        <f t="shared" si="561"/>
        <v>23.183823</v>
      </c>
      <c r="Z169" s="700">
        <f t="shared" si="561"/>
        <v>25.156299999999998</v>
      </c>
      <c r="AA169" s="700">
        <f t="shared" si="561"/>
        <v>22.632026</v>
      </c>
      <c r="AB169" s="700">
        <f t="shared" si="561"/>
        <v>24.082457999999999</v>
      </c>
      <c r="AC169" s="700">
        <f>SUM(AC153:AC156)</f>
        <v>13.810338</v>
      </c>
      <c r="AD169" s="701">
        <f t="shared" si="561"/>
        <v>26.121666339999997</v>
      </c>
      <c r="AE169" s="700">
        <f t="shared" si="561"/>
        <v>24.939581</v>
      </c>
      <c r="AF169" s="700">
        <f t="shared" ref="AF169:AU169" si="562">SUM(AF165:AF168)</f>
        <v>21.750702</v>
      </c>
      <c r="AG169" s="700">
        <f t="shared" si="562"/>
        <v>24.226529999999997</v>
      </c>
      <c r="AH169" s="700">
        <f t="shared" si="562"/>
        <v>23.754962000000006</v>
      </c>
      <c r="AI169" s="700">
        <f t="shared" si="562"/>
        <v>21.152234</v>
      </c>
      <c r="AJ169" s="700">
        <f t="shared" si="562"/>
        <v>21.314726</v>
      </c>
      <c r="AK169" s="700">
        <f t="shared" si="562"/>
        <v>20.947994999999999</v>
      </c>
      <c r="AL169" s="700">
        <f t="shared" si="562"/>
        <v>19.412025999999997</v>
      </c>
      <c r="AM169" s="700">
        <f t="shared" si="562"/>
        <v>16.705280999999999</v>
      </c>
      <c r="AN169" s="700">
        <f t="shared" si="562"/>
        <v>15.396820999999999</v>
      </c>
      <c r="AO169" s="700">
        <f t="shared" si="562"/>
        <v>16.322563000000002</v>
      </c>
      <c r="AP169" s="701">
        <f t="shared" si="562"/>
        <v>17.831937999999994</v>
      </c>
      <c r="AQ169" s="700">
        <f t="shared" si="562"/>
        <v>17.163913999999998</v>
      </c>
      <c r="AR169" s="700">
        <f t="shared" si="562"/>
        <v>15.315894882</v>
      </c>
      <c r="AS169" s="700">
        <f t="shared" si="562"/>
        <v>17.349923</v>
      </c>
      <c r="AT169" s="700">
        <f t="shared" si="562"/>
        <v>17.610843000000003</v>
      </c>
      <c r="AU169" s="700">
        <f t="shared" si="562"/>
        <v>16.340792999999998</v>
      </c>
      <c r="AV169" s="700">
        <f t="shared" ref="AV169:BA169" si="563">SUM(AV165:AV168)</f>
        <v>13.437051</v>
      </c>
      <c r="AW169" s="700">
        <f t="shared" si="563"/>
        <v>17.138948999999997</v>
      </c>
      <c r="AX169" s="700">
        <f t="shared" si="563"/>
        <v>21.358197000000001</v>
      </c>
      <c r="AY169" s="700">
        <f t="shared" si="563"/>
        <v>15.722806</v>
      </c>
      <c r="AZ169" s="700">
        <f t="shared" si="563"/>
        <v>14.21819</v>
      </c>
      <c r="BA169" s="700">
        <f t="shared" si="563"/>
        <v>14.971515</v>
      </c>
      <c r="BB169" s="701">
        <f t="shared" ref="BB169:BJ169" si="564">SUM(BB165:BB168)</f>
        <v>17.333822000000001</v>
      </c>
      <c r="BC169" s="700">
        <f t="shared" si="564"/>
        <v>20.064703000000002</v>
      </c>
      <c r="BD169" s="700">
        <f t="shared" si="564"/>
        <v>11.655023410256408</v>
      </c>
      <c r="BE169" s="700">
        <f t="shared" si="564"/>
        <v>4.0189735897435899</v>
      </c>
      <c r="BF169" s="700">
        <f t="shared" si="564"/>
        <v>0</v>
      </c>
      <c r="BG169" s="700">
        <f t="shared" si="564"/>
        <v>0</v>
      </c>
      <c r="BH169" s="700">
        <f t="shared" si="564"/>
        <v>5.9822590000000009</v>
      </c>
      <c r="BI169" s="700">
        <f t="shared" si="564"/>
        <v>11.609226</v>
      </c>
      <c r="BJ169" s="700">
        <f t="shared" si="564"/>
        <v>17.136921000000001</v>
      </c>
      <c r="BK169" s="983">
        <f>SUM(BK166:BN168)</f>
        <v>24.344973</v>
      </c>
      <c r="BL169" s="983"/>
      <c r="BM169" s="983"/>
      <c r="BN169" s="984"/>
      <c r="BO169" s="700">
        <f t="shared" ref="BO169:BZ169" si="565">SUM(BO165:BO168)</f>
        <v>0</v>
      </c>
      <c r="BP169" s="700">
        <f t="shared" si="565"/>
        <v>0</v>
      </c>
      <c r="BQ169" s="700">
        <f t="shared" si="565"/>
        <v>0</v>
      </c>
      <c r="BR169" s="700">
        <f t="shared" si="565"/>
        <v>0</v>
      </c>
      <c r="BS169" s="700">
        <f t="shared" si="565"/>
        <v>0</v>
      </c>
      <c r="BT169" s="700">
        <f t="shared" si="565"/>
        <v>0</v>
      </c>
      <c r="BU169" s="700">
        <f t="shared" si="565"/>
        <v>0</v>
      </c>
      <c r="BV169" s="700">
        <f t="shared" si="565"/>
        <v>0</v>
      </c>
      <c r="BW169" s="700">
        <f t="shared" si="565"/>
        <v>0</v>
      </c>
      <c r="BX169" s="700">
        <f t="shared" si="565"/>
        <v>0</v>
      </c>
      <c r="BY169" s="700">
        <f t="shared" si="565"/>
        <v>0</v>
      </c>
      <c r="BZ169" s="701">
        <f t="shared" si="565"/>
        <v>0</v>
      </c>
    </row>
    <row r="170" spans="1:78">
      <c r="A170" s="669"/>
      <c r="B170" s="665"/>
      <c r="C170" s="665"/>
      <c r="D170" s="665"/>
      <c r="E170" s="665"/>
      <c r="F170" s="684"/>
      <c r="G170" s="665"/>
      <c r="H170" s="665"/>
      <c r="I170" s="665"/>
      <c r="J170" s="665"/>
      <c r="K170" s="665"/>
      <c r="L170" s="665"/>
      <c r="M170" s="665"/>
      <c r="N170" s="665"/>
      <c r="O170" s="665"/>
      <c r="P170" s="665"/>
      <c r="Q170" s="665"/>
      <c r="R170" s="672"/>
      <c r="S170" s="665"/>
      <c r="T170" s="665"/>
      <c r="U170" s="665"/>
      <c r="V170" s="665"/>
      <c r="W170" s="665"/>
      <c r="X170" s="665"/>
      <c r="Y170" s="665"/>
      <c r="Z170" s="665"/>
      <c r="AA170" s="665"/>
      <c r="AB170" s="665"/>
      <c r="AC170" s="665"/>
      <c r="AD170" s="672"/>
      <c r="AE170" s="665"/>
      <c r="AF170" s="665"/>
      <c r="AG170" s="665"/>
      <c r="AH170" s="665"/>
      <c r="AI170" s="665"/>
      <c r="AJ170" s="665"/>
      <c r="AK170" s="665"/>
      <c r="AL170" s="665"/>
      <c r="AM170" s="665"/>
      <c r="AN170" s="665"/>
      <c r="AO170" s="665"/>
      <c r="AP170" s="672"/>
      <c r="AQ170" s="665"/>
      <c r="AR170" s="665"/>
      <c r="AS170" s="665"/>
      <c r="AT170" s="665"/>
      <c r="AU170" s="665"/>
      <c r="AV170" s="665"/>
      <c r="AW170" s="665"/>
      <c r="AX170" s="665"/>
      <c r="AY170" s="665"/>
      <c r="AZ170" s="665"/>
      <c r="BA170" s="665"/>
      <c r="BB170" s="672"/>
      <c r="BC170" s="665"/>
      <c r="BD170" s="665"/>
      <c r="BE170" s="665"/>
      <c r="BF170" s="665"/>
      <c r="BG170" s="665"/>
      <c r="BH170" s="665"/>
      <c r="BI170" s="665"/>
      <c r="BJ170" s="665"/>
      <c r="BK170" s="665"/>
      <c r="BL170" s="665"/>
      <c r="BM170" s="665"/>
      <c r="BN170" s="672"/>
      <c r="BO170" s="665"/>
      <c r="BP170" s="665"/>
      <c r="BQ170" s="665"/>
      <c r="BR170" s="665"/>
      <c r="BS170" s="665"/>
      <c r="BT170" s="665"/>
      <c r="BU170" s="665"/>
      <c r="BV170" s="665"/>
      <c r="BW170" s="665"/>
      <c r="BX170" s="665"/>
      <c r="BY170" s="665"/>
      <c r="BZ170" s="672"/>
    </row>
    <row r="171" spans="1:78">
      <c r="A171" s="669" t="s">
        <v>458</v>
      </c>
      <c r="B171" s="677">
        <v>63401.1008</v>
      </c>
      <c r="C171" s="677">
        <v>58851.433499999999</v>
      </c>
      <c r="D171" s="677">
        <v>61019.441000000006</v>
      </c>
      <c r="E171" s="677">
        <v>55854.908512000002</v>
      </c>
      <c r="F171" s="678">
        <v>61740</v>
      </c>
      <c r="G171" s="677">
        <v>68030.680099999998</v>
      </c>
      <c r="H171" s="677">
        <v>52338.025499999996</v>
      </c>
      <c r="I171" s="677">
        <v>59944.824000000001</v>
      </c>
      <c r="J171" s="677">
        <v>61129.260800000004</v>
      </c>
      <c r="K171" s="677">
        <v>57973.611500000006</v>
      </c>
      <c r="L171" s="677">
        <v>57194.8</v>
      </c>
      <c r="M171" s="677">
        <v>54606.797999999995</v>
      </c>
      <c r="N171" s="677">
        <v>55576</v>
      </c>
      <c r="O171" s="677">
        <v>56779</v>
      </c>
      <c r="P171" s="677">
        <v>65690</v>
      </c>
      <c r="Q171" s="677">
        <v>53706.642800000001</v>
      </c>
      <c r="R171" s="678">
        <v>58440</v>
      </c>
      <c r="S171" s="677">
        <v>62603</v>
      </c>
      <c r="T171" s="677">
        <v>49213</v>
      </c>
      <c r="U171" s="677">
        <v>60240</v>
      </c>
      <c r="V171" s="677">
        <v>60548</v>
      </c>
      <c r="W171" s="677">
        <v>54095</v>
      </c>
      <c r="X171" s="677">
        <v>54995</v>
      </c>
      <c r="Y171" s="677">
        <v>53694</v>
      </c>
      <c r="Z171" s="677">
        <v>52640</v>
      </c>
      <c r="AA171" s="677">
        <v>53176</v>
      </c>
      <c r="AB171" s="677">
        <v>52772</v>
      </c>
      <c r="AC171" s="677">
        <v>54926</v>
      </c>
      <c r="AD171" s="678">
        <v>53050</v>
      </c>
      <c r="AE171" s="677">
        <v>56830</v>
      </c>
      <c r="AF171" s="677">
        <v>44672</v>
      </c>
      <c r="AG171" s="677">
        <v>48102</v>
      </c>
      <c r="AH171" s="677">
        <v>52781</v>
      </c>
      <c r="AI171" s="677">
        <v>46334</v>
      </c>
      <c r="AJ171" s="677">
        <f>288848-SUM(AE171:AI171)</f>
        <v>40129</v>
      </c>
      <c r="AK171" s="677">
        <v>32739</v>
      </c>
      <c r="AL171" s="689"/>
      <c r="AM171" s="689"/>
      <c r="AN171" s="689"/>
      <c r="AO171" s="689"/>
      <c r="AP171" s="690"/>
      <c r="AQ171" s="689"/>
      <c r="AR171" s="689"/>
      <c r="AS171" s="689"/>
      <c r="AT171" s="689"/>
      <c r="AU171" s="689"/>
      <c r="AV171" s="689"/>
      <c r="AW171" s="689"/>
      <c r="AX171" s="689"/>
      <c r="AY171" s="689"/>
      <c r="AZ171" s="689"/>
      <c r="BA171" s="689"/>
      <c r="BB171" s="690"/>
      <c r="BC171" s="689"/>
      <c r="BD171" s="702"/>
      <c r="BE171" s="702"/>
      <c r="BF171" s="702"/>
      <c r="BG171" s="702"/>
      <c r="BH171" s="702"/>
      <c r="BI171" s="702"/>
      <c r="BJ171" s="702"/>
      <c r="BK171" s="695"/>
      <c r="BL171" s="695"/>
      <c r="BM171" s="695"/>
      <c r="BN171" s="696"/>
      <c r="BO171" s="665"/>
      <c r="BP171" s="665"/>
      <c r="BQ171" s="665"/>
      <c r="BR171" s="665"/>
      <c r="BS171" s="665"/>
      <c r="BT171" s="665"/>
      <c r="BU171" s="665"/>
      <c r="BV171" s="665"/>
      <c r="BW171" s="665"/>
      <c r="BX171" s="665"/>
      <c r="BY171" s="665"/>
      <c r="BZ171" s="672"/>
    </row>
    <row r="172" spans="1:78">
      <c r="A172" s="669" t="s">
        <v>459</v>
      </c>
      <c r="B172" s="677">
        <v>53845.467299999997</v>
      </c>
      <c r="C172" s="677">
        <v>34310.534</v>
      </c>
      <c r="D172" s="677">
        <v>37619.546300000002</v>
      </c>
      <c r="E172" s="677">
        <v>33584.134296000004</v>
      </c>
      <c r="F172" s="678">
        <v>48430</v>
      </c>
      <c r="G172" s="677">
        <v>43848.317599999995</v>
      </c>
      <c r="H172" s="677">
        <v>33700</v>
      </c>
      <c r="I172" s="677">
        <v>33400.878000000004</v>
      </c>
      <c r="J172" s="677">
        <v>34501.239000000001</v>
      </c>
      <c r="K172" s="677">
        <v>32009.0641</v>
      </c>
      <c r="L172" s="677">
        <v>32397.434399999998</v>
      </c>
      <c r="M172" s="677">
        <v>30847.942999999999</v>
      </c>
      <c r="N172" s="677">
        <v>44067</v>
      </c>
      <c r="O172" s="677">
        <v>31492</v>
      </c>
      <c r="P172" s="677">
        <v>33401</v>
      </c>
      <c r="Q172" s="677">
        <v>30961.68</v>
      </c>
      <c r="R172" s="678">
        <v>42140</v>
      </c>
      <c r="S172" s="677">
        <v>40324</v>
      </c>
      <c r="T172" s="677">
        <v>30920</v>
      </c>
      <c r="U172" s="677">
        <v>29540</v>
      </c>
      <c r="V172" s="677">
        <v>31638</v>
      </c>
      <c r="W172" s="677">
        <v>24011</v>
      </c>
      <c r="X172" s="677">
        <v>24116</v>
      </c>
      <c r="Y172" s="677">
        <v>29407</v>
      </c>
      <c r="Z172" s="677">
        <v>37594</v>
      </c>
      <c r="AA172" s="677">
        <v>27182</v>
      </c>
      <c r="AB172" s="677">
        <v>27178</v>
      </c>
      <c r="AC172" s="677">
        <v>26128</v>
      </c>
      <c r="AD172" s="678">
        <v>32240</v>
      </c>
      <c r="AE172" s="677">
        <v>30850</v>
      </c>
      <c r="AF172" s="677">
        <v>23655</v>
      </c>
      <c r="AG172" s="677">
        <v>26114</v>
      </c>
      <c r="AH172" s="677">
        <v>28443</v>
      </c>
      <c r="AI172" s="677">
        <v>24088</v>
      </c>
      <c r="AJ172" s="677">
        <f>164231-SUM(AE172:AI172)</f>
        <v>31081</v>
      </c>
      <c r="AK172" s="677">
        <v>29234</v>
      </c>
      <c r="AL172" s="677">
        <v>26902.441117789785</v>
      </c>
      <c r="AM172" s="677">
        <v>26694</v>
      </c>
      <c r="AN172" s="677">
        <v>26694</v>
      </c>
      <c r="AO172" s="677">
        <v>26928</v>
      </c>
      <c r="AP172" s="678">
        <v>49994.558882210229</v>
      </c>
      <c r="AQ172" s="677">
        <v>29724</v>
      </c>
      <c r="AR172" s="677">
        <f>AF172*1.0168</f>
        <v>24052.403999999999</v>
      </c>
      <c r="AS172" s="677">
        <v>28234</v>
      </c>
      <c r="AT172" s="677">
        <f>ROUND(AH172*(1-0.0499),0)</f>
        <v>27024</v>
      </c>
      <c r="AU172" s="677">
        <f>ROUND(AI172*(1-0.0007),0)</f>
        <v>24071</v>
      </c>
      <c r="AV172" s="677">
        <f>ROUND(AJ172*0.985,0)</f>
        <v>30615</v>
      </c>
      <c r="AW172" s="677">
        <v>27281</v>
      </c>
      <c r="AX172" s="677">
        <v>27179</v>
      </c>
      <c r="AY172" s="677">
        <v>26802</v>
      </c>
      <c r="AZ172" s="677">
        <v>25996</v>
      </c>
      <c r="BA172" s="677">
        <v>28418</v>
      </c>
      <c r="BB172" s="678">
        <v>38462</v>
      </c>
      <c r="BC172" s="677">
        <v>35495</v>
      </c>
      <c r="BD172" s="702"/>
      <c r="BE172" s="702"/>
      <c r="BF172" s="702"/>
      <c r="BG172" s="702"/>
      <c r="BH172" s="677">
        <v>10605</v>
      </c>
      <c r="BI172" s="677">
        <v>22424</v>
      </c>
      <c r="BJ172" s="677">
        <v>32085</v>
      </c>
      <c r="BK172" s="677"/>
      <c r="BL172" s="677"/>
      <c r="BM172" s="677"/>
      <c r="BN172" s="678"/>
      <c r="BO172" s="677"/>
      <c r="BP172" s="677"/>
      <c r="BQ172" s="677"/>
      <c r="BR172" s="677"/>
      <c r="BS172" s="677"/>
      <c r="BT172" s="677"/>
      <c r="BU172" s="677"/>
      <c r="BV172" s="677"/>
      <c r="BW172" s="677"/>
      <c r="BX172" s="677"/>
      <c r="BY172" s="677"/>
      <c r="BZ172" s="678"/>
    </row>
    <row r="173" spans="1:78">
      <c r="A173" s="669" t="s">
        <v>460</v>
      </c>
      <c r="B173" s="677">
        <v>31493.315500000001</v>
      </c>
      <c r="C173" s="677">
        <v>17648.715500000002</v>
      </c>
      <c r="D173" s="677">
        <v>14731.3308</v>
      </c>
      <c r="E173" s="677">
        <v>15832.774659800001</v>
      </c>
      <c r="F173" s="678">
        <v>24920</v>
      </c>
      <c r="G173" s="677">
        <v>21817.741000000002</v>
      </c>
      <c r="H173" s="677">
        <v>20460</v>
      </c>
      <c r="I173" s="677">
        <v>18680.0376</v>
      </c>
      <c r="J173" s="677">
        <v>19348.531800000001</v>
      </c>
      <c r="K173" s="677">
        <v>15759.459199999999</v>
      </c>
      <c r="L173" s="677">
        <v>16652</v>
      </c>
      <c r="M173" s="677">
        <v>18821.948</v>
      </c>
      <c r="N173" s="677">
        <v>28885</v>
      </c>
      <c r="O173" s="677">
        <v>16913</v>
      </c>
      <c r="P173" s="677">
        <v>17268</v>
      </c>
      <c r="Q173" s="677">
        <v>12591.677</v>
      </c>
      <c r="R173" s="678">
        <v>17850</v>
      </c>
      <c r="S173" s="677">
        <v>18898</v>
      </c>
      <c r="T173" s="677">
        <v>19340</v>
      </c>
      <c r="U173" s="677">
        <v>15848</v>
      </c>
      <c r="V173" s="677">
        <v>20758</v>
      </c>
      <c r="W173" s="99">
        <v>14176</v>
      </c>
      <c r="X173" s="677">
        <v>14480</v>
      </c>
      <c r="Y173" s="677">
        <v>16972</v>
      </c>
      <c r="Z173" s="677">
        <v>27025</v>
      </c>
      <c r="AA173" s="677">
        <v>16650</v>
      </c>
      <c r="AB173" s="677">
        <v>13464</v>
      </c>
      <c r="AC173" s="677">
        <v>11494</v>
      </c>
      <c r="AD173" s="678">
        <v>14480</v>
      </c>
      <c r="AE173" s="677">
        <v>15330</v>
      </c>
      <c r="AF173" s="677">
        <v>15685</v>
      </c>
      <c r="AG173" s="677">
        <v>15780</v>
      </c>
      <c r="AH173" s="677">
        <v>16510</v>
      </c>
      <c r="AI173" s="677">
        <v>13526</v>
      </c>
      <c r="AJ173" s="677">
        <f>92241-SUM(AE173:AI173)</f>
        <v>15410</v>
      </c>
      <c r="AK173" s="677">
        <v>15398</v>
      </c>
      <c r="AL173" s="677">
        <v>14967.833248793191</v>
      </c>
      <c r="AM173" s="677">
        <v>14967.833248793191</v>
      </c>
      <c r="AN173" s="677">
        <v>12045</v>
      </c>
      <c r="AO173" s="677">
        <v>11001</v>
      </c>
      <c r="AP173" s="678">
        <v>28057.333502413618</v>
      </c>
      <c r="AQ173" s="677">
        <v>15964</v>
      </c>
      <c r="AR173" s="677">
        <v>16145</v>
      </c>
      <c r="AS173" s="677">
        <v>14940</v>
      </c>
      <c r="AT173" s="677">
        <v>16489</v>
      </c>
      <c r="AU173" s="677">
        <v>19001</v>
      </c>
      <c r="AV173" s="677">
        <v>14084</v>
      </c>
      <c r="AW173" s="677">
        <v>15389</v>
      </c>
      <c r="AX173" s="677">
        <v>14792</v>
      </c>
      <c r="AY173" s="677">
        <v>14387</v>
      </c>
      <c r="AZ173" s="677">
        <v>13209</v>
      </c>
      <c r="BA173" s="677">
        <v>10904</v>
      </c>
      <c r="BB173" s="678">
        <v>16982</v>
      </c>
      <c r="BC173" s="677">
        <v>15748</v>
      </c>
      <c r="BD173" s="702"/>
      <c r="BE173" s="702"/>
      <c r="BF173" s="702"/>
      <c r="BG173" s="713"/>
      <c r="BH173" s="677">
        <v>5304</v>
      </c>
      <c r="BI173" s="677">
        <f>ROUND(AW173*0.8,0)</f>
        <v>12311</v>
      </c>
      <c r="BJ173" s="677">
        <v>14792</v>
      </c>
      <c r="BK173" s="677"/>
      <c r="BL173" s="677"/>
      <c r="BM173" s="677"/>
      <c r="BN173" s="678"/>
      <c r="BO173" s="677"/>
      <c r="BP173" s="677"/>
      <c r="BQ173" s="677"/>
      <c r="BR173" s="677"/>
      <c r="BS173" s="677"/>
      <c r="BT173" s="677"/>
      <c r="BU173" s="677"/>
      <c r="BV173" s="677"/>
      <c r="BW173" s="677"/>
      <c r="BX173" s="677"/>
      <c r="BY173" s="677"/>
      <c r="BZ173" s="678"/>
    </row>
    <row r="174" spans="1:78">
      <c r="A174" s="669" t="s">
        <v>461</v>
      </c>
      <c r="B174" s="677">
        <v>80511.939499999993</v>
      </c>
      <c r="C174" s="677">
        <v>60335.606100000005</v>
      </c>
      <c r="D174" s="677">
        <v>64902.49</v>
      </c>
      <c r="E174" s="677">
        <v>55059.861966000004</v>
      </c>
      <c r="F174" s="678">
        <v>51740</v>
      </c>
      <c r="G174" s="677">
        <v>69644.452499999999</v>
      </c>
      <c r="H174" s="677">
        <v>56010</v>
      </c>
      <c r="I174" s="677">
        <v>62634.382000000005</v>
      </c>
      <c r="J174" s="677">
        <v>61188.520499999999</v>
      </c>
      <c r="K174" s="677">
        <v>56909.9</v>
      </c>
      <c r="L174" s="677">
        <v>54757.129000000008</v>
      </c>
      <c r="M174" s="677">
        <v>55913.845999999998</v>
      </c>
      <c r="N174" s="677">
        <v>73093</v>
      </c>
      <c r="O174" s="677">
        <v>61523</v>
      </c>
      <c r="P174" s="677">
        <v>66635</v>
      </c>
      <c r="Q174" s="677">
        <v>59414.98</v>
      </c>
      <c r="R174" s="678">
        <v>61650</v>
      </c>
      <c r="S174" s="677">
        <v>69819</v>
      </c>
      <c r="T174" s="677">
        <v>57100</v>
      </c>
      <c r="U174" s="677">
        <v>65435</v>
      </c>
      <c r="V174" s="677">
        <v>67649</v>
      </c>
      <c r="W174" s="677">
        <v>58670</v>
      </c>
      <c r="X174" s="677">
        <v>52885</v>
      </c>
      <c r="Y174" s="677">
        <v>68438</v>
      </c>
      <c r="Z174" s="677">
        <v>77036</v>
      </c>
      <c r="AA174" s="677">
        <v>66135</v>
      </c>
      <c r="AB174" s="677">
        <v>67881</v>
      </c>
      <c r="AC174" s="677">
        <v>65435</v>
      </c>
      <c r="AD174" s="678">
        <v>59210</v>
      </c>
      <c r="AE174" s="677">
        <v>67062</v>
      </c>
      <c r="AF174" s="677">
        <v>56256</v>
      </c>
      <c r="AG174" s="677">
        <v>58710</v>
      </c>
      <c r="AH174" s="677">
        <v>64220</v>
      </c>
      <c r="AI174" s="677">
        <v>56413</v>
      </c>
      <c r="AJ174" s="677">
        <f>354295-SUM(AE174:AI174)</f>
        <v>51634</v>
      </c>
      <c r="AK174" s="677">
        <v>54323</v>
      </c>
      <c r="AL174" s="677">
        <v>56820.725633417031</v>
      </c>
      <c r="AM174" s="677">
        <v>59744</v>
      </c>
      <c r="AN174" s="677">
        <v>58687</v>
      </c>
      <c r="AO174" s="677">
        <v>57663</v>
      </c>
      <c r="AP174" s="678">
        <v>79117.274366582977</v>
      </c>
      <c r="AQ174" s="677">
        <v>64603</v>
      </c>
      <c r="AR174" s="677">
        <v>57016</v>
      </c>
      <c r="AS174" s="677">
        <v>63917</v>
      </c>
      <c r="AT174" s="677">
        <v>58106</v>
      </c>
      <c r="AU174" s="677">
        <v>56257</v>
      </c>
      <c r="AV174" s="677">
        <v>49069</v>
      </c>
      <c r="AW174" s="677">
        <v>51666</v>
      </c>
      <c r="AX174" s="677">
        <v>55207</v>
      </c>
      <c r="AY174" s="677">
        <v>56864</v>
      </c>
      <c r="AZ174" s="677">
        <v>58774</v>
      </c>
      <c r="BA174" s="677">
        <v>56621</v>
      </c>
      <c r="BB174" s="678">
        <v>60967</v>
      </c>
      <c r="BC174" s="677">
        <v>59792</v>
      </c>
      <c r="BD174" s="702"/>
      <c r="BE174" s="702"/>
      <c r="BF174" s="702"/>
      <c r="BG174" s="702"/>
      <c r="BH174" s="677">
        <v>13823</v>
      </c>
      <c r="BI174" s="677">
        <v>35942</v>
      </c>
      <c r="BJ174" s="677">
        <v>42929</v>
      </c>
      <c r="BK174" s="677"/>
      <c r="BL174" s="677"/>
      <c r="BM174" s="677"/>
      <c r="BN174" s="678"/>
      <c r="BO174" s="677"/>
      <c r="BP174" s="677"/>
      <c r="BQ174" s="677"/>
      <c r="BR174" s="677"/>
      <c r="BS174" s="677"/>
      <c r="BT174" s="677"/>
      <c r="BU174" s="677"/>
      <c r="BV174" s="677"/>
      <c r="BW174" s="677"/>
      <c r="BX174" s="677"/>
      <c r="BY174" s="677"/>
      <c r="BZ174" s="678"/>
    </row>
    <row r="175" spans="1:78">
      <c r="A175" s="673" t="s">
        <v>465</v>
      </c>
      <c r="B175" s="679">
        <f t="shared" ref="B175:AJ175" si="566">SUM(B171:B174)</f>
        <v>229251.82309999998</v>
      </c>
      <c r="C175" s="679">
        <f t="shared" si="566"/>
        <v>171146.28909999999</v>
      </c>
      <c r="D175" s="679">
        <f t="shared" si="566"/>
        <v>178272.80809999999</v>
      </c>
      <c r="E175" s="679">
        <f t="shared" si="566"/>
        <v>160331.67943379999</v>
      </c>
      <c r="F175" s="680">
        <f>SUM(F171:F174)</f>
        <v>186830</v>
      </c>
      <c r="G175" s="679">
        <f t="shared" si="566"/>
        <v>203341.1912</v>
      </c>
      <c r="H175" s="679">
        <f t="shared" si="566"/>
        <v>162508.02549999999</v>
      </c>
      <c r="I175" s="679">
        <f t="shared" si="566"/>
        <v>174660.12160000001</v>
      </c>
      <c r="J175" s="679">
        <f t="shared" si="566"/>
        <v>176167.5521</v>
      </c>
      <c r="K175" s="679">
        <f t="shared" si="566"/>
        <v>162652.03479999999</v>
      </c>
      <c r="L175" s="679">
        <f t="shared" si="566"/>
        <v>161001.3634</v>
      </c>
      <c r="M175" s="679">
        <f t="shared" si="566"/>
        <v>160190.535</v>
      </c>
      <c r="N175" s="679">
        <f t="shared" si="566"/>
        <v>201621</v>
      </c>
      <c r="O175" s="679">
        <f t="shared" si="566"/>
        <v>166707</v>
      </c>
      <c r="P175" s="679">
        <f t="shared" si="566"/>
        <v>182994</v>
      </c>
      <c r="Q175" s="679">
        <f t="shared" si="566"/>
        <v>156674.9798</v>
      </c>
      <c r="R175" s="680">
        <f>SUM(R171:R174)</f>
        <v>180080</v>
      </c>
      <c r="S175" s="679">
        <f t="shared" si="566"/>
        <v>191644</v>
      </c>
      <c r="T175" s="679">
        <f t="shared" ref="T175" si="567">SUM(T171:T174)</f>
        <v>156573</v>
      </c>
      <c r="U175" s="679">
        <f t="shared" si="566"/>
        <v>171063</v>
      </c>
      <c r="V175" s="679">
        <f t="shared" si="566"/>
        <v>180593</v>
      </c>
      <c r="W175" s="679">
        <f t="shared" si="566"/>
        <v>150952</v>
      </c>
      <c r="X175" s="679">
        <f t="shared" si="566"/>
        <v>146476</v>
      </c>
      <c r="Y175" s="679">
        <f t="shared" si="566"/>
        <v>168511</v>
      </c>
      <c r="Z175" s="679">
        <f t="shared" si="566"/>
        <v>194295</v>
      </c>
      <c r="AA175" s="679">
        <f t="shared" si="566"/>
        <v>163143</v>
      </c>
      <c r="AB175" s="679">
        <f t="shared" si="566"/>
        <v>161295</v>
      </c>
      <c r="AC175" s="679">
        <f t="shared" si="566"/>
        <v>157983</v>
      </c>
      <c r="AD175" s="680">
        <f t="shared" si="566"/>
        <v>158980</v>
      </c>
      <c r="AE175" s="679">
        <f t="shared" si="566"/>
        <v>170072</v>
      </c>
      <c r="AF175" s="679">
        <f t="shared" si="566"/>
        <v>140268</v>
      </c>
      <c r="AG175" s="679">
        <f t="shared" si="566"/>
        <v>148706</v>
      </c>
      <c r="AH175" s="679">
        <f t="shared" si="566"/>
        <v>161954</v>
      </c>
      <c r="AI175" s="679">
        <f t="shared" si="566"/>
        <v>140361</v>
      </c>
      <c r="AJ175" s="679">
        <f t="shared" si="566"/>
        <v>138254</v>
      </c>
      <c r="AK175" s="679">
        <f t="shared" ref="AK175:AU175" si="568">SUM(AK171:AK174)</f>
        <v>131694</v>
      </c>
      <c r="AL175" s="679">
        <f t="shared" si="568"/>
        <v>98691</v>
      </c>
      <c r="AM175" s="679">
        <f t="shared" si="568"/>
        <v>101405.83324879319</v>
      </c>
      <c r="AN175" s="679">
        <f t="shared" si="568"/>
        <v>97426</v>
      </c>
      <c r="AO175" s="679">
        <f t="shared" si="568"/>
        <v>95592</v>
      </c>
      <c r="AP175" s="680">
        <f t="shared" si="568"/>
        <v>157169.16675120682</v>
      </c>
      <c r="AQ175" s="679">
        <f t="shared" si="568"/>
        <v>110291</v>
      </c>
      <c r="AR175" s="679">
        <f t="shared" si="568"/>
        <v>97213.403999999995</v>
      </c>
      <c r="AS175" s="679">
        <f t="shared" si="568"/>
        <v>107091</v>
      </c>
      <c r="AT175" s="679">
        <f t="shared" si="568"/>
        <v>101619</v>
      </c>
      <c r="AU175" s="679">
        <f t="shared" si="568"/>
        <v>99329</v>
      </c>
      <c r="AV175" s="679">
        <f t="shared" ref="AV175:AZ175" si="569">SUM(AV171:AV174)</f>
        <v>93768</v>
      </c>
      <c r="AW175" s="679">
        <f t="shared" si="569"/>
        <v>94336</v>
      </c>
      <c r="AX175" s="679">
        <f t="shared" si="569"/>
        <v>97178</v>
      </c>
      <c r="AY175" s="679">
        <f t="shared" si="569"/>
        <v>98053</v>
      </c>
      <c r="AZ175" s="679">
        <f t="shared" si="569"/>
        <v>97979</v>
      </c>
      <c r="BA175" s="679">
        <f t="shared" ref="BA175:BN175" si="570">SUM(BA171:BA174)</f>
        <v>95943</v>
      </c>
      <c r="BB175" s="680">
        <f t="shared" si="570"/>
        <v>116411</v>
      </c>
      <c r="BC175" s="679">
        <f t="shared" si="570"/>
        <v>111035</v>
      </c>
      <c r="BD175" s="679"/>
      <c r="BE175" s="679"/>
      <c r="BF175" s="679"/>
      <c r="BG175" s="679"/>
      <c r="BH175" s="679">
        <f t="shared" si="570"/>
        <v>29732</v>
      </c>
      <c r="BI175" s="679">
        <f t="shared" si="570"/>
        <v>70677</v>
      </c>
      <c r="BJ175" s="679">
        <f t="shared" si="570"/>
        <v>89806</v>
      </c>
      <c r="BK175" s="679">
        <f t="shared" si="570"/>
        <v>0</v>
      </c>
      <c r="BL175" s="679">
        <f t="shared" si="570"/>
        <v>0</v>
      </c>
      <c r="BM175" s="679">
        <f t="shared" si="570"/>
        <v>0</v>
      </c>
      <c r="BN175" s="680">
        <f t="shared" si="570"/>
        <v>0</v>
      </c>
      <c r="BO175" s="679">
        <f t="shared" ref="BO175:BZ175" si="571">SUM(BO171:BO174)</f>
        <v>0</v>
      </c>
      <c r="BP175" s="679">
        <f t="shared" si="571"/>
        <v>0</v>
      </c>
      <c r="BQ175" s="679">
        <f t="shared" si="571"/>
        <v>0</v>
      </c>
      <c r="BR175" s="679">
        <f t="shared" si="571"/>
        <v>0</v>
      </c>
      <c r="BS175" s="679">
        <f t="shared" si="571"/>
        <v>0</v>
      </c>
      <c r="BT175" s="679">
        <f t="shared" si="571"/>
        <v>0</v>
      </c>
      <c r="BU175" s="679">
        <f t="shared" si="571"/>
        <v>0</v>
      </c>
      <c r="BV175" s="679">
        <f t="shared" si="571"/>
        <v>0</v>
      </c>
      <c r="BW175" s="679">
        <f t="shared" si="571"/>
        <v>0</v>
      </c>
      <c r="BX175" s="679">
        <f t="shared" si="571"/>
        <v>0</v>
      </c>
      <c r="BY175" s="679">
        <f t="shared" si="571"/>
        <v>0</v>
      </c>
      <c r="BZ175" s="680">
        <f t="shared" si="571"/>
        <v>0</v>
      </c>
    </row>
    <row r="176" spans="1:78">
      <c r="A176" s="669"/>
      <c r="B176" s="665"/>
      <c r="C176" s="665"/>
      <c r="D176" s="665"/>
      <c r="E176" s="665"/>
      <c r="F176" s="672"/>
      <c r="G176" s="665"/>
      <c r="H176" s="665"/>
      <c r="I176" s="665"/>
      <c r="J176" s="665"/>
      <c r="K176" s="665"/>
      <c r="L176" s="665"/>
      <c r="M176" s="665"/>
      <c r="N176" s="665"/>
      <c r="O176" s="665"/>
      <c r="P176" s="665"/>
      <c r="Q176" s="665"/>
      <c r="R176" s="684"/>
      <c r="S176" s="665"/>
      <c r="T176" s="665"/>
      <c r="U176" s="665"/>
      <c r="V176" s="665"/>
      <c r="W176" s="665"/>
      <c r="X176" s="665"/>
      <c r="Y176" s="665"/>
      <c r="Z176" s="665"/>
      <c r="AA176" s="665"/>
      <c r="AB176" s="665"/>
      <c r="AC176" s="665"/>
      <c r="AD176" s="684"/>
      <c r="AE176" s="665"/>
      <c r="AF176" s="665"/>
      <c r="AG176" s="665"/>
      <c r="AH176" s="665"/>
      <c r="AI176" s="665"/>
      <c r="AJ176" s="665"/>
      <c r="AK176" s="665"/>
      <c r="AL176" s="665"/>
      <c r="AM176" s="665"/>
      <c r="AN176" s="665"/>
      <c r="AO176" s="665"/>
      <c r="AP176" s="684"/>
      <c r="AQ176" s="665"/>
      <c r="AR176" s="665"/>
      <c r="AS176" s="665"/>
      <c r="AT176" s="665"/>
      <c r="AU176" s="665"/>
      <c r="AV176" s="665"/>
      <c r="AW176" s="665"/>
      <c r="AX176" s="665"/>
      <c r="AY176" s="665"/>
      <c r="AZ176" s="665"/>
      <c r="BA176" s="665"/>
      <c r="BB176" s="672"/>
      <c r="BC176" s="665"/>
      <c r="BD176" s="665"/>
      <c r="BE176" s="665"/>
      <c r="BF176" s="665"/>
      <c r="BG176" s="665"/>
      <c r="BH176" s="665"/>
      <c r="BI176" s="665"/>
      <c r="BJ176" s="665"/>
      <c r="BK176" s="665"/>
      <c r="BL176" s="665"/>
      <c r="BM176" s="665"/>
      <c r="BN176" s="684"/>
      <c r="BO176" s="665"/>
      <c r="BP176" s="665"/>
      <c r="BQ176" s="665"/>
      <c r="BR176" s="665"/>
      <c r="BS176" s="665"/>
      <c r="BT176" s="665"/>
      <c r="BU176" s="665"/>
      <c r="BV176" s="665"/>
      <c r="BW176" s="665"/>
      <c r="BX176" s="665"/>
      <c r="BY176" s="665"/>
      <c r="BZ176" s="672"/>
    </row>
    <row r="177" spans="1:78">
      <c r="A177" s="669" t="s">
        <v>458</v>
      </c>
      <c r="B177" s="677">
        <f t="shared" ref="B177:E181" si="572">B165/B171*1000000</f>
        <v>112.52849217091196</v>
      </c>
      <c r="C177" s="677">
        <f t="shared" si="572"/>
        <v>132.84298334041429</v>
      </c>
      <c r="D177" s="677">
        <f t="shared" si="572"/>
        <v>126.25664704139128</v>
      </c>
      <c r="E177" s="677">
        <f t="shared" si="572"/>
        <v>138.03373915407263</v>
      </c>
      <c r="F177" s="678">
        <f t="shared" ref="F177:AF177" si="573">F165/F171*1000000</f>
        <v>144.47683835438937</v>
      </c>
      <c r="G177" s="677">
        <f t="shared" si="573"/>
        <v>117.59521756714</v>
      </c>
      <c r="H177" s="677">
        <f t="shared" si="573"/>
        <v>115.55036918043463</v>
      </c>
      <c r="I177" s="677">
        <f t="shared" si="573"/>
        <v>134.20977922964627</v>
      </c>
      <c r="J177" s="677">
        <f t="shared" si="573"/>
        <v>129.58985052212506</v>
      </c>
      <c r="K177" s="677">
        <f t="shared" si="573"/>
        <v>134.22384956645314</v>
      </c>
      <c r="L177" s="677">
        <f t="shared" si="573"/>
        <v>142.16097030149592</v>
      </c>
      <c r="M177" s="677">
        <f t="shared" si="573"/>
        <v>140.76339387268229</v>
      </c>
      <c r="N177" s="677">
        <f t="shared" si="573"/>
        <v>121.7724377429106</v>
      </c>
      <c r="O177" s="677">
        <f t="shared" si="573"/>
        <v>130.28654960460733</v>
      </c>
      <c r="P177" s="677">
        <f t="shared" si="573"/>
        <v>137.16935606637236</v>
      </c>
      <c r="Q177" s="677">
        <f t="shared" si="573"/>
        <v>136.98004648877438</v>
      </c>
      <c r="R177" s="678">
        <f t="shared" si="573"/>
        <v>136.89253935660506</v>
      </c>
      <c r="S177" s="677">
        <f t="shared" si="573"/>
        <v>130.34549462485825</v>
      </c>
      <c r="T177" s="677">
        <f t="shared" si="573"/>
        <v>139.37599821185461</v>
      </c>
      <c r="U177" s="677">
        <f t="shared" si="573"/>
        <v>144.19364209827356</v>
      </c>
      <c r="V177" s="677">
        <f t="shared" si="573"/>
        <v>139.54128955539406</v>
      </c>
      <c r="W177" s="677">
        <f t="shared" si="573"/>
        <v>127.56979388113506</v>
      </c>
      <c r="X177" s="677">
        <f t="shared" si="573"/>
        <v>125.43260296390581</v>
      </c>
      <c r="Y177" s="677">
        <f t="shared" si="573"/>
        <v>135.69324319290797</v>
      </c>
      <c r="Z177" s="677">
        <f t="shared" si="573"/>
        <v>134.82788753799394</v>
      </c>
      <c r="AA177" s="677">
        <f t="shared" si="573"/>
        <v>133.97021212577101</v>
      </c>
      <c r="AB177" s="677">
        <f t="shared" si="573"/>
        <v>150.16868794057456</v>
      </c>
      <c r="AC177" s="677">
        <f t="shared" si="573"/>
        <v>151.25814732549247</v>
      </c>
      <c r="AD177" s="678">
        <f t="shared" si="573"/>
        <v>140.56476908576826</v>
      </c>
      <c r="AE177" s="677">
        <f t="shared" si="573"/>
        <v>132.20438148865037</v>
      </c>
      <c r="AF177" s="677">
        <f t="shared" si="573"/>
        <v>135.81534294412609</v>
      </c>
      <c r="AG177" s="677">
        <f t="shared" ref="AG177:AH177" si="574">AG165/AG171*1000000</f>
        <v>152.51010352999873</v>
      </c>
      <c r="AH177" s="677">
        <f t="shared" si="574"/>
        <v>134.2081620280025</v>
      </c>
      <c r="AI177" s="677">
        <f t="shared" ref="AI177:AJ177" si="575">AI165/AI171*1000000</f>
        <v>135.14999784175768</v>
      </c>
      <c r="AJ177" s="677">
        <f t="shared" si="575"/>
        <v>154.45779859951654</v>
      </c>
      <c r="AK177" s="677">
        <f t="shared" ref="AK177" si="576">AK165/AK171*1000000</f>
        <v>152.74440270014355</v>
      </c>
      <c r="AL177" s="702"/>
      <c r="AM177" s="702"/>
      <c r="AN177" s="702"/>
      <c r="AO177" s="702"/>
      <c r="AP177" s="703"/>
      <c r="AQ177" s="702"/>
      <c r="AR177" s="702"/>
      <c r="AS177" s="702"/>
      <c r="AT177" s="702"/>
      <c r="AU177" s="702"/>
      <c r="AV177" s="702"/>
      <c r="AW177" s="702"/>
      <c r="AX177" s="702"/>
      <c r="AY177" s="702"/>
      <c r="AZ177" s="702"/>
      <c r="BA177" s="702"/>
      <c r="BB177" s="703"/>
      <c r="BC177" s="702"/>
      <c r="BD177" s="702"/>
      <c r="BE177" s="702"/>
      <c r="BF177" s="702"/>
      <c r="BG177" s="702"/>
      <c r="BH177" s="702"/>
      <c r="BI177" s="702"/>
      <c r="BJ177" s="702"/>
      <c r="BK177" s="695"/>
      <c r="BL177" s="695"/>
      <c r="BM177" s="695"/>
      <c r="BN177" s="696"/>
      <c r="BO177" s="677"/>
      <c r="BP177" s="677"/>
      <c r="BQ177" s="677"/>
      <c r="BR177" s="677"/>
      <c r="BS177" s="677"/>
      <c r="BT177" s="677"/>
      <c r="BU177" s="677"/>
      <c r="BV177" s="677"/>
      <c r="BW177" s="677"/>
      <c r="BX177" s="677"/>
      <c r="BY177" s="677"/>
      <c r="BZ177" s="678"/>
    </row>
    <row r="178" spans="1:78">
      <c r="A178" s="669" t="s">
        <v>459</v>
      </c>
      <c r="B178" s="677">
        <f t="shared" si="572"/>
        <v>111.52329407493136</v>
      </c>
      <c r="C178" s="677">
        <f t="shared" si="572"/>
        <v>131.44651144164646</v>
      </c>
      <c r="D178" s="677">
        <f t="shared" si="572"/>
        <v>154.92425893238374</v>
      </c>
      <c r="E178" s="677">
        <f t="shared" si="572"/>
        <v>150.66759960114712</v>
      </c>
      <c r="F178" s="678">
        <f t="shared" ref="F178:AF178" si="577">F166/F172*1000000</f>
        <v>148.58558744579804</v>
      </c>
      <c r="G178" s="677">
        <f t="shared" si="577"/>
        <v>143.6141511801128</v>
      </c>
      <c r="H178" s="677">
        <f t="shared" si="577"/>
        <v>152.46643682789318</v>
      </c>
      <c r="I178" s="677">
        <f t="shared" si="577"/>
        <v>161.35419825790203</v>
      </c>
      <c r="J178" s="677">
        <f t="shared" si="577"/>
        <v>148.23714090963517</v>
      </c>
      <c r="K178" s="677">
        <f t="shared" si="577"/>
        <v>133.22762268453829</v>
      </c>
      <c r="L178" s="677">
        <f t="shared" si="577"/>
        <v>111.74153354563163</v>
      </c>
      <c r="M178" s="677">
        <f t="shared" si="577"/>
        <v>130.71028066603989</v>
      </c>
      <c r="N178" s="677">
        <f t="shared" si="577"/>
        <v>111.52329407493136</v>
      </c>
      <c r="O178" s="677">
        <f t="shared" si="577"/>
        <v>125.50803378635842</v>
      </c>
      <c r="P178" s="677">
        <f t="shared" si="577"/>
        <v>146.61893356486331</v>
      </c>
      <c r="Q178" s="677">
        <f t="shared" si="577"/>
        <v>147.4459989961785</v>
      </c>
      <c r="R178" s="678">
        <f t="shared" si="577"/>
        <v>147.86426198386332</v>
      </c>
      <c r="S178" s="677">
        <f t="shared" si="577"/>
        <v>126.53218926693782</v>
      </c>
      <c r="T178" s="677">
        <f t="shared" si="577"/>
        <v>141.82351228978007</v>
      </c>
      <c r="U178" s="677">
        <f t="shared" si="577"/>
        <v>157.11607989167231</v>
      </c>
      <c r="V178" s="677">
        <f t="shared" si="577"/>
        <v>166.24084961122702</v>
      </c>
      <c r="W178" s="677">
        <f t="shared" si="577"/>
        <v>169.50347757277913</v>
      </c>
      <c r="X178" s="677">
        <f t="shared" si="577"/>
        <v>184.25626140321776</v>
      </c>
      <c r="Y178" s="677">
        <f t="shared" si="577"/>
        <v>173.58537083007448</v>
      </c>
      <c r="Z178" s="677">
        <f t="shared" si="577"/>
        <v>144.26554769378092</v>
      </c>
      <c r="AA178" s="677">
        <f t="shared" si="577"/>
        <v>158.51725406519023</v>
      </c>
      <c r="AB178" s="677">
        <f t="shared" si="577"/>
        <v>168.60795496357346</v>
      </c>
      <c r="AC178" s="677">
        <f t="shared" si="577"/>
        <v>147.40868034292714</v>
      </c>
      <c r="AD178" s="678">
        <f t="shared" si="577"/>
        <v>191.41578784119082</v>
      </c>
      <c r="AE178" s="677">
        <f t="shared" si="577"/>
        <v>157.73047001620745</v>
      </c>
      <c r="AF178" s="677">
        <f t="shared" si="577"/>
        <v>177.25994504333121</v>
      </c>
      <c r="AG178" s="677">
        <f t="shared" ref="AG178:AH178" si="578">AG166/AG172*1000000</f>
        <v>185.84353220494756</v>
      </c>
      <c r="AH178" s="677">
        <f t="shared" si="578"/>
        <v>164.81429525718104</v>
      </c>
      <c r="AI178" s="677">
        <f t="shared" ref="AI178:AJ178" si="579">AI166/AI172*1000000</f>
        <v>170.00622716705413</v>
      </c>
      <c r="AJ178" s="677">
        <f t="shared" si="579"/>
        <v>143.12078118464655</v>
      </c>
      <c r="AK178" s="677">
        <f t="shared" ref="AK178:AL178" si="580">AK166/AK172*1000000</f>
        <v>163.52090032154339</v>
      </c>
      <c r="AL178" s="677">
        <f t="shared" si="580"/>
        <v>211.9201367280379</v>
      </c>
      <c r="AM178" s="677">
        <f t="shared" ref="AM178:AO178" si="581">AM166/AM172*1000000</f>
        <v>165.85015359256761</v>
      </c>
      <c r="AN178" s="677">
        <f t="shared" si="581"/>
        <v>176.92650033715444</v>
      </c>
      <c r="AO178" s="677">
        <f t="shared" si="581"/>
        <v>190.42524509803923</v>
      </c>
      <c r="AP178" s="678">
        <f t="shared" ref="AP178:AQ178" si="582">AP166/AP172*1000000</f>
        <v>118.73576110524071</v>
      </c>
      <c r="AQ178" s="677">
        <f t="shared" si="582"/>
        <v>170.98556721840936</v>
      </c>
      <c r="AR178" s="677">
        <f t="shared" ref="AR178:AS178" si="583">AR166/AR172*1000000</f>
        <v>197.95305625167447</v>
      </c>
      <c r="AS178" s="677">
        <f t="shared" si="583"/>
        <v>178.97120493022598</v>
      </c>
      <c r="AT178" s="677">
        <f t="shared" ref="AT178:AU178" si="584">AT166/AT172*1000000</f>
        <v>212.61474985198342</v>
      </c>
      <c r="AU178" s="677">
        <f t="shared" si="584"/>
        <v>181.96294296040878</v>
      </c>
      <c r="AV178" s="677">
        <f t="shared" ref="AV178:AW178" si="585">AV166/AV172*1000000</f>
        <v>139.31941858566063</v>
      </c>
      <c r="AW178" s="677">
        <f t="shared" si="585"/>
        <v>197.81345991715847</v>
      </c>
      <c r="AX178" s="677">
        <f t="shared" ref="AX178:AY178" si="586">AX166/AX172*1000000</f>
        <v>239.89054049082014</v>
      </c>
      <c r="AY178" s="677">
        <f t="shared" si="586"/>
        <v>168.56551749869413</v>
      </c>
      <c r="AZ178" s="677">
        <f t="shared" ref="AZ178:BA178" si="587">AZ166/AZ172*1000000</f>
        <v>177.8070472380366</v>
      </c>
      <c r="BA178" s="677">
        <f t="shared" si="587"/>
        <v>175.08906326975858</v>
      </c>
      <c r="BB178" s="678">
        <f t="shared" ref="BB178:BC178" si="588">BB166/BB172*1000000</f>
        <v>138.07433310800272</v>
      </c>
      <c r="BC178" s="677">
        <f t="shared" si="588"/>
        <v>176.77653190590223</v>
      </c>
      <c r="BD178" s="702"/>
      <c r="BE178" s="702"/>
      <c r="BF178" s="702"/>
      <c r="BG178" s="702"/>
      <c r="BH178" s="677">
        <f t="shared" ref="BH178:BI178" si="589">BH166/BH172*1000000</f>
        <v>193.40056577086281</v>
      </c>
      <c r="BI178" s="677">
        <f t="shared" si="589"/>
        <v>166.92441134498753</v>
      </c>
      <c r="BJ178" s="677">
        <f t="shared" ref="BJ178" si="590">BJ166/BJ172*1000000</f>
        <v>160.3369487299361</v>
      </c>
      <c r="BK178" s="677"/>
      <c r="BL178" s="677"/>
      <c r="BM178" s="677"/>
      <c r="BN178" s="678"/>
      <c r="BO178" s="677"/>
      <c r="BP178" s="677"/>
      <c r="BQ178" s="677"/>
      <c r="BR178" s="677"/>
      <c r="BS178" s="677"/>
      <c r="BT178" s="677"/>
      <c r="BU178" s="677"/>
      <c r="BV178" s="677"/>
      <c r="BW178" s="677"/>
      <c r="BX178" s="677"/>
      <c r="BY178" s="677"/>
      <c r="BZ178" s="678"/>
    </row>
    <row r="179" spans="1:78">
      <c r="A179" s="669" t="s">
        <v>460</v>
      </c>
      <c r="B179" s="677">
        <f t="shared" si="572"/>
        <v>180.68181421863954</v>
      </c>
      <c r="C179" s="677">
        <f t="shared" si="572"/>
        <v>226.41874418566039</v>
      </c>
      <c r="D179" s="677">
        <f t="shared" si="572"/>
        <v>212.43294102118733</v>
      </c>
      <c r="E179" s="677">
        <f t="shared" si="572"/>
        <v>180.98543279408975</v>
      </c>
      <c r="F179" s="678">
        <f t="shared" ref="F179:AF179" si="591">F167/F173*1000000</f>
        <v>167.62138844301768</v>
      </c>
      <c r="G179" s="677">
        <f t="shared" si="591"/>
        <v>189.10456838771714</v>
      </c>
      <c r="H179" s="677">
        <f t="shared" si="591"/>
        <v>188.01804740957965</v>
      </c>
      <c r="I179" s="677">
        <f t="shared" si="591"/>
        <v>186.87158172850786</v>
      </c>
      <c r="J179" s="677">
        <f t="shared" si="591"/>
        <v>176.34499766023592</v>
      </c>
      <c r="K179" s="677">
        <f t="shared" si="591"/>
        <v>189.48831249869286</v>
      </c>
      <c r="L179" s="677">
        <f t="shared" si="591"/>
        <v>210.29419339418689</v>
      </c>
      <c r="M179" s="677">
        <f t="shared" si="591"/>
        <v>216.69696797589705</v>
      </c>
      <c r="N179" s="677">
        <f t="shared" si="591"/>
        <v>182.05099532629393</v>
      </c>
      <c r="O179" s="677">
        <f t="shared" si="591"/>
        <v>207.19564831786201</v>
      </c>
      <c r="P179" s="677">
        <f t="shared" si="591"/>
        <v>217.79418577716007</v>
      </c>
      <c r="Q179" s="677">
        <f t="shared" si="591"/>
        <v>199.88676609160163</v>
      </c>
      <c r="R179" s="678">
        <f t="shared" si="591"/>
        <v>236.97478991596643</v>
      </c>
      <c r="S179" s="677">
        <f t="shared" si="591"/>
        <v>204.99645465128586</v>
      </c>
      <c r="T179" s="677">
        <f t="shared" si="591"/>
        <v>209.37512926577043</v>
      </c>
      <c r="U179" s="677">
        <f t="shared" si="591"/>
        <v>213.74627208480564</v>
      </c>
      <c r="V179" s="677">
        <f t="shared" si="591"/>
        <v>198.1091627324405</v>
      </c>
      <c r="W179" s="677">
        <f t="shared" si="591"/>
        <v>217.0126269751693</v>
      </c>
      <c r="X179" s="677">
        <f t="shared" si="591"/>
        <v>218.50227900552485</v>
      </c>
      <c r="Y179" s="677">
        <f t="shared" si="591"/>
        <v>222.37155314635874</v>
      </c>
      <c r="Z179" s="677">
        <f t="shared" si="591"/>
        <v>208.87215541165588</v>
      </c>
      <c r="AA179" s="677">
        <f t="shared" si="591"/>
        <v>219.96576576576575</v>
      </c>
      <c r="AB179" s="677">
        <f t="shared" si="591"/>
        <v>225.39081996434939</v>
      </c>
      <c r="AC179" s="677">
        <f t="shared" si="591"/>
        <v>256.53227771010967</v>
      </c>
      <c r="AD179" s="678">
        <f t="shared" si="591"/>
        <v>280.55774033149146</v>
      </c>
      <c r="AE179" s="677">
        <f t="shared" si="591"/>
        <v>240.01128506197</v>
      </c>
      <c r="AF179" s="677">
        <f t="shared" si="591"/>
        <v>228.57806821804272</v>
      </c>
      <c r="AG179" s="677">
        <f t="shared" ref="AG179:AH179" si="592">AG167/AG173*1000000</f>
        <v>207.04404309252217</v>
      </c>
      <c r="AH179" s="677">
        <f t="shared" si="592"/>
        <v>232.5863113264688</v>
      </c>
      <c r="AI179" s="677">
        <f t="shared" ref="AI179:AJ179" si="593">AI167/AI173*1000000</f>
        <v>252.5600325299423</v>
      </c>
      <c r="AJ179" s="677">
        <f t="shared" si="593"/>
        <v>216.17508111615845</v>
      </c>
      <c r="AK179" s="677">
        <f t="shared" ref="AK179:AL179" si="594">AK167/AK173*1000000</f>
        <v>230.44973373165348</v>
      </c>
      <c r="AL179" s="677">
        <f t="shared" si="594"/>
        <v>322.85067047961786</v>
      </c>
      <c r="AM179" s="677">
        <f t="shared" ref="AM179:AO179" si="595">AM167/AM173*1000000</f>
        <v>230.23232172083738</v>
      </c>
      <c r="AN179" s="677">
        <f t="shared" si="595"/>
        <v>229.83287671232875</v>
      </c>
      <c r="AO179" s="677">
        <f t="shared" si="595"/>
        <v>262.76320334515043</v>
      </c>
      <c r="AP179" s="678">
        <f t="shared" ref="AP179:AQ179" si="596">AP167/AP173*1000000</f>
        <v>152.01380414974557</v>
      </c>
      <c r="AQ179" s="677">
        <f t="shared" si="596"/>
        <v>240.7869581558507</v>
      </c>
      <c r="AR179" s="677">
        <f t="shared" ref="AR179:AS179" si="597">AR167/AR173*1000000</f>
        <v>221.81752864663983</v>
      </c>
      <c r="AS179" s="677">
        <f t="shared" si="597"/>
        <v>234.73969210174027</v>
      </c>
      <c r="AT179" s="677">
        <f t="shared" ref="AT179:AU179" si="598">AT167/AT173*1000000</f>
        <v>230.64194311359088</v>
      </c>
      <c r="AU179" s="677">
        <f t="shared" si="598"/>
        <v>203.71764643966105</v>
      </c>
      <c r="AV179" s="677">
        <f t="shared" ref="AV179" si="599">AV167/AV173*1000000</f>
        <v>228.27698097131497</v>
      </c>
      <c r="AW179" s="677">
        <f t="shared" ref="AW179:AY180" si="600">AW167/AW173*1000000</f>
        <v>233.35083501202155</v>
      </c>
      <c r="AX179" s="677">
        <f t="shared" si="600"/>
        <v>386.55773391022177</v>
      </c>
      <c r="AY179" s="677">
        <f t="shared" si="600"/>
        <v>251.37679849864458</v>
      </c>
      <c r="AZ179" s="677">
        <f t="shared" ref="AZ179:BA179" si="601">AZ167/AZ173*1000000</f>
        <v>230.89787266257852</v>
      </c>
      <c r="BA179" s="677">
        <f t="shared" si="601"/>
        <v>265.10069699192962</v>
      </c>
      <c r="BB179" s="678">
        <f t="shared" ref="BB179:BC179" si="602">BB167/BB173*1000000</f>
        <v>226.31068189848077</v>
      </c>
      <c r="BC179" s="677">
        <f t="shared" si="602"/>
        <v>248.56686563373128</v>
      </c>
      <c r="BD179" s="702"/>
      <c r="BE179" s="702"/>
      <c r="BF179" s="702"/>
      <c r="BG179" s="702"/>
      <c r="BH179" s="677">
        <f t="shared" ref="BH179:BI180" si="603">BH167/BH173*1000000</f>
        <v>313.70739064856713</v>
      </c>
      <c r="BI179" s="677">
        <f t="shared" si="603"/>
        <v>235.56169279506133</v>
      </c>
      <c r="BJ179" s="677">
        <f t="shared" ref="BJ179" si="604">BJ167/BJ173*1000000</f>
        <v>332.81773931855054</v>
      </c>
      <c r="BK179" s="677"/>
      <c r="BL179" s="677"/>
      <c r="BM179" s="677"/>
      <c r="BN179" s="678"/>
      <c r="BO179" s="677"/>
      <c r="BP179" s="677"/>
      <c r="BQ179" s="677"/>
      <c r="BR179" s="677"/>
      <c r="BS179" s="677"/>
      <c r="BT179" s="677"/>
      <c r="BU179" s="677"/>
      <c r="BV179" s="677"/>
      <c r="BW179" s="677"/>
      <c r="BX179" s="677"/>
      <c r="BY179" s="677"/>
      <c r="BZ179" s="678"/>
    </row>
    <row r="180" spans="1:78">
      <c r="A180" s="669" t="s">
        <v>461</v>
      </c>
      <c r="B180" s="677">
        <f t="shared" si="572"/>
        <v>103.15265482953617</v>
      </c>
      <c r="C180" s="677">
        <f t="shared" si="572"/>
        <v>117.59225536312296</v>
      </c>
      <c r="D180" s="677">
        <f t="shared" si="572"/>
        <v>118.92153550657304</v>
      </c>
      <c r="E180" s="677">
        <f t="shared" si="572"/>
        <v>141.65866491247641</v>
      </c>
      <c r="F180" s="678">
        <f t="shared" ref="F180:AF180" si="605">F168/F174*1000000</f>
        <v>155.19419404715887</v>
      </c>
      <c r="G180" s="677">
        <f t="shared" si="605"/>
        <v>139.38167920840505</v>
      </c>
      <c r="H180" s="677">
        <f t="shared" si="605"/>
        <v>132.40790855918587</v>
      </c>
      <c r="I180" s="677">
        <f t="shared" si="605"/>
        <v>125.45448833319691</v>
      </c>
      <c r="J180" s="677">
        <f t="shared" si="605"/>
        <v>146.45086094703007</v>
      </c>
      <c r="K180" s="677">
        <f t="shared" si="605"/>
        <v>124.12850800300123</v>
      </c>
      <c r="L180" s="677">
        <f t="shared" si="605"/>
        <v>124.31754650978866</v>
      </c>
      <c r="M180" s="677">
        <f t="shared" si="605"/>
        <v>120.90362563326444</v>
      </c>
      <c r="N180" s="677">
        <f t="shared" si="605"/>
        <v>112.86644411913589</v>
      </c>
      <c r="O180" s="677">
        <f t="shared" si="605"/>
        <v>146.62891926596555</v>
      </c>
      <c r="P180" s="677">
        <f t="shared" si="605"/>
        <v>132.45234486381031</v>
      </c>
      <c r="Q180" s="677">
        <f t="shared" si="605"/>
        <v>121.2142980372963</v>
      </c>
      <c r="R180" s="678">
        <f t="shared" si="605"/>
        <v>116.07461476074614</v>
      </c>
      <c r="S180" s="677">
        <f t="shared" si="605"/>
        <v>126.87828528051105</v>
      </c>
      <c r="T180" s="677">
        <f t="shared" si="605"/>
        <v>117.17821366024519</v>
      </c>
      <c r="U180" s="677">
        <f t="shared" si="605"/>
        <v>107.46826224497593</v>
      </c>
      <c r="V180" s="677">
        <f t="shared" si="605"/>
        <v>134.06011914440714</v>
      </c>
      <c r="W180" s="677">
        <f t="shared" si="605"/>
        <v>113.46084881540823</v>
      </c>
      <c r="X180" s="677">
        <f t="shared" si="605"/>
        <v>128.93758154486147</v>
      </c>
      <c r="Y180" s="677">
        <f t="shared" si="605"/>
        <v>102.56283059119203</v>
      </c>
      <c r="Z180" s="677">
        <f t="shared" si="605"/>
        <v>90.745508593384912</v>
      </c>
      <c r="AA180" s="677">
        <f t="shared" si="605"/>
        <v>113.96053526876844</v>
      </c>
      <c r="AB180" s="677">
        <f t="shared" si="605"/>
        <v>125.8182260131701</v>
      </c>
      <c r="AC180" s="677">
        <f t="shared" si="605"/>
        <v>106.20725911209597</v>
      </c>
      <c r="AD180" s="678">
        <f t="shared" si="605"/>
        <v>142.39122209086307</v>
      </c>
      <c r="AE180" s="677">
        <f t="shared" si="605"/>
        <v>132.43040768244313</v>
      </c>
      <c r="AF180" s="677">
        <f t="shared" si="605"/>
        <v>140.5223976109215</v>
      </c>
      <c r="AG180" s="677">
        <f t="shared" ref="AG180:AH180" si="606">AG168/AG174*1000000</f>
        <v>149.38197921989439</v>
      </c>
      <c r="AH180" s="677">
        <f t="shared" si="606"/>
        <v>126.80641544690133</v>
      </c>
      <c r="AI180" s="677">
        <f t="shared" ref="AI180:AJ180" si="607">AI168/AI174*1000000</f>
        <v>130.80242142768512</v>
      </c>
      <c r="AJ180" s="677">
        <f t="shared" si="607"/>
        <v>142.09424022930628</v>
      </c>
      <c r="AK180" s="677">
        <f t="shared" ref="AK180:AL180" si="608">AK168/AK174*1000000</f>
        <v>140.24374574305543</v>
      </c>
      <c r="AL180" s="677">
        <f t="shared" si="608"/>
        <v>156.25428751614615</v>
      </c>
      <c r="AM180" s="677">
        <f t="shared" ref="AM180:AO180" si="609">AM168/AM174*1000000</f>
        <v>147.83071103374397</v>
      </c>
      <c r="AN180" s="677">
        <f t="shared" si="609"/>
        <v>134.7079932523387</v>
      </c>
      <c r="AO180" s="677">
        <f t="shared" si="609"/>
        <v>144.01148049876002</v>
      </c>
      <c r="AP180" s="678">
        <f t="shared" ref="AP180:AQ180" si="610">AP168/AP174*1000000</f>
        <v>96.447887785464374</v>
      </c>
      <c r="AQ180" s="677">
        <f t="shared" si="610"/>
        <v>127.51135396189031</v>
      </c>
      <c r="AR180" s="677">
        <f t="shared" ref="AR180:AS180" si="611">AR168/AR174*1000000</f>
        <v>122.3060895187316</v>
      </c>
      <c r="AS180" s="677">
        <f t="shared" si="611"/>
        <v>137.5195800804168</v>
      </c>
      <c r="AT180" s="677">
        <f t="shared" ref="AT180:AU180" si="612">AT168/AT174*1000000</f>
        <v>138.74792620383437</v>
      </c>
      <c r="AU180" s="677">
        <f t="shared" si="612"/>
        <v>143.8029756296994</v>
      </c>
      <c r="AV180" s="677">
        <f t="shared" ref="AV180" si="613">AV168/AV174*1000000</f>
        <v>121.39505594163322</v>
      </c>
      <c r="AW180" s="677">
        <f t="shared" si="600"/>
        <v>157.77037123059651</v>
      </c>
      <c r="AX180" s="677">
        <f t="shared" si="600"/>
        <v>165.20097089137249</v>
      </c>
      <c r="AY180" s="677">
        <f t="shared" si="600"/>
        <v>133.4474359876196</v>
      </c>
      <c r="AZ180" s="677">
        <f t="shared" ref="AZ180:BA180" si="614">AZ168/AZ174*1000000</f>
        <v>111.37557423350462</v>
      </c>
      <c r="BA180" s="677">
        <f t="shared" si="614"/>
        <v>125.48658624891824</v>
      </c>
      <c r="BB180" s="678">
        <f t="shared" ref="BB180:BC180" si="615">BB168/BB174*1000000</f>
        <v>134.17092853510917</v>
      </c>
      <c r="BC180" s="677">
        <f t="shared" si="615"/>
        <v>165.16572451164035</v>
      </c>
      <c r="BD180" s="702"/>
      <c r="BE180" s="702"/>
      <c r="BF180" s="702"/>
      <c r="BG180" s="702"/>
      <c r="BH180" s="677">
        <f t="shared" ref="BH180" si="616">BH168/BH174*1000000</f>
        <v>164.02676698256531</v>
      </c>
      <c r="BI180" s="677">
        <f t="shared" si="603"/>
        <v>138.17019086305714</v>
      </c>
      <c r="BJ180" s="677">
        <f t="shared" ref="BJ180" si="617">BJ168/BJ174*1000000</f>
        <v>164.67818956882294</v>
      </c>
      <c r="BK180" s="677"/>
      <c r="BL180" s="677"/>
      <c r="BM180" s="677"/>
      <c r="BN180" s="678"/>
      <c r="BO180" s="677"/>
      <c r="BP180" s="677"/>
      <c r="BQ180" s="677"/>
      <c r="BR180" s="677"/>
      <c r="BS180" s="677"/>
      <c r="BT180" s="677"/>
      <c r="BU180" s="677"/>
      <c r="BV180" s="677"/>
      <c r="BW180" s="677"/>
      <c r="BX180" s="677"/>
      <c r="BY180" s="677"/>
      <c r="BZ180" s="678"/>
    </row>
    <row r="181" spans="1:78">
      <c r="A181" s="673" t="s">
        <v>466</v>
      </c>
      <c r="B181" s="679">
        <f t="shared" si="572"/>
        <v>118.36217255582648</v>
      </c>
      <c r="C181" s="679">
        <f t="shared" si="572"/>
        <v>136.83615416467711</v>
      </c>
      <c r="D181" s="679">
        <f t="shared" si="572"/>
        <v>136.75677358054699</v>
      </c>
      <c r="E181" s="679">
        <f t="shared" si="572"/>
        <v>146.16644049600379</v>
      </c>
      <c r="F181" s="680">
        <f t="shared" ref="F181:AF181" si="618">F169/F175*1000000</f>
        <v>151.59702724401862</v>
      </c>
      <c r="G181" s="679">
        <f t="shared" si="618"/>
        <v>138.34047399049564</v>
      </c>
      <c r="H181" s="679">
        <f t="shared" si="618"/>
        <v>138.13972097150366</v>
      </c>
      <c r="I181" s="679">
        <f t="shared" si="618"/>
        <v>141.89321396153201</v>
      </c>
      <c r="J181" s="679">
        <f t="shared" si="618"/>
        <v>144.2332869828189</v>
      </c>
      <c r="K181" s="679">
        <f t="shared" si="618"/>
        <v>135.85017339420338</v>
      </c>
      <c r="L181" s="679">
        <f t="shared" si="618"/>
        <v>137.01808258475901</v>
      </c>
      <c r="M181" s="679">
        <f t="shared" si="618"/>
        <v>140.81747882295295</v>
      </c>
      <c r="N181" s="679">
        <f t="shared" si="618"/>
        <v>124.93942595265372</v>
      </c>
      <c r="O181" s="679">
        <f t="shared" si="618"/>
        <v>143.2176813211203</v>
      </c>
      <c r="P181" s="679">
        <f t="shared" si="618"/>
        <v>144.78456124244511</v>
      </c>
      <c r="Q181" s="679">
        <f t="shared" si="618"/>
        <v>87.9655577858897</v>
      </c>
      <c r="R181" s="680">
        <f t="shared" si="618"/>
        <v>142.25344291426032</v>
      </c>
      <c r="S181" s="679">
        <f t="shared" si="618"/>
        <v>135.64129844920791</v>
      </c>
      <c r="T181" s="679">
        <f t="shared" si="618"/>
        <v>140.4104475228807</v>
      </c>
      <c r="U181" s="679">
        <f t="shared" si="618"/>
        <v>138.82061380894757</v>
      </c>
      <c r="V181" s="679">
        <f t="shared" si="618"/>
        <v>148.89755970607942</v>
      </c>
      <c r="W181" s="679">
        <f t="shared" si="618"/>
        <v>137.15588398961259</v>
      </c>
      <c r="X181" s="679">
        <f t="shared" si="618"/>
        <v>145.58335153881865</v>
      </c>
      <c r="Y181" s="679">
        <f t="shared" si="618"/>
        <v>137.58047249141006</v>
      </c>
      <c r="Z181" s="679">
        <f t="shared" si="618"/>
        <v>129.47476775007075</v>
      </c>
      <c r="AA181" s="679">
        <f t="shared" si="618"/>
        <v>138.72508167681116</v>
      </c>
      <c r="AB181" s="679">
        <f t="shared" si="618"/>
        <v>149.3069096996187</v>
      </c>
      <c r="AC181" s="679">
        <f t="shared" si="618"/>
        <v>87.416608116063131</v>
      </c>
      <c r="AD181" s="680">
        <f t="shared" si="618"/>
        <v>164.30787734306202</v>
      </c>
      <c r="AE181" s="679">
        <f t="shared" si="618"/>
        <v>146.64131073898113</v>
      </c>
      <c r="AF181" s="679">
        <f t="shared" si="618"/>
        <v>155.06531782017282</v>
      </c>
      <c r="AG181" s="679">
        <f t="shared" ref="AG181:AH181" si="619">AG169/AG175*1000000</f>
        <v>162.9156187376434</v>
      </c>
      <c r="AH181" s="679">
        <f t="shared" si="619"/>
        <v>146.67721698753971</v>
      </c>
      <c r="AI181" s="679">
        <f t="shared" ref="AI181:AJ181" si="620">AI169/AI175*1000000</f>
        <v>150.69879809918712</v>
      </c>
      <c r="AJ181" s="679">
        <f t="shared" si="620"/>
        <v>154.17077263587311</v>
      </c>
      <c r="AK181" s="679">
        <f t="shared" ref="AK181:AL181" si="621">AK169/AK175*1000000</f>
        <v>159.06567497380291</v>
      </c>
      <c r="AL181" s="679">
        <f t="shared" si="621"/>
        <v>196.69499751750411</v>
      </c>
      <c r="AM181" s="679">
        <f t="shared" ref="AM181:AO181" si="622">AM169/AM175*1000000</f>
        <v>164.73688411015354</v>
      </c>
      <c r="AN181" s="679">
        <f t="shared" si="622"/>
        <v>158.03605813643173</v>
      </c>
      <c r="AO181" s="679">
        <f t="shared" si="622"/>
        <v>170.75239559795801</v>
      </c>
      <c r="AP181" s="680">
        <f t="shared" ref="AP181:AQ181" si="623">AP169/AP175*1000000</f>
        <v>113.45697358202143</v>
      </c>
      <c r="AQ181" s="679">
        <f t="shared" si="623"/>
        <v>155.62388590184148</v>
      </c>
      <c r="AR181" s="679">
        <f t="shared" ref="AR181:AS181" si="624">AR169/AR175*1000000</f>
        <v>157.54920876960549</v>
      </c>
      <c r="AS181" s="679">
        <f t="shared" si="624"/>
        <v>162.01102800422072</v>
      </c>
      <c r="AT181" s="679">
        <f t="shared" ref="AT181:AU181" si="625">AT169/AT175*1000000</f>
        <v>173.30265993564197</v>
      </c>
      <c r="AU181" s="679">
        <f t="shared" si="625"/>
        <v>164.51180420622376</v>
      </c>
      <c r="AV181" s="679">
        <f t="shared" ref="AV181:AX181" si="626">AV169/AV175*1000000</f>
        <v>143.30103020220116</v>
      </c>
      <c r="AW181" s="679">
        <f t="shared" si="626"/>
        <v>181.67983590569872</v>
      </c>
      <c r="AX181" s="679">
        <f t="shared" si="626"/>
        <v>219.78428245076049</v>
      </c>
      <c r="AY181" s="679">
        <f t="shared" ref="AY181:AZ181" si="627">AY169/AY175*1000000</f>
        <v>160.35007597931732</v>
      </c>
      <c r="AZ181" s="679">
        <f t="shared" si="627"/>
        <v>145.11466742873475</v>
      </c>
      <c r="BA181" s="679">
        <f t="shared" ref="BA181:BB181" si="628">BA169/BA175*1000000</f>
        <v>156.0459335230293</v>
      </c>
      <c r="BB181" s="680">
        <f t="shared" si="628"/>
        <v>148.901925075809</v>
      </c>
      <c r="BC181" s="679">
        <f t="shared" ref="BC181:BJ181" si="629">BC169/BC175*1000000</f>
        <v>180.70611068581979</v>
      </c>
      <c r="BD181" s="679"/>
      <c r="BE181" s="679"/>
      <c r="BF181" s="679"/>
      <c r="BG181" s="679"/>
      <c r="BH181" s="679">
        <f t="shared" si="629"/>
        <v>201.20607426341991</v>
      </c>
      <c r="BI181" s="679">
        <f t="shared" si="629"/>
        <v>164.25748121736916</v>
      </c>
      <c r="BJ181" s="679">
        <f t="shared" si="629"/>
        <v>190.82155980669444</v>
      </c>
      <c r="BK181" s="679"/>
      <c r="BL181" s="679"/>
      <c r="BM181" s="679"/>
      <c r="BN181" s="680"/>
      <c r="BO181" s="679"/>
      <c r="BP181" s="679"/>
      <c r="BQ181" s="679"/>
      <c r="BR181" s="679"/>
      <c r="BS181" s="679"/>
      <c r="BT181" s="679"/>
      <c r="BU181" s="679"/>
      <c r="BV181" s="679"/>
      <c r="BW181" s="679"/>
      <c r="BX181" s="679"/>
      <c r="BY181" s="679"/>
      <c r="BZ181" s="680"/>
    </row>
    <row r="182" spans="1:78" ht="16" thickBot="1">
      <c r="A182" s="681"/>
      <c r="B182" s="682"/>
      <c r="C182" s="682"/>
      <c r="D182" s="682"/>
      <c r="E182" s="682"/>
      <c r="F182" s="683"/>
      <c r="G182" s="682"/>
      <c r="H182" s="682"/>
      <c r="I182" s="682"/>
      <c r="J182" s="682"/>
      <c r="K182" s="682"/>
      <c r="L182" s="682"/>
      <c r="M182" s="682"/>
      <c r="N182" s="682"/>
      <c r="O182" s="682"/>
      <c r="P182" s="682"/>
      <c r="Q182" s="682"/>
      <c r="R182" s="683"/>
      <c r="S182" s="682"/>
      <c r="T182" s="682"/>
      <c r="U182" s="682"/>
      <c r="V182" s="682"/>
      <c r="W182" s="682"/>
      <c r="X182" s="682"/>
      <c r="Y182" s="682"/>
      <c r="Z182" s="682"/>
      <c r="AA182" s="682"/>
      <c r="AB182" s="682"/>
      <c r="AC182" s="682"/>
      <c r="AD182" s="683"/>
      <c r="AE182" s="682"/>
      <c r="AF182" s="682"/>
      <c r="AG182" s="682"/>
      <c r="AH182" s="682"/>
      <c r="AI182" s="682"/>
      <c r="AJ182" s="682"/>
      <c r="AK182" s="682"/>
      <c r="AL182" s="682"/>
      <c r="AM182" s="682"/>
      <c r="AN182" s="682"/>
      <c r="AO182" s="682"/>
      <c r="AP182" s="683"/>
      <c r="AQ182" s="682"/>
      <c r="AR182" s="682"/>
      <c r="AS182" s="682"/>
      <c r="AT182" s="682"/>
      <c r="AU182" s="682"/>
      <c r="AV182" s="682"/>
      <c r="AW182" s="682"/>
      <c r="AX182" s="682"/>
      <c r="AY182" s="682"/>
      <c r="AZ182" s="682"/>
      <c r="BA182" s="682"/>
      <c r="BB182" s="683"/>
      <c r="BC182" s="682"/>
      <c r="BD182" s="682"/>
      <c r="BE182" s="682"/>
      <c r="BF182" s="682"/>
      <c r="BG182" s="682"/>
      <c r="BH182" s="682"/>
      <c r="BI182" s="682"/>
      <c r="BJ182" s="682"/>
      <c r="BK182" s="682"/>
      <c r="BL182" s="682"/>
      <c r="BM182" s="682"/>
      <c r="BN182" s="683"/>
      <c r="BO182" s="682"/>
      <c r="BP182" s="682"/>
      <c r="BQ182" s="682"/>
      <c r="BR182" s="682"/>
      <c r="BS182" s="682"/>
      <c r="BT182" s="682"/>
      <c r="BU182" s="682"/>
      <c r="BV182" s="682"/>
      <c r="BW182" s="682"/>
      <c r="BX182" s="682"/>
      <c r="BY182" s="682"/>
      <c r="BZ182" s="683"/>
    </row>
    <row r="184" spans="1:78">
      <c r="AJ184" s="318"/>
    </row>
    <row r="185" spans="1:78" ht="19">
      <c r="A185" s="435" t="s">
        <v>469</v>
      </c>
      <c r="AJ185" s="318"/>
      <c r="AN185" s="43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 s="714"/>
      <c r="BG185" s="714"/>
      <c r="BH185" s="714"/>
    </row>
    <row r="186" spans="1:78">
      <c r="AJ186" s="318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</row>
    <row r="187" spans="1:78">
      <c r="AJ187" s="318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</row>
    <row r="188" spans="1:78"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</row>
    <row r="189" spans="1:78">
      <c r="AQ189" s="318"/>
      <c r="BC189" s="260"/>
    </row>
    <row r="190" spans="1:78">
      <c r="BC190" s="260"/>
    </row>
    <row r="192" spans="1:78">
      <c r="AQ192" s="196"/>
      <c r="BC192" s="196"/>
    </row>
    <row r="194" spans="55:55">
      <c r="BC194" s="260"/>
    </row>
    <row r="218" spans="1:7" ht="19">
      <c r="A218" s="435" t="s">
        <v>470</v>
      </c>
    </row>
    <row r="219" spans="1:7" ht="16" thickBot="1"/>
    <row r="220" spans="1:7" ht="20" customHeight="1">
      <c r="A220" s="666" t="s">
        <v>150</v>
      </c>
      <c r="B220" s="686">
        <v>2016</v>
      </c>
      <c r="C220" s="686">
        <v>2017</v>
      </c>
      <c r="D220" s="686">
        <v>2018</v>
      </c>
      <c r="E220" s="686">
        <v>2019</v>
      </c>
      <c r="F220" s="686">
        <v>2020</v>
      </c>
      <c r="G220" s="705" t="s">
        <v>507</v>
      </c>
    </row>
    <row r="221" spans="1:7">
      <c r="A221" s="669"/>
      <c r="B221" s="670"/>
      <c r="C221" s="670"/>
      <c r="D221" s="670"/>
      <c r="E221" s="670"/>
      <c r="F221" s="670"/>
      <c r="G221" s="671"/>
    </row>
    <row r="222" spans="1:7">
      <c r="A222" s="669" t="s">
        <v>458</v>
      </c>
      <c r="B222" s="665">
        <f t="shared" ref="B222:C225" si="630">SUM(G153:R153)</f>
        <v>65.963560767100006</v>
      </c>
      <c r="C222" s="665">
        <f t="shared" si="630"/>
        <v>66.2275954638</v>
      </c>
      <c r="D222" s="665">
        <f>SUM(AE153:AP153)</f>
        <v>32.145960000000002</v>
      </c>
      <c r="E222" s="689"/>
      <c r="F222" s="689"/>
      <c r="G222" s="672"/>
    </row>
    <row r="223" spans="1:7">
      <c r="A223" s="669" t="s">
        <v>459</v>
      </c>
      <c r="B223" s="665">
        <f t="shared" si="630"/>
        <v>33.208213431566939</v>
      </c>
      <c r="C223" s="665">
        <f t="shared" si="630"/>
        <v>32.647453031366943</v>
      </c>
      <c r="D223" s="665">
        <f>SUM(AE154:AP154)</f>
        <v>34.763359999999999</v>
      </c>
      <c r="E223" s="665">
        <f>SUM(AQ154:BB154)</f>
        <v>36.899632645399997</v>
      </c>
      <c r="F223" s="665">
        <f t="shared" ref="F223:F225" si="631">SUM(BC154:BN154)</f>
        <v>13.107559030664119</v>
      </c>
      <c r="G223" s="672">
        <f>SUM(BO154:BZ154)</f>
        <v>0</v>
      </c>
    </row>
    <row r="224" spans="1:7">
      <c r="A224" s="669" t="s">
        <v>460</v>
      </c>
      <c r="B224" s="665">
        <f t="shared" si="630"/>
        <v>34.394714151499997</v>
      </c>
      <c r="C224" s="665">
        <f t="shared" si="630"/>
        <v>34.4482451955</v>
      </c>
      <c r="D224" s="665">
        <f>SUM(AE155:AP155)</f>
        <v>34.505065000000002</v>
      </c>
      <c r="E224" s="665">
        <f>SUM(AQ155:BB155)</f>
        <v>35.537163</v>
      </c>
      <c r="F224" s="665">
        <f t="shared" si="631"/>
        <v>14.200623973259505</v>
      </c>
      <c r="G224" s="672">
        <f t="shared" ref="G224:G225" si="632">SUM(BO155:BZ155)</f>
        <v>0</v>
      </c>
    </row>
    <row r="225" spans="1:7">
      <c r="A225" s="669" t="s">
        <v>461</v>
      </c>
      <c r="B225" s="665">
        <f t="shared" si="630"/>
        <v>50.325781378324002</v>
      </c>
      <c r="C225" s="665">
        <f t="shared" si="630"/>
        <v>49.742435449524002</v>
      </c>
      <c r="D225" s="665">
        <f>SUM(AE156:AP156)</f>
        <v>54.066840999999997</v>
      </c>
      <c r="E225" s="665">
        <f>SUM(AQ156:BB156)</f>
        <v>52.446505000000009</v>
      </c>
      <c r="F225" s="665">
        <f t="shared" si="631"/>
        <v>18.01049378509888</v>
      </c>
      <c r="G225" s="672">
        <f t="shared" si="632"/>
        <v>0</v>
      </c>
    </row>
    <row r="226" spans="1:7">
      <c r="A226" s="673" t="s">
        <v>462</v>
      </c>
      <c r="B226" s="674">
        <f t="shared" ref="B226" si="633">SUM(B222:B225)</f>
        <v>183.89226972849093</v>
      </c>
      <c r="C226" s="674">
        <f t="shared" ref="C226:E226" si="634">SUM(C222:C225)</f>
        <v>183.06572914019094</v>
      </c>
      <c r="D226" s="674">
        <f t="shared" si="634"/>
        <v>155.48122599999999</v>
      </c>
      <c r="E226" s="674">
        <f t="shared" si="634"/>
        <v>124.8833006454</v>
      </c>
      <c r="F226" s="674">
        <f t="shared" ref="F226:G226" si="635">SUM(F222:F225)</f>
        <v>45.318676789022504</v>
      </c>
      <c r="G226" s="706">
        <f t="shared" si="635"/>
        <v>0</v>
      </c>
    </row>
    <row r="227" spans="1:7">
      <c r="A227" s="669"/>
      <c r="B227" s="670"/>
      <c r="C227" s="670"/>
      <c r="D227" s="670"/>
      <c r="E227" s="670"/>
      <c r="F227" s="670"/>
      <c r="G227" s="672"/>
    </row>
    <row r="228" spans="1:7">
      <c r="A228" s="669" t="s">
        <v>458</v>
      </c>
      <c r="B228" s="665">
        <f t="shared" ref="B228:C231" si="636">SUM(G159:R159)</f>
        <v>26.182619609300005</v>
      </c>
      <c r="C228" s="665">
        <f t="shared" si="636"/>
        <v>26.078521285000004</v>
      </c>
      <c r="D228" s="665">
        <f>SUM(AE159:AP159)</f>
        <v>13.315015999999998</v>
      </c>
      <c r="E228" s="689"/>
      <c r="F228" s="689"/>
      <c r="G228" s="672"/>
    </row>
    <row r="229" spans="1:7">
      <c r="A229" s="669" t="s">
        <v>459</v>
      </c>
      <c r="B229" s="665">
        <f t="shared" si="636"/>
        <v>25.208045963233054</v>
      </c>
      <c r="C229" s="665">
        <f t="shared" si="636"/>
        <v>24.573851450633061</v>
      </c>
      <c r="D229" s="665">
        <f>SUM(AE160:AP160)</f>
        <v>23.075619</v>
      </c>
      <c r="E229" s="665">
        <f>SUM(AQ160:BB160)</f>
        <v>23.7310522366</v>
      </c>
      <c r="F229" s="665">
        <f t="shared" ref="F229:F231" si="637">SUM(BC160:BN160)</f>
        <v>9.0788649693358803</v>
      </c>
      <c r="G229" s="672">
        <f>SUM(BO160:BZ160)</f>
        <v>0</v>
      </c>
    </row>
    <row r="230" spans="1:7">
      <c r="A230" s="669" t="s">
        <v>460</v>
      </c>
      <c r="B230" s="665">
        <f t="shared" si="636"/>
        <v>10.31808845786</v>
      </c>
      <c r="C230" s="665">
        <f t="shared" si="636"/>
        <v>10.01274591886</v>
      </c>
      <c r="D230" s="665">
        <f>SUM(AE161:AP161)</f>
        <v>8.3651109999999935</v>
      </c>
      <c r="E230" s="665">
        <f>SUM(AQ161:BB161)</f>
        <v>8.9933139999999998</v>
      </c>
      <c r="F230" s="665">
        <f t="shared" si="637"/>
        <v>3.6244060267404943</v>
      </c>
      <c r="G230" s="672">
        <f t="shared" ref="G230:G231" si="638">SUM(BO161:BZ161)</f>
        <v>0</v>
      </c>
    </row>
    <row r="231" spans="1:7">
      <c r="A231" s="669" t="s">
        <v>461</v>
      </c>
      <c r="B231" s="665">
        <f t="shared" si="636"/>
        <v>44.702726877152003</v>
      </c>
      <c r="C231" s="665">
        <f t="shared" si="636"/>
        <v>44.437427068951997</v>
      </c>
      <c r="D231" s="665">
        <f>SUM(AE162:AP162)</f>
        <v>43.518387000000004</v>
      </c>
      <c r="E231" s="665">
        <f>SUM(AQ162:BB162)</f>
        <v>40.354230999999999</v>
      </c>
      <c r="F231" s="665">
        <f t="shared" si="637"/>
        <v>12.44515821490112</v>
      </c>
      <c r="G231" s="672">
        <f t="shared" si="638"/>
        <v>0</v>
      </c>
    </row>
    <row r="232" spans="1:7">
      <c r="A232" s="673" t="s">
        <v>463</v>
      </c>
      <c r="B232" s="674">
        <f t="shared" ref="B232" si="639">SUM(B228:B231)</f>
        <v>106.41148090754507</v>
      </c>
      <c r="C232" s="674">
        <f t="shared" ref="C232:E232" si="640">SUM(C228:C231)</f>
        <v>105.10254572344506</v>
      </c>
      <c r="D232" s="674">
        <f t="shared" si="640"/>
        <v>88.274132999999992</v>
      </c>
      <c r="E232" s="674">
        <f t="shared" si="640"/>
        <v>73.07859723659999</v>
      </c>
      <c r="F232" s="674">
        <f t="shared" ref="F232:G232" si="641">SUM(F228:F231)</f>
        <v>25.148429210977497</v>
      </c>
      <c r="G232" s="706">
        <f t="shared" si="641"/>
        <v>0</v>
      </c>
    </row>
    <row r="233" spans="1:7">
      <c r="A233" s="669"/>
      <c r="B233" s="670"/>
      <c r="C233" s="670"/>
      <c r="D233" s="670"/>
      <c r="E233" s="670"/>
      <c r="F233" s="670"/>
      <c r="G233" s="672"/>
    </row>
    <row r="234" spans="1:7">
      <c r="A234" s="669" t="s">
        <v>458</v>
      </c>
      <c r="B234" s="665">
        <f>B222+B228</f>
        <v>92.146180376400011</v>
      </c>
      <c r="C234" s="665">
        <f t="shared" ref="C234:D234" si="642">C222+C228</f>
        <v>92.306116748800008</v>
      </c>
      <c r="D234" s="665">
        <f t="shared" si="642"/>
        <v>45.460976000000002</v>
      </c>
      <c r="E234" s="689"/>
      <c r="F234" s="689"/>
      <c r="G234" s="672"/>
    </row>
    <row r="235" spans="1:7">
      <c r="A235" s="669" t="s">
        <v>459</v>
      </c>
      <c r="B235" s="665">
        <f t="shared" ref="B235:G237" si="643">B223+B229</f>
        <v>58.416259394799994</v>
      </c>
      <c r="C235" s="665">
        <f t="shared" si="643"/>
        <v>57.221304482000008</v>
      </c>
      <c r="D235" s="665">
        <f t="shared" si="643"/>
        <v>57.838978999999995</v>
      </c>
      <c r="E235" s="665">
        <f t="shared" si="643"/>
        <v>60.630684881999997</v>
      </c>
      <c r="F235" s="665">
        <f t="shared" ref="F235:F237" si="644">SUM(BC166:BN166)</f>
        <v>29.677628000000002</v>
      </c>
      <c r="G235" s="672">
        <f t="shared" si="643"/>
        <v>0</v>
      </c>
    </row>
    <row r="236" spans="1:7">
      <c r="A236" s="669" t="s">
        <v>460</v>
      </c>
      <c r="B236" s="665">
        <f t="shared" si="643"/>
        <v>44.712802609359997</v>
      </c>
      <c r="C236" s="665">
        <f t="shared" si="643"/>
        <v>44.460991114359999</v>
      </c>
      <c r="D236" s="665">
        <f t="shared" si="643"/>
        <v>42.870175999999994</v>
      </c>
      <c r="E236" s="665">
        <f t="shared" ref="E236" si="645">E224+E230</f>
        <v>44.530476999999998</v>
      </c>
      <c r="F236" s="665">
        <f t="shared" si="644"/>
        <v>23.569890999999998</v>
      </c>
      <c r="G236" s="672">
        <f t="shared" ref="G236" si="646">G224+G230</f>
        <v>0</v>
      </c>
    </row>
    <row r="237" spans="1:7">
      <c r="A237" s="669" t="s">
        <v>461</v>
      </c>
      <c r="B237" s="665">
        <f t="shared" si="643"/>
        <v>95.028508255475998</v>
      </c>
      <c r="C237" s="665">
        <f t="shared" si="643"/>
        <v>94.179862518476</v>
      </c>
      <c r="D237" s="665">
        <f t="shared" si="643"/>
        <v>97.585228000000001</v>
      </c>
      <c r="E237" s="665">
        <f t="shared" ref="E237" si="647">E225+E231</f>
        <v>92.800736000000001</v>
      </c>
      <c r="F237" s="665">
        <f t="shared" si="644"/>
        <v>41.56456</v>
      </c>
      <c r="G237" s="672">
        <f t="shared" ref="G237" si="648">G225+G231</f>
        <v>0</v>
      </c>
    </row>
    <row r="238" spans="1:7">
      <c r="A238" s="675" t="s">
        <v>464</v>
      </c>
      <c r="B238" s="676">
        <f t="shared" ref="B238" si="649">SUM(B234:B237)</f>
        <v>290.30375063603594</v>
      </c>
      <c r="C238" s="676">
        <f t="shared" ref="C238:E238" si="650">SUM(C234:C237)</f>
        <v>288.16827486363604</v>
      </c>
      <c r="D238" s="676">
        <f t="shared" si="650"/>
        <v>243.755359</v>
      </c>
      <c r="E238" s="676">
        <f t="shared" si="650"/>
        <v>197.96189788199999</v>
      </c>
      <c r="F238" s="676">
        <f t="shared" ref="F238:G238" si="651">SUM(F234:F237)</f>
        <v>94.812078999999997</v>
      </c>
      <c r="G238" s="707">
        <f t="shared" si="651"/>
        <v>0</v>
      </c>
    </row>
    <row r="239" spans="1:7">
      <c r="A239" s="669"/>
      <c r="B239" s="665"/>
      <c r="C239" s="665"/>
      <c r="D239" s="665"/>
      <c r="E239" s="665"/>
      <c r="F239" s="665"/>
      <c r="G239" s="672"/>
    </row>
    <row r="240" spans="1:7">
      <c r="A240" s="669" t="s">
        <v>458</v>
      </c>
      <c r="B240" s="677">
        <f>SUM(G171:R171)</f>
        <v>701409.64269999997</v>
      </c>
      <c r="C240" s="677">
        <f>SUM(S171:AD171)</f>
        <v>661952</v>
      </c>
      <c r="D240" s="677">
        <f>SUM(AE171:AP171)</f>
        <v>321587</v>
      </c>
      <c r="E240" s="702"/>
      <c r="F240" s="702"/>
      <c r="G240" s="678"/>
    </row>
    <row r="241" spans="1:36">
      <c r="A241" s="669" t="s">
        <v>459</v>
      </c>
      <c r="B241" s="677">
        <f>SUM(G172:R172)</f>
        <v>422766.55609999999</v>
      </c>
      <c r="C241" s="677">
        <f>SUM(S172:AD172)</f>
        <v>360278</v>
      </c>
      <c r="D241" s="677">
        <f>SUM(AE172:AP172)</f>
        <v>350678</v>
      </c>
      <c r="E241" s="677">
        <f>SUM(AQ172:BB172)</f>
        <v>337858.40399999998</v>
      </c>
      <c r="F241" s="677">
        <f t="shared" ref="F241:F243" si="652">SUM(BC172:BN172)</f>
        <v>100609</v>
      </c>
      <c r="G241" s="678">
        <f>SUM(BO172:BZ172)</f>
        <v>0</v>
      </c>
    </row>
    <row r="242" spans="1:36">
      <c r="A242" s="669" t="s">
        <v>460</v>
      </c>
      <c r="B242" s="677">
        <f>SUM(G173:R173)</f>
        <v>225047.3946</v>
      </c>
      <c r="C242" s="677">
        <f>SUM(S173:AD173)</f>
        <v>203585</v>
      </c>
      <c r="D242" s="677">
        <f>SUM(AE173:AP173)</f>
        <v>188678</v>
      </c>
      <c r="E242" s="677">
        <f>SUM(AQ173:BB173)</f>
        <v>182286</v>
      </c>
      <c r="F242" s="677">
        <f>SUM(BC173:BN173)</f>
        <v>48155</v>
      </c>
      <c r="G242" s="678">
        <f t="shared" ref="G242:G243" si="653">SUM(BO173:BZ173)</f>
        <v>0</v>
      </c>
    </row>
    <row r="243" spans="1:36">
      <c r="A243" s="669" t="s">
        <v>461</v>
      </c>
      <c r="B243" s="677">
        <f>SUM(G174:R174)</f>
        <v>739374.21</v>
      </c>
      <c r="C243" s="677">
        <f>SUM(S174:AD174)</f>
        <v>775693</v>
      </c>
      <c r="D243" s="677">
        <f>SUM(AE174:AP174)</f>
        <v>720650</v>
      </c>
      <c r="E243" s="677">
        <f>SUM(AQ174:BB174)</f>
        <v>689067</v>
      </c>
      <c r="F243" s="677">
        <f t="shared" si="652"/>
        <v>152486</v>
      </c>
      <c r="G243" s="678">
        <f t="shared" si="653"/>
        <v>0</v>
      </c>
    </row>
    <row r="244" spans="1:36">
      <c r="A244" s="673" t="s">
        <v>465</v>
      </c>
      <c r="B244" s="679">
        <f t="shared" ref="B244" si="654">SUM(B240:B243)</f>
        <v>2088597.8033999999</v>
      </c>
      <c r="C244" s="679">
        <f t="shared" ref="C244:E244" si="655">SUM(C240:C243)</f>
        <v>2001508</v>
      </c>
      <c r="D244" s="679">
        <f t="shared" si="655"/>
        <v>1581593</v>
      </c>
      <c r="E244" s="679">
        <f t="shared" si="655"/>
        <v>1209211.4040000001</v>
      </c>
      <c r="F244" s="679">
        <f t="shared" ref="F244:G244" si="656">SUM(F240:F243)</f>
        <v>301250</v>
      </c>
      <c r="G244" s="680">
        <f t="shared" si="656"/>
        <v>0</v>
      </c>
    </row>
    <row r="245" spans="1:36">
      <c r="A245" s="669"/>
      <c r="B245" s="665"/>
      <c r="C245" s="665"/>
      <c r="D245" s="665"/>
      <c r="E245" s="665"/>
      <c r="F245" s="665"/>
      <c r="G245" s="672"/>
    </row>
    <row r="246" spans="1:36">
      <c r="A246" s="669" t="s">
        <v>458</v>
      </c>
      <c r="B246" s="677">
        <f t="shared" ref="B246" si="657">B234/B240*1000000</f>
        <v>131.3728451489394</v>
      </c>
      <c r="C246" s="677">
        <f t="shared" ref="C246:D246" si="658">C234/C240*1000000</f>
        <v>139.44533251474428</v>
      </c>
      <c r="D246" s="677">
        <f t="shared" si="658"/>
        <v>141.36447057872363</v>
      </c>
      <c r="E246" s="702"/>
      <c r="F246" s="702"/>
      <c r="G246" s="678"/>
    </row>
    <row r="247" spans="1:36">
      <c r="A247" s="669" t="s">
        <v>459</v>
      </c>
      <c r="B247" s="677">
        <f t="shared" ref="B247" si="659">B235/B241*1000000</f>
        <v>138.17616022820494</v>
      </c>
      <c r="C247" s="677">
        <f t="shared" ref="C247:D247" si="660">C235/C241*1000000</f>
        <v>158.8254194871738</v>
      </c>
      <c r="D247" s="677">
        <f t="shared" si="660"/>
        <v>164.93472359258348</v>
      </c>
      <c r="E247" s="677">
        <f t="shared" ref="E247:F247" si="661">E235/E241*1000000</f>
        <v>179.45590272189887</v>
      </c>
      <c r="F247" s="677">
        <f t="shared" si="661"/>
        <v>294.97985269707488</v>
      </c>
      <c r="G247" s="678" t="e">
        <f t="shared" ref="G247" si="662">G235/G241*1000000</f>
        <v>#DIV/0!</v>
      </c>
    </row>
    <row r="248" spans="1:36">
      <c r="A248" s="669" t="s">
        <v>460</v>
      </c>
      <c r="B248" s="677">
        <f t="shared" ref="B248" si="663">B236/B242*1000000</f>
        <v>198.68171630617047</v>
      </c>
      <c r="C248" s="677">
        <f t="shared" ref="C248:D248" si="664">C236/C242*1000000</f>
        <v>218.390309277992</v>
      </c>
      <c r="D248" s="677">
        <f t="shared" si="664"/>
        <v>227.21343240865386</v>
      </c>
      <c r="E248" s="677">
        <f t="shared" ref="E248:F248" si="665">E236/E242*1000000</f>
        <v>244.28906772873393</v>
      </c>
      <c r="F248" s="677">
        <f t="shared" si="665"/>
        <v>489.45885162496097</v>
      </c>
      <c r="G248" s="678" t="e">
        <f t="shared" ref="G248" si="666">G236/G242*1000000</f>
        <v>#DIV/0!</v>
      </c>
    </row>
    <row r="249" spans="1:36">
      <c r="A249" s="669" t="s">
        <v>461</v>
      </c>
      <c r="B249" s="677">
        <f t="shared" ref="B249" si="667">B237/B243*1000000</f>
        <v>128.5255922781997</v>
      </c>
      <c r="C249" s="677">
        <f t="shared" ref="C249:D249" si="668">C237/C243*1000000</f>
        <v>121.41383578100614</v>
      </c>
      <c r="D249" s="677">
        <f t="shared" si="668"/>
        <v>135.41279123013948</v>
      </c>
      <c r="E249" s="677">
        <f t="shared" ref="E249:F249" si="669">E237/E243*1000000</f>
        <v>134.67592556311649</v>
      </c>
      <c r="F249" s="677">
        <f t="shared" si="669"/>
        <v>272.5795154965046</v>
      </c>
      <c r="G249" s="678" t="e">
        <f t="shared" ref="G249" si="670">G237/G243*1000000</f>
        <v>#DIV/0!</v>
      </c>
    </row>
    <row r="250" spans="1:36">
      <c r="A250" s="673" t="s">
        <v>466</v>
      </c>
      <c r="B250" s="679">
        <f t="shared" ref="B250" si="671">B238/B244*1000000</f>
        <v>138.99456858733376</v>
      </c>
      <c r="C250" s="679">
        <f t="shared" ref="C250:D250" si="672">C238/C244*1000000</f>
        <v>143.9755798446152</v>
      </c>
      <c r="D250" s="679">
        <f t="shared" si="672"/>
        <v>154.12015543821954</v>
      </c>
      <c r="E250" s="679">
        <f>E238/E244*1000000</f>
        <v>163.71157038972152</v>
      </c>
      <c r="F250" s="679">
        <f>F238/F244*1000000</f>
        <v>314.72889294605807</v>
      </c>
      <c r="G250" s="680" t="e">
        <f>G238/G244*1000000</f>
        <v>#DIV/0!</v>
      </c>
    </row>
    <row r="251" spans="1:36" ht="16" thickBot="1">
      <c r="A251" s="681"/>
      <c r="B251" s="682"/>
      <c r="C251" s="682"/>
      <c r="D251" s="682"/>
      <c r="E251" s="682"/>
      <c r="F251" s="682"/>
      <c r="G251" s="683"/>
    </row>
    <row r="253" spans="1:36" ht="19">
      <c r="A253" s="435" t="s">
        <v>469</v>
      </c>
      <c r="AJ253" s="318"/>
    </row>
    <row r="254" spans="1:36">
      <c r="AJ254" s="318"/>
    </row>
    <row r="255" spans="1:36">
      <c r="AJ255" s="318"/>
    </row>
    <row r="286" spans="1:205" ht="16" thickBo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61"/>
      <c r="N286" s="61"/>
      <c r="O286" s="61"/>
      <c r="P286" s="504"/>
      <c r="Q286" s="504"/>
      <c r="R286" s="504"/>
      <c r="S286" s="504"/>
      <c r="T286" s="504"/>
      <c r="U286" s="504"/>
      <c r="V286" s="504"/>
      <c r="W286" s="504"/>
      <c r="X286" s="504"/>
      <c r="Y286" s="504"/>
      <c r="Z286" s="504"/>
      <c r="AA286" s="504"/>
      <c r="AB286" s="504"/>
      <c r="AC286" s="504"/>
      <c r="AD286" s="504"/>
      <c r="AE286" s="504"/>
      <c r="AF286" s="504"/>
      <c r="AG286" s="504"/>
      <c r="AH286" s="504"/>
      <c r="AI286" s="504"/>
      <c r="AJ286" s="504"/>
      <c r="AK286" s="504"/>
      <c r="AL286" s="504"/>
      <c r="AM286" s="504"/>
      <c r="AN286" s="504"/>
      <c r="AO286" s="504"/>
      <c r="AP286" s="504"/>
      <c r="AQ286" s="504"/>
      <c r="AR286" s="504"/>
      <c r="AS286" s="504"/>
      <c r="AT286" s="504"/>
      <c r="AU286" s="504"/>
      <c r="AV286" s="504"/>
      <c r="AW286" s="504"/>
      <c r="AX286" s="504"/>
      <c r="AY286" s="504"/>
      <c r="AZ286" s="504"/>
      <c r="BA286" s="504"/>
      <c r="BB286" s="504"/>
      <c r="BC286" s="504"/>
      <c r="BD286" s="504"/>
      <c r="BE286" s="504"/>
      <c r="BF286" s="504"/>
      <c r="BG286" s="504"/>
      <c r="BH286" s="504"/>
      <c r="BI286" s="504"/>
      <c r="BJ286" s="504"/>
      <c r="BK286" s="504"/>
      <c r="BL286" s="504"/>
      <c r="BM286" s="504"/>
      <c r="BN286" s="504"/>
      <c r="BO286" s="504"/>
      <c r="BP286" s="504"/>
      <c r="BQ286" s="504"/>
      <c r="BR286" s="504"/>
      <c r="BS286" s="504"/>
      <c r="BT286" s="504"/>
      <c r="BU286" s="504"/>
      <c r="BV286" s="504"/>
      <c r="BW286" s="504"/>
      <c r="BX286" s="504"/>
      <c r="BY286" s="504"/>
      <c r="BZ286" s="504"/>
      <c r="CA286" s="504"/>
      <c r="CB286" s="504"/>
      <c r="CC286" s="504"/>
      <c r="CD286" s="504"/>
      <c r="CE286" s="504"/>
      <c r="CF286" s="504"/>
      <c r="CG286" s="504"/>
      <c r="CH286" s="504"/>
      <c r="CI286" s="504"/>
      <c r="CJ286" s="504"/>
      <c r="CK286" s="504"/>
      <c r="CL286" s="504"/>
      <c r="CM286" s="504"/>
      <c r="CN286" s="504"/>
      <c r="CO286" s="504"/>
      <c r="CP286" s="504"/>
      <c r="CQ286" s="504"/>
      <c r="CR286" s="504"/>
      <c r="CS286" s="504"/>
      <c r="CT286" s="504"/>
      <c r="CU286" s="504"/>
      <c r="CV286" s="504"/>
      <c r="CW286" s="504"/>
      <c r="CX286" s="504"/>
      <c r="CY286" s="504"/>
      <c r="CZ286" s="504"/>
      <c r="DA286" s="504"/>
      <c r="DB286" s="504"/>
      <c r="DC286" s="504"/>
      <c r="DD286" s="504"/>
      <c r="DE286" s="504"/>
      <c r="DF286" s="504"/>
      <c r="DG286" s="504"/>
      <c r="DH286" s="504"/>
      <c r="DI286" s="504"/>
      <c r="DJ286" s="504"/>
      <c r="DK286" s="504"/>
      <c r="DL286" s="504"/>
      <c r="DM286" s="504"/>
      <c r="DN286" s="504"/>
      <c r="DO286" s="504"/>
      <c r="DP286" s="504"/>
      <c r="DQ286" s="504"/>
      <c r="DR286" s="504"/>
      <c r="DS286" s="504"/>
      <c r="DT286" s="504"/>
      <c r="DU286" s="504"/>
      <c r="DV286" s="504"/>
      <c r="DW286" s="504"/>
      <c r="DX286" s="504"/>
      <c r="DY286" s="504"/>
      <c r="DZ286" s="504"/>
      <c r="EA286" s="504"/>
      <c r="EB286" s="504"/>
      <c r="EC286" s="504"/>
      <c r="ED286" s="504"/>
      <c r="EE286" s="504"/>
      <c r="EF286" s="504"/>
      <c r="EG286" s="504"/>
      <c r="EH286" s="504"/>
      <c r="EI286" s="504"/>
      <c r="EJ286" s="504"/>
      <c r="EK286" s="504"/>
      <c r="EL286" s="504"/>
      <c r="EM286" s="504"/>
      <c r="EN286" s="504"/>
      <c r="EO286" s="504"/>
      <c r="EP286" s="504"/>
      <c r="EQ286" s="504"/>
      <c r="ER286" s="504"/>
      <c r="ES286" s="504"/>
      <c r="ET286" s="504"/>
      <c r="EU286" s="504"/>
      <c r="EV286" s="504"/>
      <c r="EW286" s="504"/>
      <c r="EX286" s="504"/>
      <c r="EY286" s="504"/>
      <c r="EZ286" s="504"/>
      <c r="FA286" s="504"/>
      <c r="FB286" s="504"/>
      <c r="FC286" s="504"/>
      <c r="FD286" s="504"/>
      <c r="FE286" s="504"/>
      <c r="FF286" s="504"/>
      <c r="FG286" s="504"/>
      <c r="FH286" s="504"/>
      <c r="FI286" s="504"/>
      <c r="FJ286" s="504"/>
      <c r="FK286" s="504"/>
      <c r="FL286" s="504"/>
      <c r="FM286" s="504"/>
      <c r="FN286" s="504"/>
      <c r="FO286" s="504"/>
      <c r="FP286" s="504"/>
      <c r="FQ286" s="504"/>
      <c r="FR286" s="504"/>
      <c r="FS286" s="504"/>
      <c r="FT286" s="504"/>
      <c r="FU286" s="504"/>
      <c r="FV286" s="504"/>
      <c r="FW286" s="504"/>
      <c r="FX286" s="504"/>
      <c r="FY286" s="504"/>
      <c r="FZ286" s="504"/>
      <c r="GA286" s="504"/>
      <c r="GB286" s="504"/>
      <c r="GC286" s="504"/>
      <c r="GD286" s="504"/>
      <c r="GE286" s="504"/>
      <c r="GF286" s="504"/>
      <c r="GG286" s="504"/>
      <c r="GH286" s="504"/>
      <c r="GI286" s="504"/>
      <c r="GJ286" s="504"/>
      <c r="GK286" s="504"/>
      <c r="GL286" s="504"/>
      <c r="GM286" s="504"/>
      <c r="GN286" s="504"/>
      <c r="GO286" s="504"/>
      <c r="GP286" s="504"/>
      <c r="GQ286" s="504"/>
      <c r="GR286" s="504"/>
      <c r="GS286" s="504"/>
      <c r="GT286" s="504"/>
      <c r="GU286" s="504"/>
      <c r="GV286" s="504"/>
      <c r="GW286" s="504"/>
    </row>
    <row r="287" spans="1:205">
      <c r="A287" s="9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10"/>
      <c r="CS287" s="10"/>
      <c r="CT287" s="10"/>
      <c r="CU287" s="10"/>
      <c r="CV287" s="10"/>
      <c r="CW287" s="10"/>
      <c r="CX287" s="10"/>
      <c r="CY287" s="10"/>
      <c r="CZ287" s="10"/>
      <c r="DA287" s="10"/>
      <c r="DB287" s="10"/>
      <c r="DC287" s="10"/>
      <c r="DD287" s="10"/>
      <c r="DE287" s="10"/>
      <c r="DF287" s="10"/>
      <c r="DG287" s="10"/>
      <c r="DH287" s="10"/>
      <c r="DI287" s="10"/>
      <c r="DJ287" s="10"/>
      <c r="DK287" s="10"/>
      <c r="DL287" s="10"/>
      <c r="DM287" s="10"/>
      <c r="DN287" s="10"/>
      <c r="DO287" s="10"/>
      <c r="DP287" s="10"/>
      <c r="DQ287" s="10"/>
      <c r="DR287" s="10"/>
      <c r="DS287" s="10"/>
      <c r="DT287" s="10"/>
      <c r="DU287" s="10"/>
      <c r="DV287" s="10"/>
      <c r="DW287" s="10"/>
      <c r="DX287" s="10"/>
      <c r="DY287" s="10"/>
      <c r="DZ287" s="10"/>
      <c r="EA287" s="10"/>
      <c r="EB287" s="10"/>
      <c r="EC287" s="10"/>
      <c r="ED287" s="10"/>
      <c r="EE287" s="10"/>
      <c r="EF287" s="10"/>
      <c r="EG287" s="10"/>
      <c r="EH287" s="10"/>
      <c r="EI287" s="10"/>
      <c r="EJ287" s="10"/>
      <c r="EK287" s="10"/>
      <c r="EL287" s="10"/>
      <c r="EM287" s="10"/>
      <c r="EN287" s="10"/>
      <c r="EO287" s="10"/>
      <c r="EP287" s="10"/>
      <c r="EQ287" s="10"/>
      <c r="ER287" s="10"/>
      <c r="ES287" s="10"/>
      <c r="ET287" s="10"/>
      <c r="EU287" s="10"/>
      <c r="EV287" s="10"/>
      <c r="EW287" s="10"/>
      <c r="EX287" s="10"/>
      <c r="EY287" s="10"/>
      <c r="EZ287" s="10"/>
      <c r="FA287" s="10"/>
      <c r="FB287" s="10"/>
      <c r="FC287" s="10"/>
      <c r="FD287" s="10"/>
      <c r="FE287" s="10"/>
      <c r="FF287" s="10"/>
      <c r="FG287" s="10"/>
      <c r="FH287" s="10"/>
      <c r="FI287" s="10"/>
      <c r="FJ287" s="10"/>
      <c r="FK287" s="10"/>
      <c r="FL287" s="10"/>
      <c r="FM287" s="10"/>
      <c r="FN287" s="10"/>
      <c r="FO287" s="10"/>
      <c r="FP287" s="10"/>
      <c r="FQ287" s="10"/>
      <c r="FR287" s="10"/>
      <c r="FS287" s="10"/>
      <c r="FT287" s="10"/>
      <c r="FU287" s="10"/>
      <c r="FV287" s="10"/>
      <c r="FW287" s="10"/>
      <c r="FX287" s="10"/>
      <c r="FY287" s="10"/>
      <c r="FZ287" s="10"/>
      <c r="GA287" s="10"/>
      <c r="GB287" s="10"/>
      <c r="GC287" s="10"/>
      <c r="GD287" s="10"/>
      <c r="GE287" s="10"/>
      <c r="GF287" s="10"/>
      <c r="GG287" s="10"/>
      <c r="GH287" s="10"/>
      <c r="GI287" s="10"/>
      <c r="GJ287" s="10"/>
      <c r="GK287" s="10"/>
      <c r="GL287" s="10"/>
      <c r="GM287" s="10"/>
      <c r="GN287" s="10"/>
      <c r="GO287" s="10"/>
      <c r="GP287" s="10"/>
      <c r="GQ287" s="10"/>
      <c r="GR287" s="10"/>
      <c r="GS287" s="10"/>
      <c r="GT287" s="10"/>
      <c r="GU287" s="10"/>
      <c r="GV287" s="10"/>
      <c r="GW287" s="10"/>
    </row>
    <row r="288" spans="1:205" ht="16" thickBo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64"/>
      <c r="AN288" s="64"/>
      <c r="AO288" s="64"/>
      <c r="AP288" s="64"/>
      <c r="AQ288" s="64"/>
      <c r="AR288" s="64"/>
      <c r="AS288" s="64"/>
      <c r="AT288" s="64"/>
      <c r="AU288" s="64"/>
      <c r="AV288" s="64"/>
      <c r="AW288" s="64"/>
      <c r="AX288" s="64"/>
      <c r="AY288" s="64"/>
      <c r="AZ288" s="64"/>
      <c r="BA288" s="64"/>
      <c r="BB288" s="64"/>
      <c r="BC288" s="64"/>
      <c r="BD288" s="64"/>
      <c r="BE288" s="64"/>
      <c r="BF288" s="64"/>
      <c r="BG288" s="64"/>
      <c r="BH288" s="64"/>
      <c r="BI288" s="64"/>
      <c r="BJ288" s="64"/>
      <c r="BK288" s="64"/>
      <c r="BL288" s="64"/>
      <c r="BM288" s="64"/>
      <c r="BN288" s="64"/>
      <c r="BO288" s="64"/>
      <c r="BP288" s="64"/>
      <c r="BQ288" s="64"/>
      <c r="BR288" s="64"/>
      <c r="BS288" s="64"/>
      <c r="BT288" s="64"/>
      <c r="BU288" s="64"/>
      <c r="BV288" s="64"/>
      <c r="BW288" s="64"/>
      <c r="BX288" s="64"/>
      <c r="BY288" s="64"/>
      <c r="BZ288" s="64"/>
      <c r="CA288" s="64"/>
      <c r="CB288" s="64"/>
      <c r="CC288" s="64"/>
      <c r="CD288" s="64"/>
      <c r="CE288" s="64"/>
      <c r="CF288" s="64"/>
      <c r="CG288" s="64"/>
      <c r="CH288" s="64"/>
      <c r="CI288" s="64"/>
      <c r="CJ288" s="64"/>
      <c r="CK288" s="64"/>
      <c r="CL288" s="64"/>
      <c r="CM288" s="64"/>
      <c r="CN288" s="64"/>
      <c r="CO288" s="64"/>
      <c r="CP288" s="64"/>
      <c r="CQ288" s="64"/>
      <c r="CR288" s="64"/>
      <c r="CS288" s="64"/>
      <c r="CT288" s="64"/>
      <c r="CU288" s="64"/>
      <c r="CV288" s="64"/>
      <c r="CW288" s="64"/>
      <c r="CX288" s="64"/>
      <c r="CY288" s="64"/>
      <c r="CZ288" s="64"/>
      <c r="DA288" s="64"/>
      <c r="DB288" s="64"/>
      <c r="DC288" s="64"/>
      <c r="DD288" s="64"/>
      <c r="DE288" s="64"/>
      <c r="DF288" s="64"/>
      <c r="DG288" s="64"/>
      <c r="DH288" s="64"/>
      <c r="DI288" s="64"/>
      <c r="DJ288" s="64"/>
      <c r="DK288" s="64"/>
      <c r="DL288" s="64"/>
      <c r="DM288" s="64"/>
      <c r="DN288" s="64"/>
      <c r="DO288" s="64"/>
      <c r="DP288" s="64"/>
      <c r="DQ288" s="64"/>
      <c r="DR288" s="64"/>
      <c r="DS288" s="64"/>
      <c r="DT288" s="64"/>
      <c r="DU288" s="64"/>
      <c r="DV288" s="64"/>
      <c r="DW288" s="64"/>
      <c r="DX288" s="64"/>
      <c r="DY288" s="64"/>
      <c r="DZ288" s="64"/>
      <c r="EA288" s="64"/>
      <c r="EB288" s="64"/>
      <c r="EC288" s="64"/>
      <c r="ED288" s="64"/>
      <c r="EE288" s="64"/>
      <c r="EF288" s="64"/>
      <c r="EG288" s="64"/>
      <c r="EH288" s="64"/>
      <c r="EI288" s="64"/>
      <c r="EJ288" s="64"/>
      <c r="EK288" s="64"/>
      <c r="EL288" s="64"/>
      <c r="EM288" s="64"/>
      <c r="EN288" s="64"/>
      <c r="EO288" s="64"/>
      <c r="EP288" s="64"/>
      <c r="EQ288" s="64"/>
      <c r="ER288" s="64"/>
      <c r="ES288" s="64"/>
      <c r="ET288" s="64"/>
      <c r="EU288" s="64"/>
      <c r="EV288" s="64"/>
      <c r="EW288" s="64"/>
      <c r="EX288" s="64"/>
      <c r="EY288" s="64"/>
      <c r="EZ288" s="64"/>
      <c r="FA288" s="64"/>
      <c r="FB288" s="64"/>
      <c r="FC288" s="64"/>
      <c r="FD288" s="64"/>
      <c r="FE288" s="64"/>
      <c r="FF288" s="64"/>
      <c r="FG288" s="64"/>
      <c r="FH288" s="64"/>
      <c r="FI288" s="64"/>
      <c r="FJ288" s="64"/>
      <c r="FK288" s="64"/>
      <c r="FL288" s="64"/>
      <c r="FM288" s="64"/>
      <c r="FN288" s="64"/>
      <c r="FO288" s="64"/>
      <c r="FP288" s="64"/>
      <c r="FQ288" s="64"/>
      <c r="FR288" s="64"/>
      <c r="FS288" s="64"/>
      <c r="FT288" s="64"/>
      <c r="FU288" s="64"/>
      <c r="FV288" s="64"/>
      <c r="FW288" s="64"/>
      <c r="FX288" s="64"/>
      <c r="FY288" s="64"/>
      <c r="FZ288" s="64"/>
      <c r="GA288" s="64"/>
      <c r="GB288" s="64"/>
      <c r="GC288" s="64"/>
      <c r="GD288" s="64"/>
      <c r="GE288" s="64"/>
      <c r="GF288" s="64"/>
      <c r="GG288" s="64"/>
      <c r="GH288" s="64"/>
      <c r="GI288" s="64"/>
      <c r="GJ288" s="64"/>
      <c r="GK288" s="64"/>
      <c r="GL288" s="64"/>
      <c r="GM288" s="64"/>
      <c r="GN288" s="64"/>
      <c r="GO288" s="64"/>
      <c r="GP288" s="64"/>
      <c r="GQ288" s="64"/>
      <c r="GR288" s="64"/>
      <c r="GS288" s="64"/>
      <c r="GT288" s="64"/>
      <c r="GU288" s="64"/>
      <c r="GV288" s="64"/>
      <c r="GW288" s="64"/>
    </row>
    <row r="289" spans="1:205" ht="16" thickBot="1"/>
    <row r="290" spans="1:205" ht="20" customHeight="1">
      <c r="A290" s="662" t="s">
        <v>286</v>
      </c>
      <c r="B290" s="663">
        <v>39814</v>
      </c>
      <c r="C290" s="663">
        <v>39845</v>
      </c>
      <c r="D290" s="663">
        <v>39873</v>
      </c>
      <c r="E290" s="663">
        <v>39904</v>
      </c>
      <c r="F290" s="663">
        <v>39934</v>
      </c>
      <c r="G290" s="663">
        <v>39965</v>
      </c>
      <c r="H290" s="663">
        <v>39995</v>
      </c>
      <c r="I290" s="663">
        <v>40026</v>
      </c>
      <c r="J290" s="663">
        <v>40057</v>
      </c>
      <c r="K290" s="663">
        <v>40087</v>
      </c>
      <c r="L290" s="663">
        <v>40118</v>
      </c>
      <c r="M290" s="664">
        <v>40148</v>
      </c>
      <c r="N290" s="663">
        <v>40179</v>
      </c>
      <c r="O290" s="663">
        <v>40210</v>
      </c>
      <c r="P290" s="663">
        <v>40238</v>
      </c>
      <c r="Q290" s="663">
        <v>40269</v>
      </c>
      <c r="R290" s="663">
        <v>40299</v>
      </c>
      <c r="S290" s="663">
        <v>40330</v>
      </c>
      <c r="T290" s="663">
        <v>40360</v>
      </c>
      <c r="U290" s="663">
        <v>40391</v>
      </c>
      <c r="V290" s="663">
        <v>40422</v>
      </c>
      <c r="W290" s="663">
        <v>40452</v>
      </c>
      <c r="X290" s="663">
        <v>40483</v>
      </c>
      <c r="Y290" s="664">
        <v>40513</v>
      </c>
      <c r="Z290" s="663">
        <v>40544</v>
      </c>
      <c r="AA290" s="663">
        <v>40575</v>
      </c>
      <c r="AB290" s="663">
        <v>40603</v>
      </c>
      <c r="AC290" s="663">
        <v>40634</v>
      </c>
      <c r="AD290" s="663">
        <v>40664</v>
      </c>
      <c r="AE290" s="663">
        <v>40695</v>
      </c>
      <c r="AF290" s="663">
        <v>40725</v>
      </c>
      <c r="AG290" s="663">
        <v>40756</v>
      </c>
      <c r="AH290" s="663">
        <v>40787</v>
      </c>
      <c r="AI290" s="663">
        <v>40817</v>
      </c>
      <c r="AJ290" s="663">
        <v>40848</v>
      </c>
      <c r="AK290" s="664">
        <v>40878</v>
      </c>
      <c r="AL290" s="663">
        <v>40909</v>
      </c>
      <c r="AM290" s="663">
        <v>40940</v>
      </c>
      <c r="AN290" s="663">
        <v>40969</v>
      </c>
      <c r="AO290" s="663">
        <v>41000</v>
      </c>
      <c r="AP290" s="663">
        <v>41030</v>
      </c>
      <c r="AQ290" s="663">
        <v>41061</v>
      </c>
      <c r="AR290" s="663">
        <v>41091</v>
      </c>
      <c r="AS290" s="663">
        <v>41122</v>
      </c>
      <c r="AT290" s="663">
        <v>41153</v>
      </c>
      <c r="AU290" s="663">
        <v>41183</v>
      </c>
      <c r="AV290" s="663">
        <v>41214</v>
      </c>
      <c r="AW290" s="664">
        <v>41244</v>
      </c>
      <c r="AX290" s="663">
        <v>41275</v>
      </c>
      <c r="AY290" s="663">
        <v>41306</v>
      </c>
      <c r="AZ290" s="663">
        <v>41334</v>
      </c>
      <c r="BA290" s="663">
        <v>41365</v>
      </c>
      <c r="BB290" s="663">
        <v>41395</v>
      </c>
      <c r="BC290" s="663">
        <v>41426</v>
      </c>
      <c r="BD290" s="663">
        <v>41456</v>
      </c>
      <c r="BE290" s="663">
        <v>41487</v>
      </c>
      <c r="BF290" s="663">
        <v>41518</v>
      </c>
      <c r="BG290" s="663">
        <v>41548</v>
      </c>
      <c r="BH290" s="663">
        <v>41579</v>
      </c>
      <c r="BI290" s="664">
        <v>41609</v>
      </c>
      <c r="BJ290" s="663">
        <v>41640</v>
      </c>
      <c r="BK290" s="663">
        <v>41671</v>
      </c>
      <c r="BL290" s="663">
        <v>41699</v>
      </c>
      <c r="BM290" s="663">
        <v>41730</v>
      </c>
      <c r="BN290" s="663">
        <v>41760</v>
      </c>
      <c r="BO290" s="663">
        <v>41791</v>
      </c>
      <c r="BP290" s="663">
        <v>41821</v>
      </c>
      <c r="BQ290" s="663">
        <v>41852</v>
      </c>
      <c r="BR290" s="663">
        <v>41883</v>
      </c>
      <c r="BS290" s="663">
        <v>41913</v>
      </c>
      <c r="BT290" s="663">
        <v>41944</v>
      </c>
      <c r="BU290" s="664">
        <v>41974</v>
      </c>
      <c r="BV290" s="663">
        <v>42005</v>
      </c>
      <c r="BW290" s="663">
        <v>42036</v>
      </c>
      <c r="BX290" s="663">
        <v>42064</v>
      </c>
      <c r="BY290" s="663">
        <v>42095</v>
      </c>
      <c r="BZ290" s="663">
        <v>42125</v>
      </c>
      <c r="CA290" s="663">
        <v>42156</v>
      </c>
      <c r="CB290" s="663">
        <v>42186</v>
      </c>
      <c r="CC290" s="663">
        <v>42217</v>
      </c>
      <c r="CD290" s="663">
        <v>42248</v>
      </c>
      <c r="CE290" s="663">
        <v>42278</v>
      </c>
      <c r="CF290" s="663">
        <v>42309</v>
      </c>
      <c r="CG290" s="664">
        <v>42339</v>
      </c>
      <c r="CH290" s="663">
        <v>42370</v>
      </c>
      <c r="CI290" s="663">
        <v>42401</v>
      </c>
      <c r="CJ290" s="663">
        <v>42430</v>
      </c>
      <c r="CK290" s="663">
        <v>42461</v>
      </c>
      <c r="CL290" s="663">
        <v>42491</v>
      </c>
      <c r="CM290" s="663">
        <v>42522</v>
      </c>
      <c r="CN290" s="663">
        <v>42552</v>
      </c>
      <c r="CO290" s="663">
        <v>42583</v>
      </c>
      <c r="CP290" s="663">
        <v>42614</v>
      </c>
      <c r="CQ290" s="663">
        <v>42644</v>
      </c>
      <c r="CR290" s="663">
        <v>42675</v>
      </c>
      <c r="CS290" s="664">
        <v>42705</v>
      </c>
      <c r="CT290" s="663">
        <v>42736</v>
      </c>
      <c r="CU290" s="663">
        <v>42767</v>
      </c>
      <c r="CV290" s="663">
        <v>42795</v>
      </c>
      <c r="CW290" s="663">
        <v>42826</v>
      </c>
      <c r="CX290" s="663">
        <v>42856</v>
      </c>
      <c r="CY290" s="663">
        <v>42887</v>
      </c>
      <c r="CZ290" s="663">
        <v>42917</v>
      </c>
      <c r="DA290" s="663">
        <v>42948</v>
      </c>
      <c r="DB290" s="663">
        <v>42979</v>
      </c>
      <c r="DC290" s="663">
        <v>43009</v>
      </c>
      <c r="DD290" s="663">
        <v>43040</v>
      </c>
      <c r="DE290" s="664">
        <v>43070</v>
      </c>
      <c r="DF290" s="663">
        <v>43101</v>
      </c>
      <c r="DG290" s="663">
        <v>43132</v>
      </c>
      <c r="DH290" s="663">
        <v>43160</v>
      </c>
      <c r="DI290" s="663">
        <v>43191</v>
      </c>
      <c r="DJ290" s="663">
        <v>43221</v>
      </c>
      <c r="DK290" s="663">
        <v>43252</v>
      </c>
      <c r="DL290" s="663">
        <v>43282</v>
      </c>
      <c r="DM290" s="663">
        <v>43313</v>
      </c>
      <c r="DN290" s="663">
        <v>43344</v>
      </c>
      <c r="DO290" s="663">
        <v>43374</v>
      </c>
      <c r="DP290" s="663">
        <v>43405</v>
      </c>
      <c r="DQ290" s="664">
        <v>43435</v>
      </c>
      <c r="DR290" s="663">
        <v>43466</v>
      </c>
      <c r="DS290" s="663">
        <v>43497</v>
      </c>
      <c r="DT290" s="663">
        <v>43525</v>
      </c>
      <c r="DU290" s="663">
        <v>43556</v>
      </c>
      <c r="DV290" s="663">
        <v>43586</v>
      </c>
      <c r="DW290" s="663">
        <v>43617</v>
      </c>
      <c r="DX290" s="663">
        <v>43647</v>
      </c>
      <c r="DY290" s="663">
        <v>43678</v>
      </c>
      <c r="DZ290" s="663">
        <v>43709</v>
      </c>
      <c r="EA290" s="663">
        <v>43739</v>
      </c>
      <c r="EB290" s="663">
        <v>43770</v>
      </c>
      <c r="EC290" s="664">
        <v>43800</v>
      </c>
      <c r="ED290" s="663">
        <v>43831</v>
      </c>
      <c r="EE290" s="663">
        <v>43862</v>
      </c>
      <c r="EF290" s="663">
        <v>43891</v>
      </c>
      <c r="EG290" s="663">
        <v>43922</v>
      </c>
      <c r="EH290" s="663">
        <v>43952</v>
      </c>
      <c r="EI290" s="663">
        <v>43983</v>
      </c>
      <c r="EJ290" s="663">
        <v>44013</v>
      </c>
      <c r="EK290" s="663">
        <v>44044</v>
      </c>
      <c r="EL290" s="663">
        <v>44075</v>
      </c>
      <c r="EM290" s="663">
        <v>44105</v>
      </c>
      <c r="EN290" s="663">
        <v>44136</v>
      </c>
      <c r="EO290" s="664">
        <v>44166</v>
      </c>
      <c r="EP290" s="663">
        <v>44197</v>
      </c>
      <c r="EQ290" s="663">
        <v>44228</v>
      </c>
      <c r="ER290" s="663">
        <v>44256</v>
      </c>
      <c r="ES290" s="663">
        <v>44287</v>
      </c>
      <c r="ET290" s="663">
        <v>44317</v>
      </c>
      <c r="EU290" s="663">
        <v>44348</v>
      </c>
      <c r="EV290" s="663">
        <v>44378</v>
      </c>
      <c r="EW290" s="663">
        <v>44409</v>
      </c>
      <c r="EX290" s="663">
        <v>44440</v>
      </c>
      <c r="EY290" s="663">
        <v>44470</v>
      </c>
      <c r="EZ290" s="663">
        <v>44501</v>
      </c>
      <c r="FA290" s="664">
        <v>44531</v>
      </c>
      <c r="FB290" s="663">
        <v>44562</v>
      </c>
      <c r="FC290" s="663">
        <v>44593</v>
      </c>
      <c r="FD290" s="663">
        <v>44621</v>
      </c>
      <c r="FE290" s="663">
        <v>44652</v>
      </c>
      <c r="FF290" s="663">
        <v>44682</v>
      </c>
      <c r="FG290" s="663">
        <v>44713</v>
      </c>
      <c r="FH290" s="663">
        <v>44743</v>
      </c>
      <c r="FI290" s="663">
        <v>44774</v>
      </c>
      <c r="FJ290" s="663">
        <v>44805</v>
      </c>
      <c r="FK290" s="663">
        <v>44835</v>
      </c>
      <c r="FL290" s="663">
        <v>44866</v>
      </c>
      <c r="FM290" s="664">
        <v>44896</v>
      </c>
      <c r="FN290" s="663">
        <v>44927</v>
      </c>
      <c r="FO290" s="663">
        <v>44958</v>
      </c>
      <c r="FP290" s="663">
        <v>44986</v>
      </c>
      <c r="FQ290" s="663">
        <v>45017</v>
      </c>
      <c r="FR290" s="663">
        <v>45047</v>
      </c>
      <c r="FS290" s="663">
        <v>45078</v>
      </c>
      <c r="FT290" s="663">
        <v>45108</v>
      </c>
      <c r="FU290" s="663">
        <v>45139</v>
      </c>
      <c r="FV290" s="663">
        <v>45170</v>
      </c>
      <c r="FW290" s="663">
        <v>45200</v>
      </c>
      <c r="FX290" s="663">
        <v>45231</v>
      </c>
      <c r="FY290" s="664">
        <v>45261</v>
      </c>
      <c r="FZ290" s="663">
        <v>45292</v>
      </c>
      <c r="GA290" s="663">
        <v>45323</v>
      </c>
      <c r="GB290" s="663">
        <v>45352</v>
      </c>
      <c r="GC290" s="663">
        <v>45383</v>
      </c>
      <c r="GD290" s="663">
        <v>45413</v>
      </c>
      <c r="GE290" s="663">
        <v>45444</v>
      </c>
      <c r="GF290" s="663">
        <v>45474</v>
      </c>
      <c r="GG290" s="663">
        <v>45505</v>
      </c>
      <c r="GH290" s="663">
        <v>45536</v>
      </c>
      <c r="GI290" s="663">
        <v>45566</v>
      </c>
      <c r="GJ290" s="663">
        <v>45597</v>
      </c>
      <c r="GK290" s="664">
        <v>45627</v>
      </c>
      <c r="GL290" s="663">
        <v>45658</v>
      </c>
      <c r="GM290" s="663">
        <v>45689</v>
      </c>
      <c r="GN290" s="663">
        <v>45717</v>
      </c>
      <c r="GO290" s="663">
        <v>45748</v>
      </c>
      <c r="GP290" s="663">
        <v>45778</v>
      </c>
      <c r="GQ290" s="663">
        <v>45809</v>
      </c>
      <c r="GR290" s="663">
        <v>45839</v>
      </c>
      <c r="GS290" s="663">
        <v>45870</v>
      </c>
      <c r="GT290" s="663">
        <v>45901</v>
      </c>
      <c r="GU290" s="663">
        <v>45931</v>
      </c>
      <c r="GV290" s="663">
        <v>45962</v>
      </c>
      <c r="GW290" s="664">
        <v>45992</v>
      </c>
    </row>
    <row r="291" spans="1:205">
      <c r="FX291" s="196"/>
      <c r="FY291" s="196"/>
      <c r="FZ291" s="196"/>
      <c r="GA291" s="196"/>
      <c r="GB291" s="196"/>
    </row>
    <row r="292" spans="1:205">
      <c r="A292" s="99" t="s">
        <v>828</v>
      </c>
      <c r="B292" s="196">
        <v>100</v>
      </c>
      <c r="C292" s="196">
        <v>100.22346368715084</v>
      </c>
      <c r="D292" s="196">
        <v>101.34078212290503</v>
      </c>
      <c r="E292" s="196">
        <v>102.01117318435753</v>
      </c>
      <c r="F292" s="196">
        <v>102.23463687150837</v>
      </c>
      <c r="G292" s="196">
        <v>102.45810055865921</v>
      </c>
      <c r="H292" s="196">
        <v>101.2290502793296</v>
      </c>
      <c r="I292" s="196">
        <v>101.45251396648044</v>
      </c>
      <c r="J292" s="196">
        <v>102.12290502793297</v>
      </c>
      <c r="K292" s="196">
        <v>102.56983240223464</v>
      </c>
      <c r="L292" s="196">
        <v>102.68156424581007</v>
      </c>
      <c r="M292" s="196">
        <v>102.79329608938548</v>
      </c>
      <c r="N292" s="196">
        <v>101.34078212290504</v>
      </c>
      <c r="O292" s="196">
        <v>101.22905027932961</v>
      </c>
      <c r="P292" s="196">
        <v>102.79329608938549</v>
      </c>
      <c r="Q292" s="196">
        <v>103.79888268156427</v>
      </c>
      <c r="R292" s="196">
        <v>103.79888268156427</v>
      </c>
      <c r="S292" s="196">
        <v>103.91061452513968</v>
      </c>
      <c r="T292" s="196">
        <v>103.01675977653633</v>
      </c>
      <c r="U292" s="196">
        <v>103.12849162011175</v>
      </c>
      <c r="V292" s="196">
        <v>103.79888268156427</v>
      </c>
      <c r="W292" s="196">
        <v>104.58100558659218</v>
      </c>
      <c r="X292" s="196">
        <v>104.58100558659218</v>
      </c>
      <c r="Y292" s="196">
        <v>104.91620111731845</v>
      </c>
      <c r="Z292" s="196">
        <v>103.35195530726257</v>
      </c>
      <c r="AA292" s="196">
        <v>103.46368715083798</v>
      </c>
      <c r="AB292" s="196">
        <v>105.69832402234636</v>
      </c>
      <c r="AC292" s="196">
        <v>106.81564245810056</v>
      </c>
      <c r="AD292" s="196">
        <v>106.927374301676</v>
      </c>
      <c r="AE292" s="196">
        <v>107.0391061452514</v>
      </c>
      <c r="AF292" s="196">
        <v>105.13966480446926</v>
      </c>
      <c r="AG292" s="196">
        <v>105.47486033519553</v>
      </c>
      <c r="AH292" s="196">
        <v>107.59776536312849</v>
      </c>
      <c r="AI292" s="196">
        <v>108.49162011173183</v>
      </c>
      <c r="AJ292" s="196">
        <v>108.49162011173183</v>
      </c>
      <c r="AK292" s="196">
        <v>108.8268156424581</v>
      </c>
      <c r="AL292" s="196">
        <v>106.81564245810056</v>
      </c>
      <c r="AM292" s="196">
        <v>107.03910614525141</v>
      </c>
      <c r="AN292" s="196">
        <v>109.72067039106147</v>
      </c>
      <c r="AO292" s="196">
        <v>110.72625698324025</v>
      </c>
      <c r="AP292" s="196">
        <v>110.72625698324023</v>
      </c>
      <c r="AQ292" s="196">
        <v>110.94972067039106</v>
      </c>
      <c r="AR292" s="196">
        <v>108.93854748603353</v>
      </c>
      <c r="AS292" s="196">
        <v>109.05027932960894</v>
      </c>
      <c r="AT292" s="196">
        <v>111.28491620111731</v>
      </c>
      <c r="AU292" s="196">
        <v>111.50837988826815</v>
      </c>
      <c r="AV292" s="196">
        <v>111.28491620111731</v>
      </c>
      <c r="AW292" s="196">
        <v>111.62011173184359</v>
      </c>
      <c r="AX292" s="196">
        <v>109.38547486033521</v>
      </c>
      <c r="AY292" s="196">
        <v>109.16201117318437</v>
      </c>
      <c r="AZ292" s="196">
        <v>111.73184357541899</v>
      </c>
      <c r="BA292" s="196">
        <v>112.06703910614524</v>
      </c>
      <c r="BB292" s="196">
        <v>112.06703910614524</v>
      </c>
      <c r="BC292" s="196">
        <v>112.29050279329608</v>
      </c>
      <c r="BD292" s="196">
        <v>110.27932960893854</v>
      </c>
      <c r="BE292" s="196">
        <v>110.27932960893854</v>
      </c>
      <c r="BF292" s="196">
        <v>112.29050279329608</v>
      </c>
      <c r="BG292" s="196">
        <v>112.29050279329608</v>
      </c>
      <c r="BH292" s="196">
        <v>111.95530726256983</v>
      </c>
      <c r="BI292" s="196">
        <v>112.29050279329608</v>
      </c>
      <c r="BJ292" s="196">
        <v>110.05586592178771</v>
      </c>
      <c r="BK292" s="196">
        <v>109.60893854748603</v>
      </c>
      <c r="BL292" s="196">
        <v>112.06703910614526</v>
      </c>
      <c r="BM292" s="196">
        <v>112.62569832402237</v>
      </c>
      <c r="BN292" s="196">
        <v>112.51396648044697</v>
      </c>
      <c r="BO292" s="196">
        <v>112.62569832402237</v>
      </c>
      <c r="BP292" s="196">
        <v>110.27932960893857</v>
      </c>
      <c r="BQ292" s="196">
        <v>110.16759776536315</v>
      </c>
      <c r="BR292" s="196">
        <v>112.17877094972071</v>
      </c>
      <c r="BS292" s="196">
        <v>112.51396648044697</v>
      </c>
      <c r="BT292" s="196">
        <v>112.29050279329613</v>
      </c>
      <c r="BU292" s="196">
        <v>112.29050279329613</v>
      </c>
      <c r="BV292" s="196">
        <v>109.49720670391065</v>
      </c>
      <c r="BW292" s="196">
        <v>109.72067039106149</v>
      </c>
      <c r="BX292" s="196">
        <v>112.06703910614529</v>
      </c>
      <c r="BY292" s="196">
        <v>112.51396648044697</v>
      </c>
      <c r="BZ292" s="196">
        <v>112.73743016759781</v>
      </c>
      <c r="CA292" s="196">
        <v>112.84916201117322</v>
      </c>
      <c r="CB292" s="196">
        <v>110.72625698324025</v>
      </c>
      <c r="CC292" s="196">
        <v>110.50279329608944</v>
      </c>
      <c r="CD292" s="196">
        <v>112.40223463687155</v>
      </c>
      <c r="CE292" s="196">
        <v>112.84916201117323</v>
      </c>
      <c r="CF292" s="196">
        <v>112.40223463687155</v>
      </c>
      <c r="CG292" s="196">
        <v>112.40223463687155</v>
      </c>
      <c r="CH292" s="196">
        <v>109.94413407821236</v>
      </c>
      <c r="CI292" s="196">
        <v>109.49720670391068</v>
      </c>
      <c r="CJ292" s="196">
        <v>111.84357541899446</v>
      </c>
      <c r="CK292" s="196">
        <v>112.0670391061453</v>
      </c>
      <c r="CL292" s="196">
        <v>112.40223463687155</v>
      </c>
      <c r="CM292" s="196">
        <v>112.62569832402239</v>
      </c>
      <c r="CN292" s="196">
        <v>110.50279329608944</v>
      </c>
      <c r="CO292" s="196">
        <v>110.39106145251401</v>
      </c>
      <c r="CP292" s="196">
        <v>112.51396648044697</v>
      </c>
      <c r="CQ292" s="196">
        <v>112.73743016759781</v>
      </c>
      <c r="CR292" s="196">
        <v>112.51396648044695</v>
      </c>
      <c r="CS292" s="196">
        <v>112.96089385474862</v>
      </c>
      <c r="CT292" s="196">
        <v>111.06145251396651</v>
      </c>
      <c r="CU292" s="196">
        <v>111.28491620111735</v>
      </c>
      <c r="CV292" s="196">
        <v>113.40782122905033</v>
      </c>
      <c r="CW292" s="196">
        <v>114.30167597765369</v>
      </c>
      <c r="CX292" s="196">
        <v>114.18994413407827</v>
      </c>
      <c r="CY292" s="196">
        <v>113.96648044692743</v>
      </c>
      <c r="CZ292" s="196">
        <v>111.84357541899448</v>
      </c>
      <c r="DA292" s="196">
        <v>111.9553072625699</v>
      </c>
      <c r="DB292" s="196">
        <v>113.96648044692745</v>
      </c>
      <c r="DC292" s="196">
        <v>113.96648044692745</v>
      </c>
      <c r="DD292" s="196">
        <v>113.74301675977661</v>
      </c>
      <c r="DE292" s="196">
        <v>114.07821229050288</v>
      </c>
      <c r="DF292" s="196">
        <v>112.40223463687158</v>
      </c>
      <c r="DG292" s="196">
        <v>111.84357541899449</v>
      </c>
      <c r="DH292" s="196">
        <v>114.41340782122914</v>
      </c>
      <c r="DI292" s="196">
        <v>114.97206703910624</v>
      </c>
      <c r="DJ292" s="196">
        <v>115.30726256983249</v>
      </c>
      <c r="DK292" s="196">
        <v>115.53072625698333</v>
      </c>
      <c r="DL292" s="196">
        <v>113.96648044692745</v>
      </c>
      <c r="DM292" s="196">
        <v>113.74301675977661</v>
      </c>
      <c r="DN292" s="196">
        <v>115.64245810055873</v>
      </c>
      <c r="DO292" s="196">
        <v>115.86592178770957</v>
      </c>
      <c r="DP292" s="196">
        <v>115.53072625698331</v>
      </c>
      <c r="DQ292" s="196">
        <v>115.41899441340789</v>
      </c>
      <c r="DR292" s="196">
        <v>113.40782122905034</v>
      </c>
      <c r="DS292" s="196">
        <v>113.07262569832409</v>
      </c>
      <c r="DT292" s="196">
        <v>115.64245810055873</v>
      </c>
      <c r="DU292" s="196">
        <v>116.20111731843583</v>
      </c>
      <c r="DV292" s="196">
        <v>116.31284916201125</v>
      </c>
      <c r="DW292" s="196">
        <v>116.42458100558667</v>
      </c>
      <c r="DX292" s="196">
        <v>114.30167597765372</v>
      </c>
      <c r="DY292" s="196">
        <v>114.30167597765372</v>
      </c>
      <c r="DZ292" s="196">
        <v>115.86592178770958</v>
      </c>
      <c r="EA292" s="196">
        <v>116.08938547486044</v>
      </c>
      <c r="EB292" s="196">
        <v>115.75418994413417</v>
      </c>
      <c r="EC292" s="196">
        <v>115.97765363128501</v>
      </c>
      <c r="ED292" s="196">
        <v>113.85474860335206</v>
      </c>
      <c r="EE292" s="196">
        <v>113.29608938547497</v>
      </c>
      <c r="EF292" s="196">
        <v>115.75418994413418</v>
      </c>
      <c r="EG292" s="196">
        <v>116.31284916201128</v>
      </c>
      <c r="EH292" s="196">
        <v>115.97765363128502</v>
      </c>
      <c r="EI292" s="196">
        <v>115.97765363128504</v>
      </c>
      <c r="EJ292" s="196">
        <v>115.1955307262571</v>
      </c>
      <c r="EK292" s="196">
        <v>113.74301675977667</v>
      </c>
      <c r="EL292" s="196">
        <v>114.74860335195545</v>
      </c>
      <c r="EM292" s="196">
        <v>115.41899441340797</v>
      </c>
      <c r="EN292" s="196">
        <v>115.41899441340796</v>
      </c>
      <c r="EO292" s="196">
        <v>115.6424581005588</v>
      </c>
      <c r="EP292" s="196">
        <v>114.63687150838003</v>
      </c>
      <c r="EQ292" s="196">
        <v>114.4134078212292</v>
      </c>
      <c r="ER292" s="196">
        <v>116.42458100558675</v>
      </c>
      <c r="ES292" s="196">
        <v>117.4301675977655</v>
      </c>
      <c r="ET292" s="196">
        <v>117.31843575419009</v>
      </c>
      <c r="EU292" s="196">
        <v>117.54189944134093</v>
      </c>
      <c r="EV292" s="196">
        <v>116.3128491620113</v>
      </c>
      <c r="EW292" s="196">
        <v>116.53631284916214</v>
      </c>
      <c r="EX292" s="196">
        <v>118.10055865921802</v>
      </c>
      <c r="EY292" s="196">
        <v>119.1061452513968</v>
      </c>
      <c r="EZ292" s="196">
        <v>119.88826815642473</v>
      </c>
      <c r="FA292" s="196">
        <v>120.44692737430182</v>
      </c>
      <c r="FB292" s="196">
        <v>120.44692737430182</v>
      </c>
      <c r="FC292" s="196">
        <v>121.45251396648059</v>
      </c>
      <c r="FD292" s="196">
        <v>124.35754189944149</v>
      </c>
      <c r="FE292" s="196">
        <v>124.80446927374317</v>
      </c>
      <c r="FF292" s="196">
        <v>125.92178770949737</v>
      </c>
      <c r="FG292" s="196">
        <v>127.48603351955323</v>
      </c>
      <c r="FH292" s="196">
        <v>126.03351955307278</v>
      </c>
      <c r="FI292" s="196">
        <v>127.15083798882696</v>
      </c>
      <c r="FJ292" s="196">
        <v>129.16201117318451</v>
      </c>
      <c r="FK292" s="196">
        <v>134.07821229050296</v>
      </c>
      <c r="FL292" s="196">
        <v>134.97206703910632</v>
      </c>
      <c r="FM292" s="196">
        <v>135.30726256983257</v>
      </c>
      <c r="FN292" s="196">
        <v>133.29608938547503</v>
      </c>
      <c r="FO292" s="196">
        <v>133.40782122905046</v>
      </c>
      <c r="FP292" s="196">
        <v>134.41340782122921</v>
      </c>
      <c r="FQ292" s="196">
        <v>135.5307262569834</v>
      </c>
      <c r="FR292" s="196">
        <v>135.97765363128508</v>
      </c>
      <c r="FS292" s="196">
        <v>136.08938547486048</v>
      </c>
      <c r="FT292" s="196">
        <v>133.96648044692753</v>
      </c>
      <c r="FU292" s="196">
        <v>134.18994413407836</v>
      </c>
      <c r="FV292" s="196">
        <v>136.42458100558673</v>
      </c>
      <c r="FW292" s="196">
        <f>122.2/120*FK292</f>
        <v>136.53631284916219</v>
      </c>
      <c r="FX292" s="196">
        <f>121.5/122.2*FW292</f>
        <v>135.75418994413425</v>
      </c>
      <c r="FY292" s="196">
        <f>121.7/121.5*FX292</f>
        <v>135.97765363128511</v>
      </c>
      <c r="FZ292" s="196">
        <f>120.4/121.7*FY292</f>
        <v>134.52513966480467</v>
      </c>
      <c r="GA292" s="196">
        <f>120.4/120.4*FZ292</f>
        <v>134.52513966480467</v>
      </c>
      <c r="GB292" s="196">
        <f>121.8/120.4*GA292</f>
        <v>136.08938547486053</v>
      </c>
      <c r="GC292" s="196">
        <f>122.4/121.8*GB292</f>
        <v>136.75977653631307</v>
      </c>
      <c r="GD292" s="196">
        <f>122.7/122.4*GC292</f>
        <v>137.09497206703932</v>
      </c>
      <c r="GE292" s="196">
        <f>122.9/122.7*GD292</f>
        <v>137.31843575419018</v>
      </c>
      <c r="GF292" s="196">
        <f>121.8/122.9*GE292</f>
        <v>136.08938547486056</v>
      </c>
      <c r="GG292" s="196">
        <f>121.6/121.8*GF292</f>
        <v>135.86592178770974</v>
      </c>
      <c r="GH292" s="196">
        <f>123/121.6*GG292</f>
        <v>137.43016759776563</v>
      </c>
      <c r="GI292" s="196">
        <f>123.4/123*GH292</f>
        <v>137.87709497206734</v>
      </c>
      <c r="GJ292" s="196">
        <f>123.3/123.4*GI292</f>
        <v>137.76536312849191</v>
      </c>
      <c r="GK292" s="196">
        <f>123.4/123.3*GJ292</f>
        <v>137.87709497206734</v>
      </c>
      <c r="GL292" s="196">
        <f>122.4/123.4*GK292</f>
        <v>136.75977653631315</v>
      </c>
      <c r="GM292" s="196">
        <f>122.5/122.4*GL292</f>
        <v>136.87150837988858</v>
      </c>
      <c r="GN292" s="196">
        <f>124.4/122.5*GM292</f>
        <v>138.99441340782155</v>
      </c>
      <c r="GO292" s="196">
        <f>124.9/124.4*GN292</f>
        <v>139.55307262569863</v>
      </c>
      <c r="GP292" s="196">
        <f>125/124.9*GO292</f>
        <v>139.66480446927406</v>
      </c>
    </row>
    <row r="294" spans="1:205">
      <c r="A294" s="99" t="s">
        <v>826</v>
      </c>
    </row>
    <row r="295" spans="1:205">
      <c r="A295" s="99" t="s">
        <v>827</v>
      </c>
      <c r="B295" s="126">
        <f t="shared" ref="B295:AG295" si="673">B25</f>
        <v>101.59402799999999</v>
      </c>
      <c r="C295" s="126">
        <f t="shared" si="673"/>
        <v>156.21499999999997</v>
      </c>
      <c r="D295" s="126">
        <f t="shared" si="673"/>
        <v>109.24380000000002</v>
      </c>
      <c r="E295" s="126">
        <f t="shared" si="673"/>
        <v>73.48439999999998</v>
      </c>
      <c r="F295" s="126">
        <f t="shared" si="673"/>
        <v>57.749999999999979</v>
      </c>
      <c r="G295" s="126">
        <f t="shared" si="673"/>
        <v>42.630800000000008</v>
      </c>
      <c r="H295" s="126">
        <f t="shared" si="673"/>
        <v>29.067399999999999</v>
      </c>
      <c r="I295" s="126">
        <f t="shared" si="673"/>
        <v>4.1495999999999977</v>
      </c>
      <c r="J295" s="126">
        <f t="shared" si="673"/>
        <v>110.93179999999998</v>
      </c>
      <c r="K295" s="126">
        <f t="shared" si="673"/>
        <v>119.85120000000001</v>
      </c>
      <c r="L295" s="126">
        <f t="shared" si="673"/>
        <v>130.33510000000001</v>
      </c>
      <c r="M295" s="126">
        <f t="shared" si="673"/>
        <v>43.212476000000152</v>
      </c>
      <c r="N295" s="126">
        <f t="shared" si="673"/>
        <v>71.550000000000011</v>
      </c>
      <c r="O295" s="126">
        <f t="shared" si="673"/>
        <v>69.595200000000006</v>
      </c>
      <c r="P295" s="126">
        <f t="shared" si="673"/>
        <v>90.470400000000012</v>
      </c>
      <c r="Q295" s="126">
        <f t="shared" si="673"/>
        <v>82.752799999999979</v>
      </c>
      <c r="R295" s="126">
        <f t="shared" si="673"/>
        <v>48.757799999999996</v>
      </c>
      <c r="S295" s="126">
        <f t="shared" si="673"/>
        <v>62.467939660728554</v>
      </c>
      <c r="T295" s="126">
        <f t="shared" si="673"/>
        <v>64.519199999999998</v>
      </c>
      <c r="U295" s="126">
        <f t="shared" si="673"/>
        <v>68.123406336299993</v>
      </c>
      <c r="V295" s="126">
        <f t="shared" si="673"/>
        <v>98.244999999999976</v>
      </c>
      <c r="W295" s="126">
        <f t="shared" si="673"/>
        <v>15.189399999999985</v>
      </c>
      <c r="X295" s="126">
        <f t="shared" si="673"/>
        <v>100.55600000000001</v>
      </c>
      <c r="Y295" s="126">
        <f t="shared" si="673"/>
        <v>38.055852619500001</v>
      </c>
      <c r="Z295" s="126">
        <f t="shared" si="673"/>
        <v>73.006257319199975</v>
      </c>
      <c r="AA295" s="126">
        <f t="shared" si="673"/>
        <v>130.16953916699998</v>
      </c>
      <c r="AB295" s="126">
        <f t="shared" si="673"/>
        <v>30.626382784600011</v>
      </c>
      <c r="AC295" s="126">
        <f t="shared" si="673"/>
        <v>107.13183050130002</v>
      </c>
      <c r="AD295" s="126">
        <f t="shared" si="673"/>
        <v>29.533537576450009</v>
      </c>
      <c r="AE295" s="126">
        <f t="shared" si="673"/>
        <v>14.393186933980006</v>
      </c>
      <c r="AF295" s="126">
        <f t="shared" si="673"/>
        <v>34.582689280000011</v>
      </c>
      <c r="AG295" s="126">
        <f t="shared" si="673"/>
        <v>36.083372380900016</v>
      </c>
      <c r="AH295" s="126">
        <f t="shared" ref="AH295:BM295" si="674">AH25</f>
        <v>70</v>
      </c>
      <c r="AI295" s="126">
        <f t="shared" si="674"/>
        <v>108.638897892</v>
      </c>
      <c r="AJ295" s="126">
        <f t="shared" si="674"/>
        <v>96.828700137400006</v>
      </c>
      <c r="AK295" s="126">
        <f t="shared" si="674"/>
        <v>92.398995999999997</v>
      </c>
      <c r="AL295" s="126">
        <f t="shared" si="674"/>
        <v>105.09913299999999</v>
      </c>
      <c r="AM295" s="126">
        <f t="shared" si="674"/>
        <v>101.19281100000001</v>
      </c>
      <c r="AN295" s="126">
        <f t="shared" si="674"/>
        <v>95.229055207199963</v>
      </c>
      <c r="AO295" s="126">
        <f t="shared" si="674"/>
        <v>82.551266255999991</v>
      </c>
      <c r="AP295" s="126">
        <f t="shared" si="674"/>
        <v>35</v>
      </c>
      <c r="AQ295" s="126">
        <f t="shared" si="674"/>
        <v>35.20427694</v>
      </c>
      <c r="AR295" s="126">
        <f t="shared" si="674"/>
        <v>43</v>
      </c>
      <c r="AS295" s="126">
        <f t="shared" si="674"/>
        <v>41</v>
      </c>
      <c r="AT295" s="126">
        <f t="shared" si="674"/>
        <v>-8</v>
      </c>
      <c r="AU295" s="126">
        <f t="shared" si="674"/>
        <v>88</v>
      </c>
      <c r="AV295" s="126">
        <f t="shared" si="674"/>
        <v>81.089154857937075</v>
      </c>
      <c r="AW295" s="126">
        <f t="shared" si="674"/>
        <v>72.439055262248417</v>
      </c>
      <c r="AX295" s="126">
        <f t="shared" si="674"/>
        <v>98.039999999999992</v>
      </c>
      <c r="AY295" s="126">
        <f t="shared" si="674"/>
        <v>86.14</v>
      </c>
      <c r="AZ295" s="126">
        <f t="shared" si="674"/>
        <v>82.56</v>
      </c>
      <c r="BA295" s="126">
        <f t="shared" si="674"/>
        <v>84.34</v>
      </c>
      <c r="BB295" s="126">
        <f t="shared" si="674"/>
        <v>35.22</v>
      </c>
      <c r="BC295" s="126">
        <f t="shared" si="674"/>
        <v>38.019999999999996</v>
      </c>
      <c r="BD295" s="126">
        <f t="shared" si="674"/>
        <v>44.489999999999995</v>
      </c>
      <c r="BE295" s="126">
        <f t="shared" si="674"/>
        <v>41.69</v>
      </c>
      <c r="BF295" s="126">
        <f t="shared" si="674"/>
        <v>7.07</v>
      </c>
      <c r="BG295" s="126">
        <f t="shared" si="674"/>
        <v>97.64</v>
      </c>
      <c r="BH295" s="126">
        <f t="shared" si="674"/>
        <v>83.36</v>
      </c>
      <c r="BI295" s="126">
        <f t="shared" si="674"/>
        <v>83.43</v>
      </c>
      <c r="BJ295" s="126">
        <f t="shared" si="674"/>
        <v>95.19</v>
      </c>
      <c r="BK295" s="126">
        <f t="shared" si="674"/>
        <v>72.25</v>
      </c>
      <c r="BL295" s="126">
        <f t="shared" si="674"/>
        <v>71.3</v>
      </c>
      <c r="BM295" s="126">
        <f t="shared" si="674"/>
        <v>88.43</v>
      </c>
      <c r="BN295" s="126">
        <f t="shared" ref="BN295:CS295" si="675">BN25</f>
        <v>36.44</v>
      </c>
      <c r="BO295" s="126">
        <f t="shared" si="675"/>
        <v>41.97</v>
      </c>
      <c r="BP295" s="126">
        <f t="shared" si="675"/>
        <v>47.3</v>
      </c>
      <c r="BQ295" s="126">
        <f t="shared" si="675"/>
        <v>43.58</v>
      </c>
      <c r="BR295" s="126">
        <f t="shared" si="675"/>
        <v>23.03</v>
      </c>
      <c r="BS295" s="126">
        <f t="shared" si="675"/>
        <v>109.94</v>
      </c>
      <c r="BT295" s="126">
        <f t="shared" si="675"/>
        <v>87.22</v>
      </c>
      <c r="BU295" s="126">
        <f t="shared" si="675"/>
        <v>97.350000000000009</v>
      </c>
      <c r="BV295" s="126">
        <f t="shared" si="675"/>
        <v>82.83</v>
      </c>
      <c r="BW295" s="126">
        <f t="shared" si="675"/>
        <v>53.629999999999995</v>
      </c>
      <c r="BX295" s="126">
        <f t="shared" si="675"/>
        <v>55.67</v>
      </c>
      <c r="BY295" s="126">
        <f t="shared" si="675"/>
        <v>85.43</v>
      </c>
      <c r="BZ295" s="126">
        <f t="shared" si="675"/>
        <v>35.33</v>
      </c>
      <c r="CA295" s="126">
        <f t="shared" si="675"/>
        <v>42.89</v>
      </c>
      <c r="CB295" s="126">
        <f t="shared" si="675"/>
        <v>46.879999999999995</v>
      </c>
      <c r="CC295" s="126">
        <f t="shared" si="675"/>
        <v>43.01</v>
      </c>
      <c r="CD295" s="126">
        <f t="shared" si="675"/>
        <v>37.43</v>
      </c>
      <c r="CE295" s="126">
        <f t="shared" si="675"/>
        <v>113.08</v>
      </c>
      <c r="CF295" s="126">
        <f t="shared" si="675"/>
        <v>85.45</v>
      </c>
      <c r="CG295" s="126">
        <f t="shared" si="675"/>
        <v>103.4</v>
      </c>
      <c r="CH295" s="126">
        <f t="shared" si="675"/>
        <v>110.89099999999999</v>
      </c>
      <c r="CI295" s="126">
        <f t="shared" si="675"/>
        <v>64.203000000000003</v>
      </c>
      <c r="CJ295" s="126">
        <f t="shared" si="675"/>
        <v>97.389999999999986</v>
      </c>
      <c r="CK295" s="126">
        <f t="shared" si="675"/>
        <v>75.216999999999999</v>
      </c>
      <c r="CL295" s="126">
        <f t="shared" si="675"/>
        <v>55.582999999999998</v>
      </c>
      <c r="CM295" s="126">
        <f t="shared" si="675"/>
        <v>67.016000000000005</v>
      </c>
      <c r="CN295" s="126">
        <f t="shared" si="675"/>
        <v>72.347000000000008</v>
      </c>
      <c r="CO295" s="126">
        <f t="shared" si="675"/>
        <v>44.703000000000003</v>
      </c>
      <c r="CP295" s="126">
        <f t="shared" si="675"/>
        <v>106.01900000000001</v>
      </c>
      <c r="CQ295" s="126">
        <f t="shared" si="675"/>
        <v>107.71000000000001</v>
      </c>
      <c r="CR295" s="126">
        <f t="shared" si="675"/>
        <v>82.45</v>
      </c>
      <c r="CS295" s="126">
        <f t="shared" si="675"/>
        <v>55.459999999999994</v>
      </c>
      <c r="CT295" s="126">
        <f t="shared" ref="CT295:DY295" si="676">CT25</f>
        <v>130.06</v>
      </c>
      <c r="CU295" s="126">
        <f t="shared" si="676"/>
        <v>34.159999999999997</v>
      </c>
      <c r="CV295" s="126">
        <f t="shared" si="676"/>
        <v>49.58</v>
      </c>
      <c r="CW295" s="126">
        <f t="shared" si="676"/>
        <v>149.45999999999998</v>
      </c>
      <c r="CX295" s="126">
        <f t="shared" si="676"/>
        <v>62.17</v>
      </c>
      <c r="CY295" s="126">
        <f t="shared" si="676"/>
        <v>82.92</v>
      </c>
      <c r="CZ295" s="126">
        <f t="shared" si="676"/>
        <v>86.35</v>
      </c>
      <c r="DA295" s="126">
        <f t="shared" si="676"/>
        <v>77.98</v>
      </c>
      <c r="DB295" s="126">
        <f t="shared" si="676"/>
        <v>117.48</v>
      </c>
      <c r="DC295" s="126">
        <f t="shared" si="676"/>
        <v>219.19</v>
      </c>
      <c r="DD295" s="126">
        <f t="shared" si="676"/>
        <v>146.97999999999999</v>
      </c>
      <c r="DE295" s="126">
        <f t="shared" si="676"/>
        <v>214.92</v>
      </c>
      <c r="DF295" s="126">
        <f t="shared" si="676"/>
        <v>150.49</v>
      </c>
      <c r="DG295" s="126">
        <f t="shared" si="676"/>
        <v>124.01572942000001</v>
      </c>
      <c r="DH295" s="126">
        <f t="shared" si="676"/>
        <v>111.066914</v>
      </c>
      <c r="DI295" s="126">
        <f t="shared" si="676"/>
        <v>146.5</v>
      </c>
      <c r="DJ295" s="126">
        <f t="shared" si="676"/>
        <v>92.936602999999991</v>
      </c>
      <c r="DK295" s="126">
        <f t="shared" si="676"/>
        <v>112.802401</v>
      </c>
      <c r="DL295" s="126">
        <f t="shared" si="676"/>
        <v>114.31570599999998</v>
      </c>
      <c r="DM295" s="126">
        <f t="shared" si="676"/>
        <v>111.39534344999998</v>
      </c>
      <c r="DN295" s="126">
        <f t="shared" si="676"/>
        <v>139.50973412999997</v>
      </c>
      <c r="DO295" s="126">
        <f t="shared" si="676"/>
        <v>133.57498800000002</v>
      </c>
      <c r="DP295" s="126">
        <f t="shared" si="676"/>
        <v>148.52343324000003</v>
      </c>
      <c r="DQ295" s="126">
        <f t="shared" si="676"/>
        <v>96.436221000000003</v>
      </c>
      <c r="DR295" s="126">
        <f t="shared" si="676"/>
        <v>124.59065194999998</v>
      </c>
      <c r="DS295" s="126">
        <f t="shared" si="676"/>
        <v>159.98126911000003</v>
      </c>
      <c r="DT295" s="126">
        <f t="shared" si="676"/>
        <v>106.40981960999997</v>
      </c>
      <c r="DU295" s="126">
        <f t="shared" si="676"/>
        <v>173.63771936999999</v>
      </c>
      <c r="DV295" s="126">
        <f t="shared" si="676"/>
        <v>134.07618807999995</v>
      </c>
      <c r="DW295" s="126">
        <f t="shared" si="676"/>
        <v>82.469901519999993</v>
      </c>
      <c r="DX295" s="126">
        <f t="shared" si="676"/>
        <v>95.327608169999976</v>
      </c>
      <c r="DY295" s="126">
        <f t="shared" si="676"/>
        <v>119.57482191999998</v>
      </c>
      <c r="DZ295" s="126">
        <f t="shared" ref="DZ295:FE295" si="677">DZ25</f>
        <v>128.61071998</v>
      </c>
      <c r="EA295" s="126">
        <f t="shared" si="677"/>
        <v>128.80002633999996</v>
      </c>
      <c r="EB295" s="126">
        <f t="shared" si="677"/>
        <v>123.42444869999997</v>
      </c>
      <c r="EC295" s="126">
        <f t="shared" si="677"/>
        <v>216.23511627000002</v>
      </c>
      <c r="ED295" s="126">
        <f t="shared" si="677"/>
        <v>211.98945950000007</v>
      </c>
      <c r="EE295" s="126">
        <f t="shared" si="677"/>
        <v>185.25219637999999</v>
      </c>
      <c r="EF295" s="126">
        <f t="shared" si="677"/>
        <v>75.318089000000001</v>
      </c>
      <c r="EG295" s="126">
        <f t="shared" si="677"/>
        <v>20.954671419999997</v>
      </c>
      <c r="EH295" s="126">
        <f t="shared" si="677"/>
        <v>35.351464040000003</v>
      </c>
      <c r="EI295" s="126">
        <f t="shared" si="677"/>
        <v>73.550647429999984</v>
      </c>
      <c r="EJ295" s="126">
        <f t="shared" si="677"/>
        <v>171.33376499000008</v>
      </c>
      <c r="EK295" s="126">
        <f t="shared" si="677"/>
        <v>124.75200157999997</v>
      </c>
      <c r="EL295" s="126">
        <f t="shared" si="677"/>
        <v>152.44850021999997</v>
      </c>
      <c r="EM295" s="126">
        <f t="shared" si="677"/>
        <v>243.39016846999996</v>
      </c>
      <c r="EN295" s="126">
        <f t="shared" si="677"/>
        <v>107.48366224000003</v>
      </c>
      <c r="EO295" s="126">
        <f t="shared" si="677"/>
        <v>176.52771614000002</v>
      </c>
      <c r="EP295" s="126">
        <f t="shared" si="677"/>
        <v>144.82511336000002</v>
      </c>
      <c r="EQ295" s="126">
        <f t="shared" si="677"/>
        <v>185.5116927</v>
      </c>
      <c r="ER295" s="126">
        <f t="shared" si="677"/>
        <v>132.32190537000002</v>
      </c>
      <c r="ES295" s="126">
        <f t="shared" si="677"/>
        <v>103.54971919000002</v>
      </c>
      <c r="ET295" s="126">
        <f t="shared" si="677"/>
        <v>153.53397374999997</v>
      </c>
      <c r="EU295" s="126">
        <f t="shared" si="677"/>
        <v>141.55467494999999</v>
      </c>
      <c r="EV295" s="126">
        <f t="shared" si="677"/>
        <v>97.651521430000003</v>
      </c>
      <c r="EW295" s="126">
        <f t="shared" si="677"/>
        <v>114.96101691000001</v>
      </c>
      <c r="EX295" s="126">
        <f t="shared" si="677"/>
        <v>187.30635423000001</v>
      </c>
      <c r="EY295" s="126">
        <f t="shared" si="677"/>
        <v>117.85814619999999</v>
      </c>
      <c r="EZ295" s="126">
        <f t="shared" si="677"/>
        <v>244.06381751000004</v>
      </c>
      <c r="FA295" s="126">
        <f t="shared" si="677"/>
        <v>204.89861879000006</v>
      </c>
      <c r="FB295" s="126">
        <f t="shared" si="677"/>
        <v>211.03658556999994</v>
      </c>
      <c r="FC295" s="126">
        <f t="shared" si="677"/>
        <v>204.70169686000006</v>
      </c>
      <c r="FD295" s="126">
        <f t="shared" si="677"/>
        <v>206.23614168</v>
      </c>
      <c r="FE295" s="126">
        <f t="shared" si="677"/>
        <v>202.39104063000002</v>
      </c>
      <c r="FF295" s="126">
        <f t="shared" ref="FF295:GB295" si="678">FF25</f>
        <v>163.91568046999998</v>
      </c>
      <c r="FG295" s="126">
        <f t="shared" si="678"/>
        <v>122.45164625999998</v>
      </c>
      <c r="FH295" s="126">
        <f t="shared" si="678"/>
        <v>125.96496060999999</v>
      </c>
      <c r="FI295" s="126">
        <f t="shared" si="678"/>
        <v>170.16770349000001</v>
      </c>
      <c r="FJ295" s="126">
        <f t="shared" si="678"/>
        <v>250.53801949000001</v>
      </c>
      <c r="FK295" s="126">
        <f t="shared" si="678"/>
        <v>220.66335548000004</v>
      </c>
      <c r="FL295" s="126">
        <f t="shared" si="678"/>
        <v>200.36739750000004</v>
      </c>
      <c r="FM295" s="126">
        <f t="shared" si="678"/>
        <v>134.15466909</v>
      </c>
      <c r="FN295" s="126">
        <f t="shared" si="678"/>
        <v>294.7</v>
      </c>
      <c r="FO295" s="126">
        <f t="shared" si="678"/>
        <v>210.7</v>
      </c>
      <c r="FP295" s="126">
        <f t="shared" si="678"/>
        <v>243.5</v>
      </c>
      <c r="FQ295" s="126">
        <f t="shared" si="678"/>
        <v>266.8</v>
      </c>
      <c r="FR295" s="126">
        <f t="shared" si="678"/>
        <v>212.8</v>
      </c>
      <c r="FS295" s="126">
        <f t="shared" si="678"/>
        <v>141.5</v>
      </c>
      <c r="FT295" s="126">
        <f t="shared" si="678"/>
        <v>140</v>
      </c>
      <c r="FU295" s="126">
        <f t="shared" si="678"/>
        <v>165.10000000000002</v>
      </c>
      <c r="FV295" s="126">
        <f t="shared" si="678"/>
        <v>173</v>
      </c>
      <c r="FW295" s="126">
        <f t="shared" si="678"/>
        <v>73</v>
      </c>
      <c r="FX295" s="126">
        <f t="shared" si="678"/>
        <v>253.10000000000002</v>
      </c>
      <c r="FY295" s="126">
        <f t="shared" si="678"/>
        <v>230.7</v>
      </c>
      <c r="FZ295" s="126">
        <f t="shared" si="678"/>
        <v>131.5</v>
      </c>
      <c r="GA295" s="126">
        <f t="shared" si="678"/>
        <v>244.4</v>
      </c>
      <c r="GB295" s="126">
        <f t="shared" si="678"/>
        <v>233.3</v>
      </c>
      <c r="GC295" s="126">
        <f t="shared" ref="GC295:GE295" si="679">GC25</f>
        <v>236.36369331</v>
      </c>
      <c r="GD295" s="126">
        <f t="shared" si="679"/>
        <v>227.0943019</v>
      </c>
      <c r="GE295" s="126">
        <f t="shared" si="679"/>
        <v>203.03</v>
      </c>
      <c r="GF295" s="126">
        <f t="shared" ref="GF295:GG295" si="680">GF25</f>
        <v>145.12180000000001</v>
      </c>
      <c r="GG295" s="126">
        <f t="shared" si="680"/>
        <v>220.91300036999999</v>
      </c>
      <c r="GH295" s="126">
        <f t="shared" ref="GH295:GI295" si="681">GH25</f>
        <v>171.6</v>
      </c>
      <c r="GI295" s="126">
        <f t="shared" si="681"/>
        <v>251.2</v>
      </c>
      <c r="GJ295" s="126">
        <f t="shared" ref="GJ295:GK295" si="682">GJ25</f>
        <v>257.60000000000002</v>
      </c>
      <c r="GK295" s="126">
        <f t="shared" si="682"/>
        <v>255.03773905</v>
      </c>
      <c r="GL295" s="126">
        <f t="shared" ref="GL295:GM295" si="683">GL25</f>
        <v>257.89437607000002</v>
      </c>
      <c r="GM295" s="126">
        <f t="shared" si="683"/>
        <v>314.79999999999995</v>
      </c>
      <c r="GN295" s="126">
        <f t="shared" ref="GN295:GO295" si="684">GN25</f>
        <v>217.8</v>
      </c>
      <c r="GO295" s="126">
        <f t="shared" si="684"/>
        <v>280.29999999999995</v>
      </c>
      <c r="GP295" s="126">
        <f t="shared" ref="GP295" si="685">GP25</f>
        <v>235.3</v>
      </c>
    </row>
    <row r="296" spans="1:205">
      <c r="A296" s="99" t="s">
        <v>830</v>
      </c>
      <c r="B296" s="126">
        <f>B295*$B292/B292</f>
        <v>101.59402799999999</v>
      </c>
      <c r="C296" s="126">
        <f t="shared" ref="C296:BN296" si="686">C295*$B292/C292</f>
        <v>155.86669453734669</v>
      </c>
      <c r="D296" s="126">
        <f t="shared" si="686"/>
        <v>107.79845755237048</v>
      </c>
      <c r="E296" s="126">
        <f t="shared" si="686"/>
        <v>72.03563855421686</v>
      </c>
      <c r="F296" s="126">
        <f t="shared" si="686"/>
        <v>56.487704918032776</v>
      </c>
      <c r="G296" s="126">
        <f t="shared" si="686"/>
        <v>41.60803271537624</v>
      </c>
      <c r="H296" s="126">
        <f t="shared" si="686"/>
        <v>28.714484547461371</v>
      </c>
      <c r="I296" s="126">
        <f t="shared" si="686"/>
        <v>4.0901894273127732</v>
      </c>
      <c r="J296" s="126">
        <f t="shared" si="686"/>
        <v>108.62577789934352</v>
      </c>
      <c r="K296" s="126">
        <f t="shared" si="686"/>
        <v>116.84839215686276</v>
      </c>
      <c r="L296" s="126">
        <f t="shared" si="686"/>
        <v>126.93135418933625</v>
      </c>
      <c r="M296" s="126">
        <f t="shared" si="686"/>
        <v>42.038223934782756</v>
      </c>
      <c r="N296" s="126">
        <f t="shared" si="686"/>
        <v>70.603362734288865</v>
      </c>
      <c r="O296" s="126">
        <f t="shared" si="686"/>
        <v>68.75022516556291</v>
      </c>
      <c r="P296" s="126">
        <f t="shared" si="686"/>
        <v>88.011965217391293</v>
      </c>
      <c r="Q296" s="126">
        <f t="shared" si="686"/>
        <v>79.724172228202349</v>
      </c>
      <c r="R296" s="126">
        <f t="shared" si="686"/>
        <v>46.973337997847139</v>
      </c>
      <c r="S296" s="126">
        <f t="shared" si="686"/>
        <v>60.116995695002203</v>
      </c>
      <c r="T296" s="126">
        <f t="shared" si="686"/>
        <v>62.629809110629054</v>
      </c>
      <c r="U296" s="126">
        <f t="shared" si="686"/>
        <v>66.05682412891494</v>
      </c>
      <c r="V296" s="126">
        <f t="shared" si="686"/>
        <v>94.649381054897702</v>
      </c>
      <c r="W296" s="126">
        <f t="shared" si="686"/>
        <v>14.524052350427334</v>
      </c>
      <c r="X296" s="126">
        <f t="shared" si="686"/>
        <v>96.151303418803423</v>
      </c>
      <c r="Y296" s="126">
        <f t="shared" si="686"/>
        <v>36.272617778969646</v>
      </c>
      <c r="Z296" s="126">
        <f t="shared" si="686"/>
        <v>70.638486811550251</v>
      </c>
      <c r="AA296" s="126">
        <f t="shared" si="686"/>
        <v>125.81181161389308</v>
      </c>
      <c r="AB296" s="126">
        <f t="shared" si="686"/>
        <v>28.975277581624749</v>
      </c>
      <c r="AC296" s="126">
        <f t="shared" si="686"/>
        <v>100.29601286471079</v>
      </c>
      <c r="AD296" s="126">
        <f t="shared" si="686"/>
        <v>27.62018404485136</v>
      </c>
      <c r="AE296" s="126">
        <f t="shared" si="686"/>
        <v>13.446662114730801</v>
      </c>
      <c r="AF296" s="126">
        <f t="shared" si="686"/>
        <v>32.892143364080781</v>
      </c>
      <c r="AG296" s="126">
        <f t="shared" si="686"/>
        <v>34.210400721298214</v>
      </c>
      <c r="AH296" s="126">
        <f t="shared" si="686"/>
        <v>65.057113187954315</v>
      </c>
      <c r="AI296" s="126">
        <f t="shared" si="686"/>
        <v>100.13575037419157</v>
      </c>
      <c r="AJ296" s="126">
        <f t="shared" si="686"/>
        <v>89.249934730147288</v>
      </c>
      <c r="AK296" s="126">
        <f t="shared" si="686"/>
        <v>84.904621581108813</v>
      </c>
      <c r="AL296" s="126">
        <f t="shared" si="686"/>
        <v>98.393016773012562</v>
      </c>
      <c r="AM296" s="126">
        <f t="shared" si="686"/>
        <v>94.538168940501038</v>
      </c>
      <c r="AN296" s="126">
        <f t="shared" si="686"/>
        <v>86.792265183751482</v>
      </c>
      <c r="AO296" s="126">
        <f t="shared" si="686"/>
        <v>74.55437265299696</v>
      </c>
      <c r="AP296" s="126">
        <f t="shared" si="686"/>
        <v>31.609485368314832</v>
      </c>
      <c r="AQ296" s="126">
        <f t="shared" si="686"/>
        <v>31.72993742326284</v>
      </c>
      <c r="AR296" s="126">
        <f t="shared" si="686"/>
        <v>39.47179487179487</v>
      </c>
      <c r="AS296" s="126">
        <f t="shared" si="686"/>
        <v>37.597336065573771</v>
      </c>
      <c r="AT296" s="126">
        <f t="shared" si="686"/>
        <v>-7.1887550200803219</v>
      </c>
      <c r="AU296" s="126">
        <f t="shared" si="686"/>
        <v>78.917835671342687</v>
      </c>
      <c r="AV296" s="126">
        <f t="shared" si="686"/>
        <v>72.866258632383222</v>
      </c>
      <c r="AW296" s="126">
        <f t="shared" si="686"/>
        <v>64.897852312024355</v>
      </c>
      <c r="AX296" s="126">
        <f t="shared" si="686"/>
        <v>89.62798774259447</v>
      </c>
      <c r="AY296" s="126">
        <f t="shared" si="686"/>
        <v>78.910235414534284</v>
      </c>
      <c r="AZ296" s="126">
        <f t="shared" si="686"/>
        <v>73.891199999999998</v>
      </c>
      <c r="BA296" s="126">
        <f t="shared" si="686"/>
        <v>75.258524426719845</v>
      </c>
      <c r="BB296" s="126">
        <f t="shared" si="686"/>
        <v>31.42761714855434</v>
      </c>
      <c r="BC296" s="126">
        <f t="shared" si="686"/>
        <v>33.858606965174125</v>
      </c>
      <c r="BD296" s="126">
        <f t="shared" si="686"/>
        <v>40.343009118541026</v>
      </c>
      <c r="BE296" s="126">
        <f t="shared" si="686"/>
        <v>37.804002026342452</v>
      </c>
      <c r="BF296" s="126">
        <f t="shared" si="686"/>
        <v>6.2961691542288563</v>
      </c>
      <c r="BG296" s="126">
        <f t="shared" si="686"/>
        <v>86.953034825870645</v>
      </c>
      <c r="BH296" s="126">
        <f t="shared" si="686"/>
        <v>74.45828343313373</v>
      </c>
      <c r="BI296" s="126">
        <f t="shared" si="686"/>
        <v>74.298358208955221</v>
      </c>
      <c r="BJ296" s="126">
        <f t="shared" si="686"/>
        <v>86.492436548223353</v>
      </c>
      <c r="BK296" s="126">
        <f t="shared" si="686"/>
        <v>65.916156982670742</v>
      </c>
      <c r="BL296" s="126">
        <f t="shared" si="686"/>
        <v>63.622632103688929</v>
      </c>
      <c r="BM296" s="126">
        <f t="shared" si="686"/>
        <v>78.516716269841254</v>
      </c>
      <c r="BN296" s="126">
        <f t="shared" si="686"/>
        <v>32.387090367427994</v>
      </c>
      <c r="BO296" s="126">
        <f t="shared" ref="BO296:DZ296" si="687">BO295*$B292/BO292</f>
        <v>37.265029761904756</v>
      </c>
      <c r="BP296" s="126">
        <f t="shared" si="687"/>
        <v>42.891084093211745</v>
      </c>
      <c r="BQ296" s="126">
        <f t="shared" si="687"/>
        <v>39.557910750507091</v>
      </c>
      <c r="BR296" s="126">
        <f t="shared" si="687"/>
        <v>20.529731075697203</v>
      </c>
      <c r="BS296" s="126">
        <f t="shared" si="687"/>
        <v>97.712313803376333</v>
      </c>
      <c r="BT296" s="126">
        <f t="shared" si="687"/>
        <v>77.673532338308434</v>
      </c>
      <c r="BU296" s="126">
        <f t="shared" si="687"/>
        <v>86.69477611940296</v>
      </c>
      <c r="BV296" s="126">
        <f t="shared" si="687"/>
        <v>75.645765306122428</v>
      </c>
      <c r="BW296" s="126">
        <f t="shared" si="687"/>
        <v>48.878665987780025</v>
      </c>
      <c r="BX296" s="126">
        <f t="shared" si="687"/>
        <v>49.675623130608159</v>
      </c>
      <c r="BY296" s="126">
        <f t="shared" si="687"/>
        <v>75.928351539225389</v>
      </c>
      <c r="BZ296" s="126">
        <f t="shared" si="687"/>
        <v>31.338305252725458</v>
      </c>
      <c r="CA296" s="126">
        <f t="shared" si="687"/>
        <v>38.006485148514841</v>
      </c>
      <c r="CB296" s="126">
        <f t="shared" si="687"/>
        <v>42.338647830474258</v>
      </c>
      <c r="CC296" s="126">
        <f t="shared" si="687"/>
        <v>38.922093023255798</v>
      </c>
      <c r="CD296" s="126">
        <f t="shared" si="687"/>
        <v>33.300049701789249</v>
      </c>
      <c r="CE296" s="126">
        <f t="shared" si="687"/>
        <v>100.2045544554455</v>
      </c>
      <c r="CF296" s="126">
        <f t="shared" si="687"/>
        <v>76.021620278329991</v>
      </c>
      <c r="CG296" s="126">
        <f t="shared" si="687"/>
        <v>91.991053677932371</v>
      </c>
      <c r="CH296" s="126">
        <f t="shared" si="687"/>
        <v>100.86122459349586</v>
      </c>
      <c r="CI296" s="126">
        <f t="shared" si="687"/>
        <v>58.634372448979562</v>
      </c>
      <c r="CJ296" s="126">
        <f t="shared" si="687"/>
        <v>87.076973026972979</v>
      </c>
      <c r="CK296" s="126">
        <f t="shared" si="687"/>
        <v>67.117861415752714</v>
      </c>
      <c r="CL296" s="126">
        <f t="shared" si="687"/>
        <v>49.450084493041729</v>
      </c>
      <c r="CM296" s="126">
        <f t="shared" si="687"/>
        <v>59.50329365079363</v>
      </c>
      <c r="CN296" s="126">
        <f t="shared" si="687"/>
        <v>65.470743174924138</v>
      </c>
      <c r="CO296" s="126">
        <f t="shared" si="687"/>
        <v>40.495126518218612</v>
      </c>
      <c r="CP296" s="126">
        <f t="shared" si="687"/>
        <v>94.227413108242288</v>
      </c>
      <c r="CQ296" s="126">
        <f t="shared" si="687"/>
        <v>95.540584737363687</v>
      </c>
      <c r="CR296" s="126">
        <f t="shared" si="687"/>
        <v>73.279791459781507</v>
      </c>
      <c r="CS296" s="126">
        <f t="shared" si="687"/>
        <v>49.096636993076146</v>
      </c>
      <c r="CT296" s="126">
        <f t="shared" si="687"/>
        <v>117.10633802816898</v>
      </c>
      <c r="CU296" s="126">
        <f t="shared" si="687"/>
        <v>30.695983935742959</v>
      </c>
      <c r="CV296" s="126">
        <f t="shared" si="687"/>
        <v>43.718325123152688</v>
      </c>
      <c r="CW296" s="126">
        <f t="shared" si="687"/>
        <v>130.7592375366568</v>
      </c>
      <c r="CX296" s="126">
        <f t="shared" si="687"/>
        <v>54.444373776907995</v>
      </c>
      <c r="CY296" s="126">
        <f t="shared" si="687"/>
        <v>72.758235294117611</v>
      </c>
      <c r="CZ296" s="126">
        <f t="shared" si="687"/>
        <v>77.206043956043914</v>
      </c>
      <c r="DA296" s="126">
        <f t="shared" si="687"/>
        <v>69.652794411177595</v>
      </c>
      <c r="DB296" s="126">
        <f t="shared" si="687"/>
        <v>103.08294117647053</v>
      </c>
      <c r="DC296" s="126">
        <f t="shared" si="687"/>
        <v>192.32848039215673</v>
      </c>
      <c r="DD296" s="126">
        <f t="shared" si="687"/>
        <v>129.22111984282898</v>
      </c>
      <c r="DE296" s="126">
        <f t="shared" si="687"/>
        <v>188.39706170421141</v>
      </c>
      <c r="DF296" s="126">
        <f t="shared" si="687"/>
        <v>133.88523856858839</v>
      </c>
      <c r="DG296" s="126">
        <f t="shared" si="687"/>
        <v>110.88319463626367</v>
      </c>
      <c r="DH296" s="126">
        <f t="shared" si="687"/>
        <v>97.075085966796792</v>
      </c>
      <c r="DI296" s="126">
        <f t="shared" si="687"/>
        <v>127.42225461613207</v>
      </c>
      <c r="DJ296" s="126">
        <f t="shared" si="687"/>
        <v>80.599088842054201</v>
      </c>
      <c r="DK296" s="126">
        <f t="shared" si="687"/>
        <v>97.638441871373246</v>
      </c>
      <c r="DL296" s="126">
        <f t="shared" si="687"/>
        <v>100.30642830392148</v>
      </c>
      <c r="DM296" s="126">
        <f t="shared" si="687"/>
        <v>97.935984663801491</v>
      </c>
      <c r="DN296" s="126">
        <f t="shared" si="687"/>
        <v>120.63885221869555</v>
      </c>
      <c r="DO296" s="126">
        <f t="shared" si="687"/>
        <v>115.28410246865954</v>
      </c>
      <c r="DP296" s="126">
        <f t="shared" si="687"/>
        <v>128.5575171661508</v>
      </c>
      <c r="DQ296" s="126">
        <f t="shared" si="687"/>
        <v>83.55316340271051</v>
      </c>
      <c r="DR296" s="126">
        <f t="shared" si="687"/>
        <v>109.86072265541864</v>
      </c>
      <c r="DS296" s="126">
        <f t="shared" si="687"/>
        <v>141.48541092238136</v>
      </c>
      <c r="DT296" s="126">
        <f t="shared" si="687"/>
        <v>92.016220822173835</v>
      </c>
      <c r="DU296" s="126">
        <f t="shared" si="687"/>
        <v>149.42861426552872</v>
      </c>
      <c r="DV296" s="126">
        <f t="shared" si="687"/>
        <v>115.27203490067232</v>
      </c>
      <c r="DW296" s="126">
        <f t="shared" si="687"/>
        <v>70.835472034932764</v>
      </c>
      <c r="DX296" s="126">
        <f t="shared" si="687"/>
        <v>83.400009102785845</v>
      </c>
      <c r="DY296" s="126">
        <f t="shared" si="687"/>
        <v>104.61335837575747</v>
      </c>
      <c r="DZ296" s="126">
        <f t="shared" si="687"/>
        <v>110.99960885448401</v>
      </c>
      <c r="EA296" s="126">
        <f t="shared" ref="EA296:FW296" si="688">EA295*$B292/EA292</f>
        <v>110.94901210230979</v>
      </c>
      <c r="EB296" s="126">
        <f t="shared" si="688"/>
        <v>106.6263335777026</v>
      </c>
      <c r="EC296" s="126">
        <f t="shared" si="688"/>
        <v>186.44550005939294</v>
      </c>
      <c r="ED296" s="126">
        <f t="shared" si="688"/>
        <v>186.1929011310107</v>
      </c>
      <c r="EE296" s="126">
        <f t="shared" si="688"/>
        <v>163.51155400404323</v>
      </c>
      <c r="EF296" s="126">
        <f t="shared" si="688"/>
        <v>65.067268006756692</v>
      </c>
      <c r="EG296" s="126">
        <f t="shared" si="688"/>
        <v>18.015783785686821</v>
      </c>
      <c r="EH296" s="126">
        <f t="shared" si="688"/>
        <v>30.481271980539475</v>
      </c>
      <c r="EI296" s="126">
        <f t="shared" si="688"/>
        <v>63.417947446868894</v>
      </c>
      <c r="EJ296" s="126">
        <f t="shared" si="688"/>
        <v>148.73299676629478</v>
      </c>
      <c r="EK296" s="126">
        <f t="shared" si="688"/>
        <v>109.67882260717079</v>
      </c>
      <c r="EL296" s="126">
        <f t="shared" si="688"/>
        <v>132.85434050331042</v>
      </c>
      <c r="EM296" s="126">
        <f t="shared" si="688"/>
        <v>210.87531537332978</v>
      </c>
      <c r="EN296" s="126">
        <f t="shared" si="688"/>
        <v>93.124760604840191</v>
      </c>
      <c r="EO296" s="126">
        <f t="shared" si="688"/>
        <v>152.64957096164233</v>
      </c>
      <c r="EP296" s="126">
        <f t="shared" si="688"/>
        <v>126.33379771656907</v>
      </c>
      <c r="EQ296" s="126">
        <f t="shared" si="688"/>
        <v>162.14156735009743</v>
      </c>
      <c r="ER296" s="126">
        <f t="shared" si="688"/>
        <v>113.65461161818605</v>
      </c>
      <c r="ES296" s="126">
        <f t="shared" si="688"/>
        <v>88.179827473881929</v>
      </c>
      <c r="ET296" s="126">
        <f t="shared" si="688"/>
        <v>130.86943476785694</v>
      </c>
      <c r="EU296" s="126">
        <f t="shared" si="688"/>
        <v>120.42911984814623</v>
      </c>
      <c r="EV296" s="126">
        <f t="shared" si="688"/>
        <v>83.955919000816422</v>
      </c>
      <c r="EW296" s="126">
        <f t="shared" si="688"/>
        <v>98.648235987008533</v>
      </c>
      <c r="EX296" s="126">
        <f t="shared" si="688"/>
        <v>158.59904166116348</v>
      </c>
      <c r="EY296" s="126">
        <f t="shared" si="688"/>
        <v>98.952195918386366</v>
      </c>
      <c r="EZ296" s="126">
        <f t="shared" si="688"/>
        <v>203.57606399948722</v>
      </c>
      <c r="FA296" s="126">
        <f t="shared" si="688"/>
        <v>170.11527255756016</v>
      </c>
      <c r="FB296" s="126">
        <f t="shared" si="688"/>
        <v>175.21126538511106</v>
      </c>
      <c r="FC296" s="126">
        <f t="shared" si="688"/>
        <v>168.54463540910746</v>
      </c>
      <c r="FD296" s="126">
        <f t="shared" si="688"/>
        <v>165.84128194393512</v>
      </c>
      <c r="FE296" s="126">
        <f t="shared" si="688"/>
        <v>162.16650077336598</v>
      </c>
      <c r="FF296" s="126">
        <f t="shared" si="688"/>
        <v>130.17261226322074</v>
      </c>
      <c r="FG296" s="126">
        <f t="shared" si="688"/>
        <v>96.051028398509942</v>
      </c>
      <c r="FH296" s="126">
        <f t="shared" si="688"/>
        <v>99.945602611657677</v>
      </c>
      <c r="FI296" s="126">
        <f t="shared" si="688"/>
        <v>133.83136610153764</v>
      </c>
      <c r="FJ296" s="126">
        <f t="shared" si="688"/>
        <v>193.97190955324373</v>
      </c>
      <c r="FK296" s="126">
        <f t="shared" si="688"/>
        <v>164.57808596216648</v>
      </c>
      <c r="FL296" s="126">
        <f t="shared" si="688"/>
        <v>148.45101056498328</v>
      </c>
      <c r="FM296" s="126">
        <f t="shared" si="688"/>
        <v>99.148165842733164</v>
      </c>
      <c r="FN296" s="126">
        <f t="shared" si="688"/>
        <v>221.08675607711623</v>
      </c>
      <c r="FO296" s="126">
        <f t="shared" si="688"/>
        <v>157.93676716917903</v>
      </c>
      <c r="FP296" s="126">
        <f t="shared" si="688"/>
        <v>181.15752285951766</v>
      </c>
      <c r="FQ296" s="126">
        <f t="shared" si="688"/>
        <v>196.85572959604264</v>
      </c>
      <c r="FR296" s="126">
        <f t="shared" si="688"/>
        <v>156.4963023829086</v>
      </c>
      <c r="FS296" s="126">
        <f t="shared" si="688"/>
        <v>103.97577996715917</v>
      </c>
      <c r="FT296" s="126">
        <f t="shared" si="688"/>
        <v>104.50375312760622</v>
      </c>
      <c r="FU296" s="126">
        <f t="shared" si="688"/>
        <v>123.03455453788499</v>
      </c>
      <c r="FV296" s="126">
        <f t="shared" si="688"/>
        <v>126.80999180999169</v>
      </c>
      <c r="FW296" s="126">
        <f t="shared" si="688"/>
        <v>53.465630114566217</v>
      </c>
      <c r="FX296" s="126">
        <f t="shared" ref="FX296:GC296" si="689">FX295*$B292/FX292</f>
        <v>186.43991769547304</v>
      </c>
      <c r="FY296" s="126">
        <f t="shared" si="689"/>
        <v>169.66023007395211</v>
      </c>
      <c r="FZ296" s="126">
        <f t="shared" si="689"/>
        <v>97.751245847175937</v>
      </c>
      <c r="GA296" s="126">
        <f t="shared" si="689"/>
        <v>181.676079734219</v>
      </c>
      <c r="GB296" s="126">
        <f t="shared" si="689"/>
        <v>171.43144499178956</v>
      </c>
      <c r="GC296" s="126">
        <f t="shared" si="689"/>
        <v>172.83129535330855</v>
      </c>
      <c r="GD296" s="126">
        <f t="shared" ref="GD296:GE296" si="690">GD295*$B292/GD292</f>
        <v>165.6474329262426</v>
      </c>
      <c r="GE296" s="126">
        <f t="shared" si="690"/>
        <v>147.85341741253026</v>
      </c>
      <c r="GF296" s="126">
        <f t="shared" ref="GF296:GG296" si="691">GF295*$B292/GF292</f>
        <v>106.63711904761887</v>
      </c>
      <c r="GG296" s="126">
        <f t="shared" si="691"/>
        <v>162.59632839732703</v>
      </c>
      <c r="GH296" s="126">
        <f t="shared" ref="GH296:GI296" si="692">GH295*$B292/GH292</f>
        <v>124.8634146341461</v>
      </c>
      <c r="GI296" s="126">
        <f t="shared" si="692"/>
        <v>182.19124797406766</v>
      </c>
      <c r="GJ296" s="126">
        <f t="shared" ref="GJ296:GK296" si="693">GJ295*$B292/GJ292</f>
        <v>186.98459042984553</v>
      </c>
      <c r="GK296" s="126">
        <f t="shared" si="693"/>
        <v>184.97469728504819</v>
      </c>
      <c r="GL296" s="126">
        <f t="shared" ref="GL296:GM296" si="694">GL295*$B292/GL292</f>
        <v>188.57472760020386</v>
      </c>
      <c r="GM296" s="126">
        <f t="shared" si="694"/>
        <v>229.99673469387699</v>
      </c>
      <c r="GN296" s="126">
        <f t="shared" ref="GN296:GO296" si="695">GN295*$B292/GN292</f>
        <v>156.69694533762021</v>
      </c>
      <c r="GO296" s="126">
        <f t="shared" si="695"/>
        <v>200.85548438750953</v>
      </c>
      <c r="GP296" s="126">
        <f t="shared" ref="GP296" si="696">GP295*$B292/GP292</f>
        <v>168.47479999999962</v>
      </c>
    </row>
    <row r="297" spans="1:205">
      <c r="B297" s="126">
        <f>B295-B296</f>
        <v>0</v>
      </c>
      <c r="C297" s="126">
        <f t="shared" ref="C297:BN297" si="697">C295-C296</f>
        <v>0.34830546265328621</v>
      </c>
      <c r="D297" s="126">
        <f t="shared" si="697"/>
        <v>1.4453424476295424</v>
      </c>
      <c r="E297" s="126">
        <f t="shared" si="697"/>
        <v>1.4487614457831199</v>
      </c>
      <c r="F297" s="126">
        <f t="shared" si="697"/>
        <v>1.2622950819672027</v>
      </c>
      <c r="G297" s="126">
        <f t="shared" si="697"/>
        <v>1.0227672846237681</v>
      </c>
      <c r="H297" s="126">
        <f t="shared" si="697"/>
        <v>0.35291545253862822</v>
      </c>
      <c r="I297" s="126">
        <f t="shared" si="697"/>
        <v>5.9410572687224494E-2</v>
      </c>
      <c r="J297" s="126">
        <f t="shared" si="697"/>
        <v>2.3060221006564632</v>
      </c>
      <c r="K297" s="126">
        <f t="shared" si="697"/>
        <v>3.0028078431372478</v>
      </c>
      <c r="L297" s="126">
        <f t="shared" si="697"/>
        <v>3.4037458106637644</v>
      </c>
      <c r="M297" s="126">
        <f t="shared" si="697"/>
        <v>1.1742520652173951</v>
      </c>
      <c r="N297" s="126">
        <f t="shared" si="697"/>
        <v>0.94663726571114637</v>
      </c>
      <c r="O297" s="126">
        <f t="shared" si="697"/>
        <v>0.84497483443709598</v>
      </c>
      <c r="P297" s="126">
        <f t="shared" si="697"/>
        <v>2.4584347826087196</v>
      </c>
      <c r="Q297" s="126">
        <f t="shared" si="697"/>
        <v>3.0286277717976304</v>
      </c>
      <c r="R297" s="126">
        <f t="shared" si="697"/>
        <v>1.784462002152857</v>
      </c>
      <c r="S297" s="126">
        <f t="shared" si="697"/>
        <v>2.3509439657263513</v>
      </c>
      <c r="T297" s="126">
        <f t="shared" si="697"/>
        <v>1.8893908893709437</v>
      </c>
      <c r="U297" s="126">
        <f t="shared" si="697"/>
        <v>2.0665822073850535</v>
      </c>
      <c r="V297" s="126">
        <f t="shared" si="697"/>
        <v>3.5956189451022738</v>
      </c>
      <c r="W297" s="126">
        <f t="shared" si="697"/>
        <v>0.66534764957265047</v>
      </c>
      <c r="X297" s="126">
        <f t="shared" si="697"/>
        <v>4.404696581196589</v>
      </c>
      <c r="Y297" s="126">
        <f t="shared" si="697"/>
        <v>1.7832348405303549</v>
      </c>
      <c r="Z297" s="126">
        <f t="shared" si="697"/>
        <v>2.3677705076497233</v>
      </c>
      <c r="AA297" s="126">
        <f t="shared" si="697"/>
        <v>4.3577275531068977</v>
      </c>
      <c r="AB297" s="126">
        <f t="shared" si="697"/>
        <v>1.6511052029752626</v>
      </c>
      <c r="AC297" s="126">
        <f t="shared" si="697"/>
        <v>6.8358176365892263</v>
      </c>
      <c r="AD297" s="126">
        <f t="shared" si="697"/>
        <v>1.9133535315986485</v>
      </c>
      <c r="AE297" s="126">
        <f t="shared" si="697"/>
        <v>0.94652481924920551</v>
      </c>
      <c r="AF297" s="126">
        <f t="shared" si="697"/>
        <v>1.6905459159192304</v>
      </c>
      <c r="AG297" s="126">
        <f t="shared" si="697"/>
        <v>1.8729716596018022</v>
      </c>
      <c r="AH297" s="126">
        <f t="shared" si="697"/>
        <v>4.9428868120456855</v>
      </c>
      <c r="AI297" s="126">
        <f t="shared" si="697"/>
        <v>8.5031475178084293</v>
      </c>
      <c r="AJ297" s="126">
        <f t="shared" si="697"/>
        <v>7.5787654072527175</v>
      </c>
      <c r="AK297" s="126">
        <f t="shared" si="697"/>
        <v>7.4943744188911836</v>
      </c>
      <c r="AL297" s="126">
        <f t="shared" si="697"/>
        <v>6.706116226987433</v>
      </c>
      <c r="AM297" s="126">
        <f t="shared" si="697"/>
        <v>6.6546420594989684</v>
      </c>
      <c r="AN297" s="126">
        <f t="shared" si="697"/>
        <v>8.4367900234484807</v>
      </c>
      <c r="AO297" s="126">
        <f t="shared" si="697"/>
        <v>7.9968936030030306</v>
      </c>
      <c r="AP297" s="126">
        <f t="shared" si="697"/>
        <v>3.3905146316851678</v>
      </c>
      <c r="AQ297" s="126">
        <f t="shared" si="697"/>
        <v>3.4743395167371602</v>
      </c>
      <c r="AR297" s="126">
        <f t="shared" si="697"/>
        <v>3.5282051282051299</v>
      </c>
      <c r="AS297" s="126">
        <f t="shared" si="697"/>
        <v>3.4026639344262293</v>
      </c>
      <c r="AT297" s="126">
        <f t="shared" si="697"/>
        <v>-0.81124497991967814</v>
      </c>
      <c r="AU297" s="126">
        <f t="shared" si="697"/>
        <v>9.0821643286573135</v>
      </c>
      <c r="AV297" s="126">
        <f t="shared" si="697"/>
        <v>8.2228962255538534</v>
      </c>
      <c r="AW297" s="126">
        <f t="shared" si="697"/>
        <v>7.5412029502240614</v>
      </c>
      <c r="AX297" s="126">
        <f t="shared" si="697"/>
        <v>8.4120122574055216</v>
      </c>
      <c r="AY297" s="126">
        <f t="shared" si="697"/>
        <v>7.2297645854657162</v>
      </c>
      <c r="AZ297" s="126">
        <f t="shared" si="697"/>
        <v>8.6688000000000045</v>
      </c>
      <c r="BA297" s="126">
        <f t="shared" si="697"/>
        <v>9.0814755732801586</v>
      </c>
      <c r="BB297" s="126">
        <f t="shared" si="697"/>
        <v>3.7923828514456588</v>
      </c>
      <c r="BC297" s="126">
        <f t="shared" si="697"/>
        <v>4.1613930348258705</v>
      </c>
      <c r="BD297" s="126">
        <f t="shared" si="697"/>
        <v>4.1469908814589687</v>
      </c>
      <c r="BE297" s="126">
        <f t="shared" si="697"/>
        <v>3.8859979736575454</v>
      </c>
      <c r="BF297" s="126">
        <f t="shared" si="697"/>
        <v>0.77383084577114403</v>
      </c>
      <c r="BG297" s="126">
        <f t="shared" si="697"/>
        <v>10.686965174129355</v>
      </c>
      <c r="BH297" s="126">
        <f t="shared" si="697"/>
        <v>8.9017165668662699</v>
      </c>
      <c r="BI297" s="126">
        <f t="shared" si="697"/>
        <v>9.1316417910447854</v>
      </c>
      <c r="BJ297" s="126">
        <f t="shared" si="697"/>
        <v>8.6975634517766451</v>
      </c>
      <c r="BK297" s="126">
        <f t="shared" si="697"/>
        <v>6.3338430173292579</v>
      </c>
      <c r="BL297" s="126">
        <f t="shared" si="697"/>
        <v>7.6773678963110683</v>
      </c>
      <c r="BM297" s="126">
        <f t="shared" si="697"/>
        <v>9.9132837301587529</v>
      </c>
      <c r="BN297" s="126">
        <f t="shared" si="697"/>
        <v>4.0529096325720033</v>
      </c>
      <c r="BO297" s="126">
        <f t="shared" ref="BO297:DZ297" si="698">BO295-BO296</f>
        <v>4.7049702380952425</v>
      </c>
      <c r="BP297" s="126">
        <f t="shared" si="698"/>
        <v>4.408915906788252</v>
      </c>
      <c r="BQ297" s="126">
        <f t="shared" si="698"/>
        <v>4.0220892494929075</v>
      </c>
      <c r="BR297" s="126">
        <f t="shared" si="698"/>
        <v>2.500268924302798</v>
      </c>
      <c r="BS297" s="126">
        <f t="shared" si="698"/>
        <v>12.227686196623665</v>
      </c>
      <c r="BT297" s="126">
        <f t="shared" si="698"/>
        <v>9.5464676616915654</v>
      </c>
      <c r="BU297" s="126">
        <f t="shared" si="698"/>
        <v>10.655223880597049</v>
      </c>
      <c r="BV297" s="126">
        <f t="shared" si="698"/>
        <v>7.1842346938775705</v>
      </c>
      <c r="BW297" s="126">
        <f t="shared" si="698"/>
        <v>4.7513340122199708</v>
      </c>
      <c r="BX297" s="126">
        <f t="shared" si="698"/>
        <v>5.9943768693918429</v>
      </c>
      <c r="BY297" s="126">
        <f t="shared" si="698"/>
        <v>9.5016484607746179</v>
      </c>
      <c r="BZ297" s="126">
        <f t="shared" si="698"/>
        <v>3.9916947472745399</v>
      </c>
      <c r="CA297" s="126">
        <f t="shared" si="698"/>
        <v>4.8835148514851596</v>
      </c>
      <c r="CB297" s="126">
        <f t="shared" si="698"/>
        <v>4.5413521695257373</v>
      </c>
      <c r="CC297" s="126">
        <f t="shared" si="698"/>
        <v>4.0879069767442004</v>
      </c>
      <c r="CD297" s="126">
        <f t="shared" si="698"/>
        <v>4.1299502982107512</v>
      </c>
      <c r="CE297" s="126">
        <f t="shared" si="698"/>
        <v>12.875445544554495</v>
      </c>
      <c r="CF297" s="126">
        <f t="shared" si="698"/>
        <v>9.4283797216700123</v>
      </c>
      <c r="CG297" s="126">
        <f t="shared" si="698"/>
        <v>11.408946322067635</v>
      </c>
      <c r="CH297" s="126">
        <f t="shared" si="698"/>
        <v>10.029775406504129</v>
      </c>
      <c r="CI297" s="126">
        <f t="shared" si="698"/>
        <v>5.568627551020441</v>
      </c>
      <c r="CJ297" s="126">
        <f t="shared" si="698"/>
        <v>10.313026973027007</v>
      </c>
      <c r="CK297" s="126">
        <f t="shared" si="698"/>
        <v>8.0991385842472852</v>
      </c>
      <c r="CL297" s="126">
        <f t="shared" si="698"/>
        <v>6.1329155069582697</v>
      </c>
      <c r="CM297" s="126">
        <f t="shared" si="698"/>
        <v>7.5127063492063755</v>
      </c>
      <c r="CN297" s="126">
        <f t="shared" si="698"/>
        <v>6.8762568250758704</v>
      </c>
      <c r="CO297" s="126">
        <f t="shared" si="698"/>
        <v>4.207873481781391</v>
      </c>
      <c r="CP297" s="126">
        <f t="shared" si="698"/>
        <v>11.791586891757717</v>
      </c>
      <c r="CQ297" s="126">
        <f t="shared" si="698"/>
        <v>12.169415262636321</v>
      </c>
      <c r="CR297" s="126">
        <f t="shared" si="698"/>
        <v>9.1702085402184963</v>
      </c>
      <c r="CS297" s="126">
        <f t="shared" si="698"/>
        <v>6.3633630069238478</v>
      </c>
      <c r="CT297" s="126">
        <f t="shared" si="698"/>
        <v>12.953661971831025</v>
      </c>
      <c r="CU297" s="126">
        <f t="shared" si="698"/>
        <v>3.4640160642570379</v>
      </c>
      <c r="CV297" s="126">
        <f t="shared" si="698"/>
        <v>5.8616748768473101</v>
      </c>
      <c r="CW297" s="126">
        <f t="shared" si="698"/>
        <v>18.700762463343182</v>
      </c>
      <c r="CX297" s="126">
        <f t="shared" si="698"/>
        <v>7.7256262230920072</v>
      </c>
      <c r="CY297" s="126">
        <f t="shared" si="698"/>
        <v>10.161764705882391</v>
      </c>
      <c r="CZ297" s="126">
        <f t="shared" si="698"/>
        <v>9.1439560439560807</v>
      </c>
      <c r="DA297" s="126">
        <f t="shared" si="698"/>
        <v>8.3272055888224088</v>
      </c>
      <c r="DB297" s="126">
        <f t="shared" si="698"/>
        <v>14.397058823529477</v>
      </c>
      <c r="DC297" s="126">
        <f t="shared" si="698"/>
        <v>26.861519607843263</v>
      </c>
      <c r="DD297" s="126">
        <f t="shared" si="698"/>
        <v>17.758880157171006</v>
      </c>
      <c r="DE297" s="126">
        <f t="shared" si="698"/>
        <v>26.522938295788578</v>
      </c>
      <c r="DF297" s="126">
        <f t="shared" si="698"/>
        <v>16.604761431411617</v>
      </c>
      <c r="DG297" s="126">
        <f t="shared" si="698"/>
        <v>13.132534783736347</v>
      </c>
      <c r="DH297" s="126">
        <f t="shared" si="698"/>
        <v>13.991828033203205</v>
      </c>
      <c r="DI297" s="126">
        <f t="shared" si="698"/>
        <v>19.077745383867935</v>
      </c>
      <c r="DJ297" s="126">
        <f t="shared" si="698"/>
        <v>12.33751415794579</v>
      </c>
      <c r="DK297" s="126">
        <f t="shared" si="698"/>
        <v>15.163959128626757</v>
      </c>
      <c r="DL297" s="126">
        <f t="shared" si="698"/>
        <v>14.009277696078499</v>
      </c>
      <c r="DM297" s="126">
        <f t="shared" si="698"/>
        <v>13.459358786198493</v>
      </c>
      <c r="DN297" s="126">
        <f t="shared" si="698"/>
        <v>18.870881911304423</v>
      </c>
      <c r="DO297" s="126">
        <f t="shared" si="698"/>
        <v>18.290885531340479</v>
      </c>
      <c r="DP297" s="126">
        <f t="shared" si="698"/>
        <v>19.965916073849229</v>
      </c>
      <c r="DQ297" s="126">
        <f t="shared" si="698"/>
        <v>12.883057597289493</v>
      </c>
      <c r="DR297" s="126">
        <f t="shared" si="698"/>
        <v>14.729929294581339</v>
      </c>
      <c r="DS297" s="126">
        <f t="shared" si="698"/>
        <v>18.495858187618666</v>
      </c>
      <c r="DT297" s="126">
        <f t="shared" si="698"/>
        <v>14.393598787826136</v>
      </c>
      <c r="DU297" s="126">
        <f t="shared" si="698"/>
        <v>24.209105104471263</v>
      </c>
      <c r="DV297" s="126">
        <f t="shared" si="698"/>
        <v>18.804153179327628</v>
      </c>
      <c r="DW297" s="126">
        <f t="shared" si="698"/>
        <v>11.63442948506723</v>
      </c>
      <c r="DX297" s="126">
        <f t="shared" si="698"/>
        <v>11.927599067214132</v>
      </c>
      <c r="DY297" s="126">
        <f t="shared" si="698"/>
        <v>14.961463544242505</v>
      </c>
      <c r="DZ297" s="126">
        <f t="shared" si="698"/>
        <v>17.61111112551599</v>
      </c>
      <c r="EA297" s="126">
        <f t="shared" ref="EA297:FW297" si="699">EA295-EA296</f>
        <v>17.851014237690165</v>
      </c>
      <c r="EB297" s="126">
        <f t="shared" si="699"/>
        <v>16.798115122297375</v>
      </c>
      <c r="EC297" s="126">
        <f t="shared" si="699"/>
        <v>29.789616210607079</v>
      </c>
      <c r="ED297" s="126">
        <f t="shared" si="699"/>
        <v>25.796558368989366</v>
      </c>
      <c r="EE297" s="126">
        <f t="shared" si="699"/>
        <v>21.740642375956753</v>
      </c>
      <c r="EF297" s="126">
        <f t="shared" si="699"/>
        <v>10.250820993243309</v>
      </c>
      <c r="EG297" s="126">
        <f t="shared" si="699"/>
        <v>2.9388876343131756</v>
      </c>
      <c r="EH297" s="126">
        <f t="shared" si="699"/>
        <v>4.8701920594605284</v>
      </c>
      <c r="EI297" s="126">
        <f t="shared" si="699"/>
        <v>10.13269998313109</v>
      </c>
      <c r="EJ297" s="126">
        <f t="shared" si="699"/>
        <v>22.600768223705302</v>
      </c>
      <c r="EK297" s="126">
        <f t="shared" si="699"/>
        <v>15.073178972829183</v>
      </c>
      <c r="EL297" s="126">
        <f t="shared" si="699"/>
        <v>19.594159716689546</v>
      </c>
      <c r="EM297" s="126">
        <f t="shared" si="699"/>
        <v>32.51485309667018</v>
      </c>
      <c r="EN297" s="126">
        <f t="shared" si="699"/>
        <v>14.358901635159839</v>
      </c>
      <c r="EO297" s="126">
        <f t="shared" si="699"/>
        <v>23.878145178357698</v>
      </c>
      <c r="EP297" s="126">
        <f t="shared" si="699"/>
        <v>18.491315643430951</v>
      </c>
      <c r="EQ297" s="126">
        <f t="shared" si="699"/>
        <v>23.370125349902565</v>
      </c>
      <c r="ER297" s="126">
        <f t="shared" si="699"/>
        <v>18.667293751813972</v>
      </c>
      <c r="ES297" s="126">
        <f t="shared" si="699"/>
        <v>15.36989171611809</v>
      </c>
      <c r="ET297" s="126">
        <f t="shared" si="699"/>
        <v>22.664538982143029</v>
      </c>
      <c r="EU297" s="126">
        <f t="shared" si="699"/>
        <v>21.125555101853763</v>
      </c>
      <c r="EV297" s="126">
        <f t="shared" si="699"/>
        <v>13.69560242918358</v>
      </c>
      <c r="EW297" s="126">
        <f t="shared" si="699"/>
        <v>16.312780922991479</v>
      </c>
      <c r="EX297" s="126">
        <f t="shared" si="699"/>
        <v>28.707312568836528</v>
      </c>
      <c r="EY297" s="126">
        <f t="shared" si="699"/>
        <v>18.905950281613627</v>
      </c>
      <c r="EZ297" s="126">
        <f t="shared" si="699"/>
        <v>40.487753510512817</v>
      </c>
      <c r="FA297" s="126">
        <f t="shared" si="699"/>
        <v>34.783346232439897</v>
      </c>
      <c r="FB297" s="126">
        <f t="shared" si="699"/>
        <v>35.825320184888881</v>
      </c>
      <c r="FC297" s="126">
        <f t="shared" si="699"/>
        <v>36.157061450892598</v>
      </c>
      <c r="FD297" s="126">
        <f t="shared" si="699"/>
        <v>40.394859736064888</v>
      </c>
      <c r="FE297" s="126">
        <f t="shared" si="699"/>
        <v>40.224539856634038</v>
      </c>
      <c r="FF297" s="126">
        <f t="shared" si="699"/>
        <v>33.743068206779242</v>
      </c>
      <c r="FG297" s="126">
        <f t="shared" si="699"/>
        <v>26.400617861490034</v>
      </c>
      <c r="FH297" s="126">
        <f t="shared" si="699"/>
        <v>26.019357998342315</v>
      </c>
      <c r="FI297" s="126">
        <f t="shared" si="699"/>
        <v>36.336337388462368</v>
      </c>
      <c r="FJ297" s="126">
        <f t="shared" si="699"/>
        <v>56.566109936756277</v>
      </c>
      <c r="FK297" s="126">
        <f t="shared" si="699"/>
        <v>56.085269517833552</v>
      </c>
      <c r="FL297" s="126">
        <f t="shared" si="699"/>
        <v>51.91638693501676</v>
      </c>
      <c r="FM297" s="126">
        <f t="shared" si="699"/>
        <v>35.006503247266835</v>
      </c>
      <c r="FN297" s="126">
        <f t="shared" si="699"/>
        <v>73.613243922883754</v>
      </c>
      <c r="FO297" s="126">
        <f t="shared" si="699"/>
        <v>52.763232830820954</v>
      </c>
      <c r="FP297" s="126">
        <f t="shared" si="699"/>
        <v>62.342477140482345</v>
      </c>
      <c r="FQ297" s="126">
        <f t="shared" si="699"/>
        <v>69.944270403957375</v>
      </c>
      <c r="FR297" s="126">
        <f t="shared" si="699"/>
        <v>56.303697617091416</v>
      </c>
      <c r="FS297" s="126">
        <f t="shared" si="699"/>
        <v>37.52422003284083</v>
      </c>
      <c r="FT297" s="126">
        <f t="shared" si="699"/>
        <v>35.496246872393783</v>
      </c>
      <c r="FU297" s="126">
        <f t="shared" si="699"/>
        <v>42.065445462115036</v>
      </c>
      <c r="FV297" s="126">
        <f t="shared" si="699"/>
        <v>46.190008190008314</v>
      </c>
      <c r="FW297" s="126">
        <f t="shared" si="699"/>
        <v>19.534369885433783</v>
      </c>
      <c r="FX297" s="126">
        <f t="shared" ref="FX297:FY297" si="700">FX295-FX296</f>
        <v>66.660082304526981</v>
      </c>
      <c r="FY297" s="126">
        <f t="shared" si="700"/>
        <v>61.039769926047882</v>
      </c>
      <c r="FZ297" s="126">
        <f t="shared" ref="FZ297:GA297" si="701">FZ295-FZ296</f>
        <v>33.748754152824063</v>
      </c>
      <c r="GA297" s="126">
        <f t="shared" si="701"/>
        <v>62.723920265781004</v>
      </c>
      <c r="GB297" s="126">
        <f t="shared" ref="GB297:GC297" si="702">GB295-GB296</f>
        <v>61.86855500821045</v>
      </c>
      <c r="GC297" s="126">
        <f t="shared" si="702"/>
        <v>63.532397956691455</v>
      </c>
      <c r="GD297" s="126">
        <f t="shared" ref="GD297:GE297" si="703">GD295-GD296</f>
        <v>61.446868973757404</v>
      </c>
      <c r="GE297" s="126">
        <f t="shared" si="703"/>
        <v>55.176582587469738</v>
      </c>
      <c r="GF297" s="126">
        <f t="shared" ref="GF297:GG297" si="704">GF295-GF296</f>
        <v>38.48468095238114</v>
      </c>
      <c r="GG297" s="126">
        <f t="shared" si="704"/>
        <v>58.316671972672964</v>
      </c>
      <c r="GH297" s="126">
        <f t="shared" ref="GH297:GI297" si="705">GH295-GH296</f>
        <v>46.736585365853898</v>
      </c>
      <c r="GI297" s="126">
        <f t="shared" si="705"/>
        <v>69.008752025932324</v>
      </c>
      <c r="GJ297" s="126">
        <f t="shared" ref="GJ297:GK297" si="706">GJ295-GJ296</f>
        <v>70.615409570154497</v>
      </c>
      <c r="GK297" s="126">
        <f t="shared" si="706"/>
        <v>70.063041764951805</v>
      </c>
      <c r="GL297" s="126">
        <f t="shared" ref="GL297:GM297" si="707">GL295-GL296</f>
        <v>69.319648469796164</v>
      </c>
      <c r="GM297" s="126">
        <f t="shared" si="707"/>
        <v>84.803265306122967</v>
      </c>
      <c r="GN297" s="126">
        <f t="shared" ref="GN297:GO297" si="708">GN295-GN296</f>
        <v>61.103054662379805</v>
      </c>
      <c r="GO297" s="126">
        <f t="shared" si="708"/>
        <v>79.44451561249042</v>
      </c>
      <c r="GP297" s="126">
        <f t="shared" ref="GP297" si="709">GP295-GP296</f>
        <v>66.825200000000393</v>
      </c>
    </row>
    <row r="298" spans="1:205">
      <c r="B298" s="126"/>
      <c r="C298" s="126"/>
      <c r="D298" s="126"/>
      <c r="E298" s="126"/>
      <c r="F298" s="126"/>
      <c r="G298" s="126"/>
      <c r="H298" s="126"/>
      <c r="I298" s="126"/>
      <c r="J298" s="126"/>
      <c r="K298" s="126"/>
      <c r="L298" s="126"/>
      <c r="M298" s="126"/>
      <c r="N298" s="126"/>
      <c r="O298" s="126"/>
      <c r="P298" s="126"/>
      <c r="Q298" s="126"/>
      <c r="R298" s="126"/>
      <c r="S298" s="126"/>
      <c r="T298" s="126"/>
      <c r="U298" s="126"/>
      <c r="V298" s="126"/>
      <c r="W298" s="126"/>
      <c r="X298" s="126"/>
      <c r="Y298" s="126"/>
      <c r="Z298" s="126"/>
      <c r="AA298" s="126"/>
      <c r="AB298" s="126"/>
      <c r="AC298" s="126"/>
      <c r="AD298" s="126"/>
      <c r="AE298" s="126"/>
      <c r="AF298" s="126"/>
      <c r="AG298" s="126"/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  <c r="BI298" s="126"/>
      <c r="BJ298" s="126"/>
      <c r="BK298" s="126"/>
      <c r="BL298" s="126"/>
      <c r="BM298" s="126"/>
      <c r="BN298" s="126"/>
      <c r="BO298" s="126"/>
      <c r="BP298" s="126"/>
      <c r="BQ298" s="126"/>
      <c r="BR298" s="126"/>
      <c r="BS298" s="126"/>
      <c r="BT298" s="126"/>
      <c r="BU298" s="126"/>
      <c r="BV298" s="126"/>
      <c r="BW298" s="126"/>
      <c r="BX298" s="126"/>
      <c r="BY298" s="126"/>
      <c r="BZ298" s="126"/>
      <c r="CA298" s="126"/>
      <c r="CB298" s="126"/>
      <c r="CC298" s="126"/>
      <c r="CD298" s="126"/>
      <c r="CE298" s="126"/>
      <c r="CF298" s="126"/>
      <c r="CG298" s="126"/>
      <c r="CH298" s="126"/>
      <c r="CI298" s="126"/>
      <c r="CJ298" s="126"/>
      <c r="CK298" s="126"/>
      <c r="CL298" s="126"/>
      <c r="CM298" s="126"/>
      <c r="CN298" s="126"/>
      <c r="CO298" s="126"/>
      <c r="CP298" s="126"/>
      <c r="CQ298" s="126"/>
      <c r="CR298" s="126"/>
      <c r="CS298" s="126"/>
      <c r="CT298" s="126"/>
      <c r="CU298" s="126"/>
      <c r="CV298" s="126"/>
      <c r="CW298" s="126"/>
      <c r="CX298" s="126"/>
      <c r="CY298" s="126"/>
      <c r="CZ298" s="126"/>
      <c r="DA298" s="126"/>
      <c r="DB298" s="126"/>
      <c r="DC298" s="126"/>
      <c r="DD298" s="126"/>
      <c r="DE298" s="126"/>
      <c r="DF298" s="126"/>
      <c r="DG298" s="126"/>
      <c r="DH298" s="126"/>
      <c r="DI298" s="126"/>
      <c r="DJ298" s="126"/>
      <c r="DK298" s="126"/>
      <c r="DL298" s="126"/>
      <c r="DM298" s="126"/>
      <c r="DN298" s="126"/>
      <c r="DO298" s="126"/>
      <c r="DP298" s="126"/>
      <c r="DQ298" s="126"/>
      <c r="DR298" s="126"/>
      <c r="DS298" s="126"/>
      <c r="DT298" s="126"/>
      <c r="DU298" s="126"/>
      <c r="DV298" s="126"/>
      <c r="DW298" s="126"/>
      <c r="DX298" s="126"/>
      <c r="DY298" s="126"/>
      <c r="DZ298" s="126"/>
      <c r="EA298" s="126"/>
      <c r="EB298" s="126"/>
      <c r="EC298" s="126"/>
      <c r="ED298" s="126"/>
      <c r="EE298" s="126"/>
      <c r="EF298" s="126"/>
      <c r="EG298" s="126"/>
      <c r="EH298" s="126"/>
      <c r="EI298" s="126"/>
      <c r="EJ298" s="126"/>
      <c r="EK298" s="126"/>
      <c r="EL298" s="126"/>
      <c r="EM298" s="126"/>
      <c r="EN298" s="126"/>
      <c r="EO298" s="126"/>
      <c r="EP298" s="126"/>
      <c r="EQ298" s="126"/>
      <c r="ER298" s="126"/>
      <c r="ES298" s="126"/>
      <c r="ET298" s="126"/>
      <c r="EU298" s="126"/>
      <c r="EV298" s="126"/>
      <c r="EW298" s="126"/>
      <c r="EX298" s="126"/>
      <c r="EY298" s="126"/>
      <c r="EZ298" s="126"/>
      <c r="FA298" s="126"/>
      <c r="FB298" s="126"/>
      <c r="FC298" s="126"/>
      <c r="FD298" s="126"/>
      <c r="FE298" s="126"/>
      <c r="FF298" s="126"/>
      <c r="FG298" s="126"/>
      <c r="FH298" s="126"/>
      <c r="FI298" s="126"/>
      <c r="FJ298" s="126"/>
      <c r="FK298" s="126"/>
      <c r="FL298" s="126"/>
      <c r="FM298" s="126"/>
      <c r="FN298" s="126"/>
      <c r="FO298" s="126"/>
      <c r="FP298" s="126"/>
      <c r="FQ298" s="126"/>
      <c r="FR298" s="126"/>
      <c r="FS298" s="126"/>
      <c r="FT298" s="126"/>
      <c r="FU298" s="126"/>
      <c r="FV298" s="126"/>
      <c r="FW298" s="126"/>
    </row>
    <row r="299" spans="1:205">
      <c r="A299" s="99" t="s">
        <v>831</v>
      </c>
      <c r="B299" s="126"/>
      <c r="C299" s="126"/>
      <c r="D299" s="126"/>
      <c r="E299" s="126"/>
      <c r="F299" s="126"/>
      <c r="G299" s="126"/>
      <c r="H299" s="126"/>
      <c r="I299" s="126"/>
      <c r="J299" s="126"/>
      <c r="K299" s="126"/>
      <c r="L299" s="126"/>
      <c r="M299" s="126"/>
      <c r="N299" s="126"/>
      <c r="O299" s="126"/>
      <c r="P299" s="126"/>
      <c r="Q299" s="126"/>
      <c r="R299" s="126"/>
      <c r="S299" s="126"/>
      <c r="T299" s="126"/>
      <c r="U299" s="126"/>
      <c r="V299" s="126"/>
      <c r="W299" s="126"/>
      <c r="X299" s="126"/>
      <c r="Y299" s="126"/>
      <c r="Z299" s="126"/>
      <c r="AA299" s="126"/>
      <c r="AB299" s="126"/>
      <c r="AC299" s="126"/>
      <c r="AD299" s="126"/>
      <c r="AE299" s="126"/>
      <c r="AF299" s="126"/>
      <c r="AG299" s="126"/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  <c r="BI299" s="126"/>
      <c r="BJ299" s="126"/>
      <c r="BK299" s="126"/>
      <c r="BL299" s="126"/>
      <c r="BM299" s="126"/>
      <c r="BN299" s="126"/>
      <c r="BO299" s="126"/>
      <c r="BP299" s="126"/>
      <c r="BQ299" s="126"/>
      <c r="BR299" s="126"/>
      <c r="BS299" s="126"/>
      <c r="BT299" s="126"/>
      <c r="BU299" s="126"/>
      <c r="BV299" s="126"/>
      <c r="BW299" s="126"/>
      <c r="BX299" s="126"/>
      <c r="BY299" s="126"/>
      <c r="BZ299" s="126"/>
      <c r="CA299" s="126"/>
      <c r="CB299" s="126"/>
      <c r="CC299" s="126"/>
      <c r="CD299" s="126"/>
      <c r="CE299" s="126"/>
      <c r="CF299" s="126"/>
      <c r="CG299" s="126"/>
      <c r="CH299" s="126"/>
      <c r="CI299" s="126"/>
      <c r="CJ299" s="126"/>
      <c r="CK299" s="126"/>
      <c r="CL299" s="126"/>
      <c r="CM299" s="126"/>
      <c r="CN299" s="126"/>
      <c r="CO299" s="126"/>
      <c r="CP299" s="126"/>
      <c r="CQ299" s="126"/>
      <c r="CR299" s="126"/>
      <c r="CS299" s="126"/>
      <c r="CT299" s="126"/>
      <c r="CU299" s="126"/>
      <c r="CV299" s="126"/>
      <c r="CW299" s="126"/>
      <c r="CX299" s="126"/>
      <c r="CY299" s="126"/>
      <c r="CZ299" s="126"/>
      <c r="DA299" s="126"/>
      <c r="DB299" s="126"/>
      <c r="DC299" s="126"/>
      <c r="DD299" s="126"/>
      <c r="DE299" s="126"/>
      <c r="DF299" s="126"/>
      <c r="DG299" s="126"/>
      <c r="DH299" s="126"/>
      <c r="DI299" s="126"/>
      <c r="DJ299" s="126"/>
      <c r="DK299" s="126"/>
      <c r="DL299" s="126"/>
      <c r="DM299" s="126"/>
      <c r="DN299" s="126"/>
      <c r="DO299" s="126"/>
      <c r="DP299" s="126"/>
      <c r="DQ299" s="126"/>
      <c r="DR299" s="126"/>
      <c r="DS299" s="126"/>
      <c r="DT299" s="126"/>
      <c r="DU299" s="126"/>
      <c r="DV299" s="126"/>
      <c r="DW299" s="126"/>
      <c r="DX299" s="126"/>
      <c r="DY299" s="126"/>
      <c r="DZ299" s="126"/>
      <c r="EA299" s="126"/>
      <c r="EB299" s="126"/>
      <c r="EC299" s="126"/>
      <c r="ED299" s="126"/>
      <c r="EE299" s="126"/>
      <c r="EF299" s="126"/>
      <c r="EG299" s="126"/>
      <c r="EH299" s="126"/>
      <c r="EI299" s="126"/>
      <c r="EJ299" s="126"/>
      <c r="EK299" s="126"/>
      <c r="EL299" s="126"/>
      <c r="EM299" s="126"/>
      <c r="EN299" s="126"/>
      <c r="EO299" s="126"/>
      <c r="EP299" s="126"/>
      <c r="EQ299" s="126"/>
      <c r="ER299" s="126"/>
      <c r="ES299" s="126"/>
      <c r="ET299" s="126"/>
      <c r="EU299" s="126"/>
      <c r="EV299" s="126"/>
      <c r="EW299" s="126"/>
      <c r="EX299" s="126"/>
      <c r="EY299" s="126"/>
      <c r="EZ299" s="126"/>
      <c r="FA299" s="126"/>
      <c r="FB299" s="126"/>
      <c r="FC299" s="126"/>
      <c r="FD299" s="126"/>
      <c r="FE299" s="126"/>
      <c r="FF299" s="126"/>
      <c r="FG299" s="126"/>
      <c r="FH299" s="126"/>
      <c r="FI299" s="126"/>
      <c r="FJ299" s="126"/>
      <c r="FK299" s="126"/>
      <c r="FL299" s="126"/>
      <c r="FM299" s="126"/>
      <c r="FN299" s="126"/>
      <c r="FO299" s="126"/>
      <c r="FP299" s="126"/>
      <c r="FQ299" s="126"/>
      <c r="FR299" s="126"/>
      <c r="FS299" s="126"/>
      <c r="FT299" s="126"/>
      <c r="FU299" s="126"/>
      <c r="FV299" s="126"/>
      <c r="FW299" s="126"/>
    </row>
    <row r="300" spans="1:205">
      <c r="A300" s="99" t="s">
        <v>827</v>
      </c>
      <c r="B300" s="126">
        <f t="shared" ref="B300:AG300" si="710">B33</f>
        <v>17.323044469027497</v>
      </c>
      <c r="C300" s="126">
        <f t="shared" si="710"/>
        <v>17.50631949592583</v>
      </c>
      <c r="D300" s="126">
        <f t="shared" si="710"/>
        <v>22.263719460767707</v>
      </c>
      <c r="E300" s="126">
        <f t="shared" si="710"/>
        <v>22.935770766253135</v>
      </c>
      <c r="F300" s="126">
        <f t="shared" si="710"/>
        <v>24.418241117344543</v>
      </c>
      <c r="G300" s="126">
        <f t="shared" si="710"/>
        <v>23.061506547693185</v>
      </c>
      <c r="H300" s="126">
        <f t="shared" si="710"/>
        <v>22.523740623975041</v>
      </c>
      <c r="I300" s="126">
        <f t="shared" si="710"/>
        <v>21.693075819625946</v>
      </c>
      <c r="J300" s="126">
        <f t="shared" si="710"/>
        <v>25.824516860085375</v>
      </c>
      <c r="K300" s="126">
        <f t="shared" si="710"/>
        <v>29.153011319084811</v>
      </c>
      <c r="L300" s="126">
        <f t="shared" si="710"/>
        <v>29.547807160199881</v>
      </c>
      <c r="M300" s="126">
        <f t="shared" si="710"/>
        <v>30.787264120437676</v>
      </c>
      <c r="N300" s="126">
        <f t="shared" si="710"/>
        <v>38.348070999999997</v>
      </c>
      <c r="O300" s="126">
        <f t="shared" si="710"/>
        <v>34.145786999999999</v>
      </c>
      <c r="P300" s="126">
        <f t="shared" si="710"/>
        <v>38.575417999999999</v>
      </c>
      <c r="Q300" s="126">
        <f t="shared" si="710"/>
        <v>36.118445999999999</v>
      </c>
      <c r="R300" s="126">
        <f t="shared" si="710"/>
        <v>37.549276999999996</v>
      </c>
      <c r="S300" s="126">
        <f t="shared" si="710"/>
        <v>32.193432000000001</v>
      </c>
      <c r="T300" s="126">
        <f t="shared" si="710"/>
        <v>30.751452999999998</v>
      </c>
      <c r="U300" s="126">
        <f t="shared" si="710"/>
        <v>29.626033</v>
      </c>
      <c r="V300" s="126">
        <f t="shared" si="710"/>
        <v>33.994495999999998</v>
      </c>
      <c r="W300" s="126">
        <f t="shared" si="710"/>
        <v>36.865201999999996</v>
      </c>
      <c r="X300" s="126">
        <f t="shared" si="710"/>
        <v>35.306413999999997</v>
      </c>
      <c r="Y300" s="126">
        <f t="shared" si="710"/>
        <v>37.216289000000003</v>
      </c>
      <c r="Z300" s="126">
        <f t="shared" si="710"/>
        <v>41.275478</v>
      </c>
      <c r="AA300" s="126">
        <f t="shared" si="710"/>
        <v>35.365499999999997</v>
      </c>
      <c r="AB300" s="126">
        <f t="shared" si="710"/>
        <v>37.464140999999998</v>
      </c>
      <c r="AC300" s="126">
        <f t="shared" si="710"/>
        <v>32.614707000000003</v>
      </c>
      <c r="AD300" s="126">
        <f t="shared" si="710"/>
        <v>32.980519000000001</v>
      </c>
      <c r="AE300" s="126">
        <f t="shared" si="710"/>
        <v>29.569662000000001</v>
      </c>
      <c r="AF300" s="126">
        <f t="shared" si="710"/>
        <v>31.028607999999998</v>
      </c>
      <c r="AG300" s="126">
        <f t="shared" si="710"/>
        <v>44.190656999999995</v>
      </c>
      <c r="AH300" s="126">
        <f t="shared" ref="AH300:BM300" si="711">AH33</f>
        <v>47.878735000000006</v>
      </c>
      <c r="AI300" s="126">
        <f t="shared" si="711"/>
        <v>53.312680999999998</v>
      </c>
      <c r="AJ300" s="126">
        <f t="shared" si="711"/>
        <v>50.714322000000003</v>
      </c>
      <c r="AK300" s="126">
        <f t="shared" si="711"/>
        <v>52.068732000000004</v>
      </c>
      <c r="AL300" s="126">
        <f t="shared" si="711"/>
        <v>57.282587000000007</v>
      </c>
      <c r="AM300" s="126">
        <f t="shared" si="711"/>
        <v>50.919460999999998</v>
      </c>
      <c r="AN300" s="126">
        <f t="shared" si="711"/>
        <v>48.224930999999998</v>
      </c>
      <c r="AO300" s="126">
        <f t="shared" si="711"/>
        <v>46.984566000000001</v>
      </c>
      <c r="AP300" s="126">
        <f t="shared" si="711"/>
        <v>46.212919999999997</v>
      </c>
      <c r="AQ300" s="126">
        <f t="shared" si="711"/>
        <v>41.010902999999999</v>
      </c>
      <c r="AR300" s="126">
        <f t="shared" si="711"/>
        <v>40.164063999999996</v>
      </c>
      <c r="AS300" s="126">
        <f t="shared" si="711"/>
        <v>36.679639000000002</v>
      </c>
      <c r="AT300" s="126">
        <f t="shared" si="711"/>
        <v>45.464568999999997</v>
      </c>
      <c r="AU300" s="126">
        <f t="shared" si="711"/>
        <v>44.705396999999998</v>
      </c>
      <c r="AV300" s="126">
        <f t="shared" si="711"/>
        <v>44.053299000000003</v>
      </c>
      <c r="AW300" s="126">
        <f t="shared" si="711"/>
        <v>48.632981000000001</v>
      </c>
      <c r="AX300" s="126">
        <f t="shared" si="711"/>
        <v>48.65</v>
      </c>
      <c r="AY300" s="126">
        <f t="shared" si="711"/>
        <v>43.06</v>
      </c>
      <c r="AZ300" s="126">
        <f t="shared" si="711"/>
        <v>42.55</v>
      </c>
      <c r="BA300" s="126">
        <f t="shared" si="711"/>
        <v>41.21</v>
      </c>
      <c r="BB300" s="126">
        <f t="shared" si="711"/>
        <v>41.900000000000006</v>
      </c>
      <c r="BC300" s="126">
        <f t="shared" si="711"/>
        <v>38.090000000000003</v>
      </c>
      <c r="BD300" s="126">
        <f t="shared" si="711"/>
        <v>37.409999999999997</v>
      </c>
      <c r="BE300" s="126">
        <f t="shared" si="711"/>
        <v>35.39</v>
      </c>
      <c r="BF300" s="126">
        <f t="shared" si="711"/>
        <v>42.66</v>
      </c>
      <c r="BG300" s="126">
        <f t="shared" si="711"/>
        <v>42.849999999999994</v>
      </c>
      <c r="BH300" s="126">
        <f t="shared" si="711"/>
        <v>41.5</v>
      </c>
      <c r="BI300" s="126">
        <f t="shared" si="711"/>
        <v>50.71</v>
      </c>
      <c r="BJ300" s="126">
        <f t="shared" si="711"/>
        <v>44.379999999999995</v>
      </c>
      <c r="BK300" s="126">
        <f t="shared" si="711"/>
        <v>39.21</v>
      </c>
      <c r="BL300" s="126">
        <f t="shared" si="711"/>
        <v>39.53</v>
      </c>
      <c r="BM300" s="126">
        <f t="shared" si="711"/>
        <v>37.950000000000003</v>
      </c>
      <c r="BN300" s="126">
        <f t="shared" ref="BN300:CS300" si="712">BN33</f>
        <v>38.68</v>
      </c>
      <c r="BO300" s="126">
        <f t="shared" si="712"/>
        <v>35.58</v>
      </c>
      <c r="BP300" s="126">
        <f t="shared" si="712"/>
        <v>35.14</v>
      </c>
      <c r="BQ300" s="126">
        <f t="shared" si="712"/>
        <v>33.959999999999994</v>
      </c>
      <c r="BR300" s="126">
        <f t="shared" si="712"/>
        <v>39.86</v>
      </c>
      <c r="BS300" s="126">
        <f t="shared" si="712"/>
        <v>40.26</v>
      </c>
      <c r="BT300" s="126">
        <f t="shared" si="712"/>
        <v>38.5</v>
      </c>
      <c r="BU300" s="126">
        <f t="shared" si="712"/>
        <v>47.97</v>
      </c>
      <c r="BV300" s="126">
        <f t="shared" si="712"/>
        <v>46.2</v>
      </c>
      <c r="BW300" s="126">
        <f t="shared" si="712"/>
        <v>40.75</v>
      </c>
      <c r="BX300" s="126">
        <f t="shared" si="712"/>
        <v>42.22</v>
      </c>
      <c r="BY300" s="126">
        <f t="shared" si="712"/>
        <v>40.31</v>
      </c>
      <c r="BZ300" s="126">
        <f t="shared" si="712"/>
        <v>41.12</v>
      </c>
      <c r="CA300" s="126">
        <f t="shared" si="712"/>
        <v>38.549999999999997</v>
      </c>
      <c r="CB300" s="126">
        <f t="shared" si="712"/>
        <v>38.409999999999997</v>
      </c>
      <c r="CC300" s="126">
        <f t="shared" si="712"/>
        <v>37.78</v>
      </c>
      <c r="CD300" s="126">
        <f t="shared" si="712"/>
        <v>43.14</v>
      </c>
      <c r="CE300" s="126">
        <f t="shared" si="712"/>
        <v>43.86</v>
      </c>
      <c r="CF300" s="126">
        <f t="shared" si="712"/>
        <v>42.230000000000004</v>
      </c>
      <c r="CG300" s="126">
        <f t="shared" si="712"/>
        <v>52.43</v>
      </c>
      <c r="CH300" s="126">
        <f t="shared" si="712"/>
        <v>54.95</v>
      </c>
      <c r="CI300" s="126">
        <f t="shared" si="712"/>
        <v>48.379999999999995</v>
      </c>
      <c r="CJ300" s="126">
        <f t="shared" si="712"/>
        <v>50.96</v>
      </c>
      <c r="CK300" s="126">
        <f t="shared" si="712"/>
        <v>48.25</v>
      </c>
      <c r="CL300" s="126">
        <f t="shared" si="712"/>
        <v>48.760000000000005</v>
      </c>
      <c r="CM300" s="126">
        <f t="shared" si="712"/>
        <v>46.3</v>
      </c>
      <c r="CN300" s="126">
        <f t="shared" si="712"/>
        <v>46.55</v>
      </c>
      <c r="CO300" s="126">
        <f t="shared" si="712"/>
        <v>46.48</v>
      </c>
      <c r="CP300" s="126">
        <f t="shared" si="712"/>
        <v>51.58</v>
      </c>
      <c r="CQ300" s="126">
        <f t="shared" si="712"/>
        <v>52.6</v>
      </c>
      <c r="CR300" s="126">
        <f t="shared" si="712"/>
        <v>50.789999999999992</v>
      </c>
      <c r="CS300" s="126">
        <f t="shared" si="712"/>
        <v>61.46</v>
      </c>
      <c r="CT300" s="126">
        <f t="shared" ref="CT300:DY300" si="713">CT33</f>
        <v>64.89</v>
      </c>
      <c r="CU300" s="126">
        <f t="shared" si="713"/>
        <v>56.870000000000005</v>
      </c>
      <c r="CV300" s="126">
        <f t="shared" si="713"/>
        <v>63.64</v>
      </c>
      <c r="CW300" s="126">
        <f t="shared" si="713"/>
        <v>59.73</v>
      </c>
      <c r="CX300" s="126">
        <f t="shared" si="713"/>
        <v>60.86</v>
      </c>
      <c r="CY300" s="126">
        <f t="shared" si="713"/>
        <v>55.93</v>
      </c>
      <c r="CZ300" s="126">
        <f t="shared" si="713"/>
        <v>57.5</v>
      </c>
      <c r="DA300" s="126">
        <f t="shared" si="713"/>
        <v>57.87</v>
      </c>
      <c r="DB300" s="126">
        <f t="shared" si="713"/>
        <v>65.2</v>
      </c>
      <c r="DC300" s="126">
        <f t="shared" si="713"/>
        <v>67.28</v>
      </c>
      <c r="DD300" s="126">
        <f t="shared" si="713"/>
        <v>63.52</v>
      </c>
      <c r="DE300" s="126">
        <f t="shared" si="713"/>
        <v>74.680000000000007</v>
      </c>
      <c r="DF300" s="126">
        <f t="shared" si="713"/>
        <v>78.099999999999994</v>
      </c>
      <c r="DG300" s="126">
        <f t="shared" si="713"/>
        <v>70.936365630000012</v>
      </c>
      <c r="DH300" s="126">
        <f t="shared" si="713"/>
        <v>77.708556999999999</v>
      </c>
      <c r="DI300" s="126">
        <f t="shared" si="713"/>
        <v>72.366487649999996</v>
      </c>
      <c r="DJ300" s="126">
        <f t="shared" si="713"/>
        <v>71.596361999999999</v>
      </c>
      <c r="DK300" s="126">
        <f t="shared" si="713"/>
        <v>68.540364859999997</v>
      </c>
      <c r="DL300" s="126">
        <f t="shared" si="713"/>
        <v>69.048000000000002</v>
      </c>
      <c r="DM300" s="126">
        <f t="shared" si="713"/>
        <v>69.170543500000008</v>
      </c>
      <c r="DN300" s="126">
        <f t="shared" si="713"/>
        <v>72.170446179999999</v>
      </c>
      <c r="DO300" s="126">
        <f t="shared" si="713"/>
        <v>79.705928</v>
      </c>
      <c r="DP300" s="126">
        <f t="shared" si="713"/>
        <v>72.156375990000001</v>
      </c>
      <c r="DQ300" s="126">
        <f t="shared" si="713"/>
        <v>86.609824000000003</v>
      </c>
      <c r="DR300" s="126">
        <f t="shared" si="713"/>
        <v>90.265013701130755</v>
      </c>
      <c r="DS300" s="126">
        <f t="shared" si="713"/>
        <v>76.343877077387816</v>
      </c>
      <c r="DT300" s="126">
        <f t="shared" si="713"/>
        <v>88.3902538370711</v>
      </c>
      <c r="DU300" s="126">
        <f t="shared" si="713"/>
        <v>82.350765549959448</v>
      </c>
      <c r="DV300" s="126">
        <f t="shared" si="713"/>
        <v>84.240077979716986</v>
      </c>
      <c r="DW300" s="126">
        <f t="shared" si="713"/>
        <v>75.010176095440556</v>
      </c>
      <c r="DX300" s="126">
        <f t="shared" si="713"/>
        <v>76.982330137171019</v>
      </c>
      <c r="DY300" s="126">
        <f t="shared" si="713"/>
        <v>79.787195952658976</v>
      </c>
      <c r="DZ300" s="126">
        <f t="shared" ref="DZ300:FE300" si="714">DZ33</f>
        <v>85.699609616519993</v>
      </c>
      <c r="EA300" s="126">
        <f t="shared" si="714"/>
        <v>79.651641598768364</v>
      </c>
      <c r="EB300" s="126">
        <f t="shared" si="714"/>
        <v>86.283942572372979</v>
      </c>
      <c r="EC300" s="126">
        <f t="shared" si="714"/>
        <v>101.65770671051898</v>
      </c>
      <c r="ED300" s="126">
        <f t="shared" si="714"/>
        <v>99.029452500821037</v>
      </c>
      <c r="EE300" s="126">
        <f t="shared" si="714"/>
        <v>93.570657674941017</v>
      </c>
      <c r="EF300" s="126">
        <f t="shared" si="714"/>
        <v>125.16898063430399</v>
      </c>
      <c r="EG300" s="126">
        <f t="shared" si="714"/>
        <v>136.10447607871197</v>
      </c>
      <c r="EH300" s="126">
        <f t="shared" si="714"/>
        <v>134.18444155039003</v>
      </c>
      <c r="EI300" s="126">
        <f t="shared" si="714"/>
        <v>117.66569816961898</v>
      </c>
      <c r="EJ300" s="126">
        <f t="shared" si="714"/>
        <v>108.14259157174796</v>
      </c>
      <c r="EK300" s="126">
        <f t="shared" si="714"/>
        <v>110.06096571673203</v>
      </c>
      <c r="EL300" s="126">
        <f t="shared" si="714"/>
        <v>108.64283313485802</v>
      </c>
      <c r="EM300" s="126">
        <f t="shared" si="714"/>
        <v>121.06751567462396</v>
      </c>
      <c r="EN300" s="126">
        <f t="shared" si="714"/>
        <v>147.84610340611798</v>
      </c>
      <c r="EO300" s="126">
        <f t="shared" si="714"/>
        <v>181.87140374208593</v>
      </c>
      <c r="EP300" s="126">
        <f t="shared" si="714"/>
        <v>192.30186627599994</v>
      </c>
      <c r="EQ300" s="126">
        <f t="shared" si="714"/>
        <v>165.65773730100011</v>
      </c>
      <c r="ER300" s="126">
        <f t="shared" si="714"/>
        <v>183.18427661799993</v>
      </c>
      <c r="ES300" s="126">
        <f t="shared" si="714"/>
        <v>184.56441838599997</v>
      </c>
      <c r="ET300" s="126">
        <f t="shared" si="714"/>
        <v>174.94545546199998</v>
      </c>
      <c r="EU300" s="126">
        <f t="shared" si="714"/>
        <v>149.93728591500002</v>
      </c>
      <c r="EV300" s="126">
        <f t="shared" si="714"/>
        <v>144.03211013199999</v>
      </c>
      <c r="EW300" s="126">
        <f t="shared" si="714"/>
        <v>150.36916784000005</v>
      </c>
      <c r="EX300" s="126">
        <f t="shared" si="714"/>
        <v>157.37509561500002</v>
      </c>
      <c r="EY300" s="126">
        <f t="shared" si="714"/>
        <v>167.81085328699996</v>
      </c>
      <c r="EZ300" s="126">
        <f t="shared" si="714"/>
        <v>160.254587899</v>
      </c>
      <c r="FA300" s="126">
        <f t="shared" si="714"/>
        <v>186.93171561499994</v>
      </c>
      <c r="FB300" s="126">
        <f t="shared" si="714"/>
        <v>196.31673646600004</v>
      </c>
      <c r="FC300" s="126">
        <f t="shared" si="714"/>
        <v>166.73364751599999</v>
      </c>
      <c r="FD300" s="126">
        <f t="shared" si="714"/>
        <v>179.96753202899995</v>
      </c>
      <c r="FE300" s="126">
        <f t="shared" si="714"/>
        <v>176.66254676200003</v>
      </c>
      <c r="FF300" s="126">
        <f t="shared" ref="FF300:GB300" si="715">FF33</f>
        <v>180.59980293099997</v>
      </c>
      <c r="FG300" s="126">
        <f t="shared" si="715"/>
        <v>168.96940490800006</v>
      </c>
      <c r="FH300" s="126">
        <f t="shared" si="715"/>
        <v>177.73982580199998</v>
      </c>
      <c r="FI300" s="126">
        <f t="shared" si="715"/>
        <v>189.10691538999998</v>
      </c>
      <c r="FJ300" s="126">
        <f t="shared" si="715"/>
        <v>183.43747851099999</v>
      </c>
      <c r="FK300" s="126">
        <f t="shared" si="715"/>
        <v>199.07887858000007</v>
      </c>
      <c r="FL300" s="126">
        <f t="shared" si="715"/>
        <v>196.15523104000005</v>
      </c>
      <c r="FM300" s="126">
        <f t="shared" si="715"/>
        <v>229.27824257</v>
      </c>
      <c r="FN300" s="126">
        <f t="shared" si="715"/>
        <v>230.40593817999999</v>
      </c>
      <c r="FO300" s="126">
        <f t="shared" si="715"/>
        <v>199.51115106584905</v>
      </c>
      <c r="FP300" s="126">
        <f t="shared" si="715"/>
        <v>217.3</v>
      </c>
      <c r="FQ300" s="126">
        <f t="shared" si="715"/>
        <v>211.73203611</v>
      </c>
      <c r="FR300" s="126">
        <f t="shared" si="715"/>
        <v>210.80384358000001</v>
      </c>
      <c r="FS300" s="126">
        <f t="shared" si="715"/>
        <v>193.38729336999998</v>
      </c>
      <c r="FT300" s="126">
        <f t="shared" si="715"/>
        <v>201.06211236999999</v>
      </c>
      <c r="FU300" s="126">
        <f t="shared" si="715"/>
        <v>211.94306982000001</v>
      </c>
      <c r="FV300" s="126">
        <f t="shared" si="715"/>
        <v>215.98828033000001</v>
      </c>
      <c r="FW300" s="126">
        <f t="shared" si="715"/>
        <v>230.5</v>
      </c>
      <c r="FX300" s="126">
        <f t="shared" si="715"/>
        <v>230.0738624</v>
      </c>
      <c r="FY300" s="126">
        <f t="shared" si="715"/>
        <v>256.88730901000002</v>
      </c>
      <c r="FZ300" s="126">
        <f t="shared" si="715"/>
        <v>261.23755036</v>
      </c>
      <c r="GA300" s="126">
        <f t="shared" si="715"/>
        <v>236.46379712000001</v>
      </c>
      <c r="GB300" s="126">
        <f t="shared" si="715"/>
        <v>246.6412732</v>
      </c>
      <c r="GC300" s="126">
        <f t="shared" ref="GC300" si="716">GC33</f>
        <v>234.23490415999999</v>
      </c>
      <c r="GD300" s="126">
        <f t="shared" ref="GD300:GE300" si="717">GD33</f>
        <v>241.31141599</v>
      </c>
      <c r="GE300" s="126">
        <f t="shared" si="717"/>
        <v>233.70730269000001</v>
      </c>
      <c r="GF300" s="126">
        <f t="shared" ref="GF300:GG300" si="718">GF33</f>
        <v>245.76113942000001</v>
      </c>
      <c r="GG300" s="126">
        <f t="shared" si="718"/>
        <v>245.94210770999999</v>
      </c>
      <c r="GH300" s="126">
        <f t="shared" ref="GH300:GI300" si="719">GH33</f>
        <v>260.67745172999997</v>
      </c>
      <c r="GI300" s="126">
        <f t="shared" si="719"/>
        <v>272.08581999</v>
      </c>
      <c r="GJ300" s="126">
        <f t="shared" ref="GJ300:GK300" si="720">GJ33</f>
        <v>256.43749136999998</v>
      </c>
      <c r="GK300" s="126">
        <f t="shared" si="720"/>
        <v>305.23707515000001</v>
      </c>
      <c r="GL300" s="126">
        <f t="shared" ref="GL300:GM300" si="721">GL33</f>
        <v>299.59383597999999</v>
      </c>
      <c r="GM300" s="126">
        <f t="shared" si="721"/>
        <v>261.47111669999998</v>
      </c>
      <c r="GN300" s="126">
        <f t="shared" ref="GN300:GO300" si="722">GN33</f>
        <v>284.88485968999998</v>
      </c>
      <c r="GO300" s="126">
        <f t="shared" si="722"/>
        <v>270.20718066000001</v>
      </c>
      <c r="GP300" s="126">
        <f t="shared" ref="GP300" si="723">GP33</f>
        <v>273.01832259000003</v>
      </c>
    </row>
    <row r="301" spans="1:205">
      <c r="A301" s="99" t="s">
        <v>830</v>
      </c>
      <c r="B301" s="126">
        <f>B300*$B292/B292</f>
        <v>17.323044469027497</v>
      </c>
      <c r="C301" s="126">
        <f t="shared" ref="C301:BN301" si="724">C300*$B292/C292</f>
        <v>17.467286453571479</v>
      </c>
      <c r="D301" s="126">
        <f t="shared" si="724"/>
        <v>21.969160879147847</v>
      </c>
      <c r="E301" s="126">
        <f t="shared" si="724"/>
        <v>22.483586895724599</v>
      </c>
      <c r="F301" s="126">
        <f t="shared" si="724"/>
        <v>23.884509071063789</v>
      </c>
      <c r="G301" s="126">
        <f t="shared" si="724"/>
        <v>22.508231581445365</v>
      </c>
      <c r="H301" s="126">
        <f t="shared" si="724"/>
        <v>22.250273574456582</v>
      </c>
      <c r="I301" s="126">
        <f t="shared" si="724"/>
        <v>21.382492134983728</v>
      </c>
      <c r="J301" s="126">
        <f t="shared" si="724"/>
        <v>25.287683358617514</v>
      </c>
      <c r="K301" s="126">
        <f t="shared" si="724"/>
        <v>28.422598181460682</v>
      </c>
      <c r="L301" s="126">
        <f t="shared" si="724"/>
        <v>28.776156048290414</v>
      </c>
      <c r="M301" s="126">
        <f t="shared" si="724"/>
        <v>29.950653682382303</v>
      </c>
      <c r="N301" s="126">
        <f t="shared" si="724"/>
        <v>37.840709531422263</v>
      </c>
      <c r="O301" s="126">
        <f t="shared" si="724"/>
        <v>33.731213427152319</v>
      </c>
      <c r="P301" s="126">
        <f t="shared" si="724"/>
        <v>37.527172945652168</v>
      </c>
      <c r="Q301" s="126">
        <f t="shared" si="724"/>
        <v>34.796565306781481</v>
      </c>
      <c r="R301" s="126">
        <f t="shared" si="724"/>
        <v>36.175030048439176</v>
      </c>
      <c r="S301" s="126">
        <f t="shared" si="724"/>
        <v>30.981851225806452</v>
      </c>
      <c r="T301" s="126">
        <f t="shared" si="724"/>
        <v>29.850922380694133</v>
      </c>
      <c r="U301" s="126">
        <f t="shared" si="724"/>
        <v>28.72730177139761</v>
      </c>
      <c r="V301" s="126">
        <f t="shared" si="724"/>
        <v>32.750348675995689</v>
      </c>
      <c r="W301" s="126">
        <f t="shared" si="724"/>
        <v>35.25038011752136</v>
      </c>
      <c r="X301" s="126">
        <f t="shared" si="724"/>
        <v>33.759872361111107</v>
      </c>
      <c r="Y301" s="126">
        <f t="shared" si="724"/>
        <v>35.472394733759316</v>
      </c>
      <c r="Z301" s="126">
        <f t="shared" si="724"/>
        <v>39.936813848648654</v>
      </c>
      <c r="AA301" s="126">
        <f t="shared" si="724"/>
        <v>34.181557775377968</v>
      </c>
      <c r="AB301" s="126">
        <f t="shared" si="724"/>
        <v>35.44440401162791</v>
      </c>
      <c r="AC301" s="126">
        <f t="shared" si="724"/>
        <v>30.533643059623436</v>
      </c>
      <c r="AD301" s="126">
        <f t="shared" si="724"/>
        <v>30.843850057471258</v>
      </c>
      <c r="AE301" s="126">
        <f t="shared" si="724"/>
        <v>27.625101764091863</v>
      </c>
      <c r="AF301" s="126">
        <f t="shared" si="724"/>
        <v>29.511800382571735</v>
      </c>
      <c r="AG301" s="126">
        <f t="shared" si="724"/>
        <v>41.896862304025419</v>
      </c>
      <c r="AH301" s="126">
        <f t="shared" si="724"/>
        <v>44.497889745586718</v>
      </c>
      <c r="AI301" s="126">
        <f t="shared" si="724"/>
        <v>49.139906791967043</v>
      </c>
      <c r="AJ301" s="126">
        <f t="shared" si="724"/>
        <v>46.744920895983526</v>
      </c>
      <c r="AK301" s="126">
        <f t="shared" si="724"/>
        <v>47.845498090349075</v>
      </c>
      <c r="AL301" s="126">
        <f t="shared" si="724"/>
        <v>53.627526532426785</v>
      </c>
      <c r="AM301" s="126">
        <f t="shared" si="724"/>
        <v>47.570895193110644</v>
      </c>
      <c r="AN301" s="126">
        <f t="shared" si="724"/>
        <v>43.952457479633388</v>
      </c>
      <c r="AO301" s="126">
        <f t="shared" si="724"/>
        <v>42.433084328960639</v>
      </c>
      <c r="AP301" s="126">
        <f t="shared" si="724"/>
        <v>41.736189101917248</v>
      </c>
      <c r="AQ301" s="126">
        <f t="shared" si="724"/>
        <v>36.963502703927489</v>
      </c>
      <c r="AR301" s="126">
        <f t="shared" si="724"/>
        <v>36.868551056410254</v>
      </c>
      <c r="AS301" s="126">
        <f t="shared" si="724"/>
        <v>33.635529615778687</v>
      </c>
      <c r="AT301" s="126">
        <f t="shared" si="724"/>
        <v>40.854206079317272</v>
      </c>
      <c r="AU301" s="126">
        <f t="shared" si="724"/>
        <v>40.09151334168336</v>
      </c>
      <c r="AV301" s="126">
        <f t="shared" si="724"/>
        <v>39.58604679216868</v>
      </c>
      <c r="AW301" s="126">
        <f t="shared" si="724"/>
        <v>43.570088083083078</v>
      </c>
      <c r="AX301" s="126">
        <f t="shared" si="724"/>
        <v>44.475740551583243</v>
      </c>
      <c r="AY301" s="126">
        <f t="shared" si="724"/>
        <v>39.445957011258955</v>
      </c>
      <c r="AZ301" s="126">
        <f t="shared" si="724"/>
        <v>38.082250000000002</v>
      </c>
      <c r="BA301" s="126">
        <f t="shared" si="724"/>
        <v>36.772632103688935</v>
      </c>
      <c r="BB301" s="126">
        <f t="shared" si="724"/>
        <v>37.388334995014965</v>
      </c>
      <c r="BC301" s="126">
        <f t="shared" si="724"/>
        <v>33.920945273631844</v>
      </c>
      <c r="BD301" s="126">
        <f t="shared" si="724"/>
        <v>33.922948328267474</v>
      </c>
      <c r="BE301" s="126">
        <f t="shared" si="724"/>
        <v>32.091236068895647</v>
      </c>
      <c r="BF301" s="126">
        <f t="shared" si="724"/>
        <v>37.990746268656721</v>
      </c>
      <c r="BG301" s="126">
        <f t="shared" si="724"/>
        <v>38.159950248756211</v>
      </c>
      <c r="BH301" s="126">
        <f t="shared" si="724"/>
        <v>37.068363273453095</v>
      </c>
      <c r="BI301" s="126">
        <f t="shared" si="724"/>
        <v>45.159651741293537</v>
      </c>
      <c r="BJ301" s="126">
        <f t="shared" si="724"/>
        <v>40.324974619289335</v>
      </c>
      <c r="BK301" s="126">
        <f t="shared" si="724"/>
        <v>35.772629969418958</v>
      </c>
      <c r="BL301" s="126">
        <f t="shared" si="724"/>
        <v>35.273529411764706</v>
      </c>
      <c r="BM301" s="126">
        <f t="shared" si="724"/>
        <v>33.695684523809518</v>
      </c>
      <c r="BN301" s="126">
        <f t="shared" si="724"/>
        <v>34.377954319761656</v>
      </c>
      <c r="BO301" s="126">
        <f t="shared" ref="BO301:DZ301" si="725">BO300*$B292/BO292</f>
        <v>31.591369047619043</v>
      </c>
      <c r="BP301" s="126">
        <f t="shared" si="725"/>
        <v>31.864539007092194</v>
      </c>
      <c r="BQ301" s="126">
        <f t="shared" si="725"/>
        <v>30.825760649087211</v>
      </c>
      <c r="BR301" s="126">
        <f t="shared" si="725"/>
        <v>35.532569721115522</v>
      </c>
      <c r="BS301" s="126">
        <f t="shared" si="725"/>
        <v>35.782224428997012</v>
      </c>
      <c r="BT301" s="126">
        <f t="shared" si="725"/>
        <v>34.286069651741279</v>
      </c>
      <c r="BU301" s="126">
        <f t="shared" si="725"/>
        <v>42.719552238805953</v>
      </c>
      <c r="BV301" s="126">
        <f t="shared" si="725"/>
        <v>42.192857142857129</v>
      </c>
      <c r="BW301" s="126">
        <f t="shared" si="725"/>
        <v>37.13976578411404</v>
      </c>
      <c r="BX301" s="126">
        <f t="shared" si="725"/>
        <v>37.673878364905271</v>
      </c>
      <c r="BY301" s="126">
        <f t="shared" si="725"/>
        <v>35.826663356504454</v>
      </c>
      <c r="BZ301" s="126">
        <f t="shared" si="725"/>
        <v>36.474132804757168</v>
      </c>
      <c r="CA301" s="126">
        <f t="shared" si="725"/>
        <v>34.16064356435642</v>
      </c>
      <c r="CB301" s="126">
        <f t="shared" si="725"/>
        <v>34.689152371342068</v>
      </c>
      <c r="CC301" s="126">
        <f t="shared" si="725"/>
        <v>34.189180990899885</v>
      </c>
      <c r="CD301" s="126">
        <f t="shared" si="725"/>
        <v>38.380019880715693</v>
      </c>
      <c r="CE301" s="126">
        <f t="shared" si="725"/>
        <v>38.866039603960381</v>
      </c>
      <c r="CF301" s="126">
        <f t="shared" si="725"/>
        <v>37.570427435387657</v>
      </c>
      <c r="CG301" s="126">
        <f t="shared" si="725"/>
        <v>46.644980119284277</v>
      </c>
      <c r="CH301" s="126">
        <f t="shared" si="725"/>
        <v>49.979928861788586</v>
      </c>
      <c r="CI301" s="126">
        <f t="shared" si="725"/>
        <v>44.183775510204057</v>
      </c>
      <c r="CJ301" s="126">
        <f t="shared" si="725"/>
        <v>45.563636363636341</v>
      </c>
      <c r="CK301" s="126">
        <f t="shared" si="725"/>
        <v>43.054586241276155</v>
      </c>
      <c r="CL301" s="126">
        <f t="shared" si="725"/>
        <v>43.379920477137169</v>
      </c>
      <c r="CM301" s="126">
        <f t="shared" si="725"/>
        <v>41.109623015872998</v>
      </c>
      <c r="CN301" s="126">
        <f t="shared" si="725"/>
        <v>42.125631951466112</v>
      </c>
      <c r="CO301" s="126">
        <f t="shared" si="725"/>
        <v>42.104858299595122</v>
      </c>
      <c r="CP301" s="126">
        <f t="shared" si="725"/>
        <v>45.843197616683199</v>
      </c>
      <c r="CQ301" s="126">
        <f t="shared" si="725"/>
        <v>46.657086223984123</v>
      </c>
      <c r="CR301" s="126">
        <f t="shared" si="725"/>
        <v>45.141062562065521</v>
      </c>
      <c r="CS301" s="126">
        <f t="shared" si="725"/>
        <v>54.408209693372889</v>
      </c>
      <c r="CT301" s="126">
        <f t="shared" si="725"/>
        <v>58.427112676056318</v>
      </c>
      <c r="CU301" s="126">
        <f t="shared" si="725"/>
        <v>51.103062248995968</v>
      </c>
      <c r="CV301" s="126">
        <f t="shared" si="725"/>
        <v>56.116059113300466</v>
      </c>
      <c r="CW301" s="126">
        <f t="shared" si="725"/>
        <v>52.256451612903199</v>
      </c>
      <c r="CX301" s="126">
        <f t="shared" si="725"/>
        <v>53.297162426614456</v>
      </c>
      <c r="CY301" s="126">
        <f t="shared" si="725"/>
        <v>49.075833333333307</v>
      </c>
      <c r="CZ301" s="126">
        <f t="shared" si="725"/>
        <v>51.411088911088882</v>
      </c>
      <c r="DA301" s="126">
        <f t="shared" si="725"/>
        <v>51.690269461077811</v>
      </c>
      <c r="DB301" s="126">
        <f t="shared" si="725"/>
        <v>57.209803921568593</v>
      </c>
      <c r="DC301" s="126">
        <f t="shared" si="725"/>
        <v>59.034901960784275</v>
      </c>
      <c r="DD301" s="126">
        <f t="shared" si="725"/>
        <v>55.845186640471475</v>
      </c>
      <c r="DE301" s="126">
        <f t="shared" si="725"/>
        <v>65.463858961802117</v>
      </c>
      <c r="DF301" s="126">
        <f t="shared" si="725"/>
        <v>69.482604373757397</v>
      </c>
      <c r="DG301" s="126">
        <f t="shared" si="725"/>
        <v>63.424622616233734</v>
      </c>
      <c r="DH301" s="126">
        <f t="shared" si="725"/>
        <v>67.919100112304633</v>
      </c>
      <c r="DI301" s="126">
        <f t="shared" si="725"/>
        <v>62.942669044460594</v>
      </c>
      <c r="DJ301" s="126">
        <f t="shared" si="725"/>
        <v>62.091806191860421</v>
      </c>
      <c r="DK301" s="126">
        <f t="shared" si="725"/>
        <v>59.326524709574421</v>
      </c>
      <c r="DL301" s="126">
        <f t="shared" si="725"/>
        <v>60.586235294117607</v>
      </c>
      <c r="DM301" s="126">
        <f t="shared" si="725"/>
        <v>60.813002389489156</v>
      </c>
      <c r="DN301" s="126">
        <f t="shared" si="725"/>
        <v>62.408260223284984</v>
      </c>
      <c r="DO301" s="126">
        <f t="shared" si="725"/>
        <v>68.791519344262255</v>
      </c>
      <c r="DP301" s="126">
        <f t="shared" si="725"/>
        <v>62.456437631576357</v>
      </c>
      <c r="DQ301" s="126">
        <f t="shared" si="725"/>
        <v>75.039489332042564</v>
      </c>
      <c r="DR301" s="126">
        <f t="shared" si="725"/>
        <v>79.59328794336156</v>
      </c>
      <c r="DS301" s="126">
        <f t="shared" si="725"/>
        <v>67.517559272986219</v>
      </c>
      <c r="DT301" s="126">
        <f t="shared" si="725"/>
        <v>76.434084235921347</v>
      </c>
      <c r="DU301" s="126">
        <f t="shared" si="725"/>
        <v>70.869168430013133</v>
      </c>
      <c r="DV301" s="126">
        <f t="shared" si="725"/>
        <v>72.425427273627918</v>
      </c>
      <c r="DW301" s="126">
        <f t="shared" si="725"/>
        <v>64.428126300786232</v>
      </c>
      <c r="DX301" s="126">
        <f t="shared" si="725"/>
        <v>67.350132426948207</v>
      </c>
      <c r="DY301" s="126">
        <f t="shared" si="725"/>
        <v>69.804047289960636</v>
      </c>
      <c r="DZ301" s="126">
        <f t="shared" si="725"/>
        <v>73.964465387449692</v>
      </c>
      <c r="EA301" s="126">
        <f t="shared" ref="EA301:FV301" si="726">EA300*$B292/EA292</f>
        <v>68.612338047062195</v>
      </c>
      <c r="EB301" s="126">
        <f t="shared" si="726"/>
        <v>74.54066467400942</v>
      </c>
      <c r="EC301" s="126">
        <f t="shared" si="726"/>
        <v>87.652839601073609</v>
      </c>
      <c r="ED301" s="126">
        <f t="shared" si="726"/>
        <v>86.978763482075323</v>
      </c>
      <c r="EE301" s="126">
        <f t="shared" si="726"/>
        <v>82.589485817625373</v>
      </c>
      <c r="EF301" s="126">
        <f t="shared" si="726"/>
        <v>108.13343404218337</v>
      </c>
      <c r="EG301" s="126">
        <f t="shared" si="726"/>
        <v>117.0158559946658</v>
      </c>
      <c r="EH301" s="126">
        <f t="shared" si="726"/>
        <v>115.69853100924756</v>
      </c>
      <c r="EI301" s="126">
        <f t="shared" si="726"/>
        <v>101.45549119634767</v>
      </c>
      <c r="EJ301" s="126">
        <f t="shared" si="726"/>
        <v>93.877419453651143</v>
      </c>
      <c r="EK301" s="126">
        <f t="shared" si="726"/>
        <v>96.76283331677314</v>
      </c>
      <c r="EL301" s="126">
        <f t="shared" si="726"/>
        <v>94.679002585879076</v>
      </c>
      <c r="EM301" s="126">
        <f t="shared" si="726"/>
        <v>104.8939269397757</v>
      </c>
      <c r="EN301" s="126">
        <f t="shared" si="726"/>
        <v>128.09512347383875</v>
      </c>
      <c r="EO301" s="126">
        <f t="shared" si="726"/>
        <v>157.27044091706929</v>
      </c>
      <c r="EP301" s="126">
        <f t="shared" si="726"/>
        <v>167.74870401268979</v>
      </c>
      <c r="EQ301" s="126">
        <f t="shared" si="726"/>
        <v>144.78874500429191</v>
      </c>
      <c r="ER301" s="126">
        <f t="shared" si="726"/>
        <v>157.34158116421278</v>
      </c>
      <c r="ES301" s="126">
        <f t="shared" si="726"/>
        <v>157.16950947237848</v>
      </c>
      <c r="ET301" s="126">
        <f t="shared" si="726"/>
        <v>149.12017394141884</v>
      </c>
      <c r="EU301" s="126">
        <f t="shared" si="726"/>
        <v>127.5607137774951</v>
      </c>
      <c r="EV301" s="126">
        <f t="shared" si="726"/>
        <v>123.83164127583078</v>
      </c>
      <c r="EW301" s="126">
        <f t="shared" si="726"/>
        <v>129.03202801227218</v>
      </c>
      <c r="EX301" s="126">
        <f t="shared" si="726"/>
        <v>133.25516610730827</v>
      </c>
      <c r="EY301" s="126">
        <f t="shared" si="726"/>
        <v>140.89185149330655</v>
      </c>
      <c r="EZ301" s="126">
        <f t="shared" si="726"/>
        <v>133.66994983187774</v>
      </c>
      <c r="FA301" s="126">
        <f t="shared" si="726"/>
        <v>155.19840953193392</v>
      </c>
      <c r="FB301" s="126">
        <f t="shared" si="726"/>
        <v>162.99024038689222</v>
      </c>
      <c r="FC301" s="126">
        <f t="shared" si="726"/>
        <v>137.28299404491241</v>
      </c>
      <c r="FD301" s="126">
        <f t="shared" si="726"/>
        <v>144.71782674389468</v>
      </c>
      <c r="FE301" s="126">
        <f t="shared" si="726"/>
        <v>141.55145868575633</v>
      </c>
      <c r="FF301" s="126">
        <f t="shared" si="726"/>
        <v>143.42220374733344</v>
      </c>
      <c r="FG301" s="126">
        <f t="shared" si="726"/>
        <v>132.53954197428561</v>
      </c>
      <c r="FH301" s="126">
        <f t="shared" si="726"/>
        <v>141.02583696169307</v>
      </c>
      <c r="FI301" s="126">
        <f t="shared" si="726"/>
        <v>148.72644048686274</v>
      </c>
      <c r="FJ301" s="126">
        <f t="shared" si="726"/>
        <v>142.02123120012527</v>
      </c>
      <c r="FK301" s="126">
        <f t="shared" si="726"/>
        <v>148.47966360758318</v>
      </c>
      <c r="FL301" s="126">
        <f t="shared" si="726"/>
        <v>145.3302415403972</v>
      </c>
      <c r="FM301" s="126">
        <f t="shared" si="726"/>
        <v>169.45006366651506</v>
      </c>
      <c r="FN301" s="126">
        <f t="shared" si="726"/>
        <v>172.85273652229648</v>
      </c>
      <c r="FO301" s="126">
        <f t="shared" si="726"/>
        <v>149.54981591619318</v>
      </c>
      <c r="FP301" s="126">
        <f t="shared" si="726"/>
        <v>161.66541978387346</v>
      </c>
      <c r="FQ301" s="126">
        <f t="shared" si="726"/>
        <v>156.22437948759256</v>
      </c>
      <c r="FR301" s="126">
        <f t="shared" si="726"/>
        <v>155.0282990995068</v>
      </c>
      <c r="FS301" s="126">
        <f t="shared" si="726"/>
        <v>142.10314250094399</v>
      </c>
      <c r="FT301" s="126">
        <f t="shared" si="726"/>
        <v>150.08389538878214</v>
      </c>
      <c r="FU301" s="126">
        <f t="shared" si="726"/>
        <v>157.94258741790159</v>
      </c>
      <c r="FV301" s="126">
        <f t="shared" si="726"/>
        <v>158.32064774393925</v>
      </c>
      <c r="FW301" s="126">
        <f t="shared" ref="FW301:GB301" si="727">FW300*$B292/FW292</f>
        <v>168.81955810147278</v>
      </c>
      <c r="FX301" s="126">
        <f t="shared" si="727"/>
        <v>169.47827724115206</v>
      </c>
      <c r="FY301" s="126">
        <f t="shared" si="727"/>
        <v>188.91876874605563</v>
      </c>
      <c r="FZ301" s="126">
        <f t="shared" si="727"/>
        <v>194.19236509318907</v>
      </c>
      <c r="GA301" s="126">
        <f t="shared" si="727"/>
        <v>175.77665981926884</v>
      </c>
      <c r="GB301" s="126">
        <f t="shared" si="727"/>
        <v>181.23476150574686</v>
      </c>
      <c r="GC301" s="126">
        <f t="shared" ref="GC301:GD301" si="728">GC300*$B292/GC292</f>
        <v>171.27470524771212</v>
      </c>
      <c r="GD301" s="126">
        <f t="shared" si="728"/>
        <v>176.01769952000785</v>
      </c>
      <c r="GE301" s="126">
        <f t="shared" ref="GE301:GF301" si="729">GE300*$B292/GE292</f>
        <v>170.19368259361241</v>
      </c>
      <c r="GF301" s="126">
        <f t="shared" si="729"/>
        <v>180.58802937676489</v>
      </c>
      <c r="GG301" s="126">
        <f t="shared" ref="GG301:GH301" si="730">GG300*$B292/GG292</f>
        <v>181.01824539510656</v>
      </c>
      <c r="GH301" s="126">
        <f t="shared" si="730"/>
        <v>189.67993438890204</v>
      </c>
      <c r="GI301" s="126">
        <f t="shared" ref="GI301:GJ301" si="731">GI300*$B292/GI292</f>
        <v>197.33939132175809</v>
      </c>
      <c r="GJ301" s="126">
        <f t="shared" si="731"/>
        <v>186.14075813150811</v>
      </c>
      <c r="GK301" s="126">
        <f t="shared" ref="GK301:GL301" si="732">GK300*$B292/GK292</f>
        <v>221.38345401884069</v>
      </c>
      <c r="GL301" s="126">
        <f t="shared" si="732"/>
        <v>219.06575425008123</v>
      </c>
      <c r="GM301" s="126">
        <f t="shared" ref="GM301:GN301" si="733">GM300*$B292/GM292</f>
        <v>191.03399954816283</v>
      </c>
      <c r="GN301" s="126">
        <f t="shared" si="733"/>
        <v>204.96137413388215</v>
      </c>
      <c r="GO301" s="126">
        <f t="shared" ref="GO301:GP301" si="734">GO300*$B292/GO292</f>
        <v>193.62323994451521</v>
      </c>
      <c r="GP301" s="126">
        <f t="shared" si="734"/>
        <v>195.48111897443957</v>
      </c>
    </row>
    <row r="302" spans="1:205">
      <c r="B302" s="126">
        <f>B300-B301</f>
        <v>0</v>
      </c>
      <c r="C302" s="126">
        <f t="shared" ref="C302:BN302" si="735">C300-C301</f>
        <v>3.9033042354351011E-2</v>
      </c>
      <c r="D302" s="126">
        <f t="shared" si="735"/>
        <v>0.29455858161986015</v>
      </c>
      <c r="E302" s="126">
        <f t="shared" si="735"/>
        <v>0.45218387052853615</v>
      </c>
      <c r="F302" s="126">
        <f t="shared" si="735"/>
        <v>0.53373204628075399</v>
      </c>
      <c r="G302" s="126">
        <f t="shared" si="735"/>
        <v>0.55327496624781958</v>
      </c>
      <c r="H302" s="126">
        <f t="shared" si="735"/>
        <v>0.27346704951845879</v>
      </c>
      <c r="I302" s="126">
        <f t="shared" si="735"/>
        <v>0.31058368464221786</v>
      </c>
      <c r="J302" s="126">
        <f t="shared" si="735"/>
        <v>0.53683350146786069</v>
      </c>
      <c r="K302" s="126">
        <f t="shared" si="735"/>
        <v>0.7304131376241294</v>
      </c>
      <c r="L302" s="126">
        <f t="shared" si="735"/>
        <v>0.77165111190946689</v>
      </c>
      <c r="M302" s="126">
        <f t="shared" si="735"/>
        <v>0.83661043805537361</v>
      </c>
      <c r="N302" s="126">
        <f t="shared" si="735"/>
        <v>0.50736146857773434</v>
      </c>
      <c r="O302" s="126">
        <f t="shared" si="735"/>
        <v>0.41457357284767937</v>
      </c>
      <c r="P302" s="126">
        <f t="shared" si="735"/>
        <v>1.0482450543478308</v>
      </c>
      <c r="Q302" s="126">
        <f t="shared" si="735"/>
        <v>1.3218806932185174</v>
      </c>
      <c r="R302" s="126">
        <f t="shared" si="735"/>
        <v>1.3742469515608207</v>
      </c>
      <c r="S302" s="126">
        <f t="shared" si="735"/>
        <v>1.2115807741935498</v>
      </c>
      <c r="T302" s="126">
        <f t="shared" si="735"/>
        <v>0.90053061930586509</v>
      </c>
      <c r="U302" s="126">
        <f t="shared" si="735"/>
        <v>0.89873122860239008</v>
      </c>
      <c r="V302" s="126">
        <f t="shared" si="735"/>
        <v>1.2441473240043095</v>
      </c>
      <c r="W302" s="126">
        <f t="shared" si="735"/>
        <v>1.6148218824786369</v>
      </c>
      <c r="X302" s="126">
        <f t="shared" si="735"/>
        <v>1.5465416388888897</v>
      </c>
      <c r="Y302" s="126">
        <f t="shared" si="735"/>
        <v>1.7438942662406873</v>
      </c>
      <c r="Z302" s="126">
        <f t="shared" si="735"/>
        <v>1.3386641513513453</v>
      </c>
      <c r="AA302" s="126">
        <f t="shared" si="735"/>
        <v>1.1839422246220295</v>
      </c>
      <c r="AB302" s="126">
        <f t="shared" si="735"/>
        <v>2.0197369883720881</v>
      </c>
      <c r="AC302" s="126">
        <f t="shared" si="735"/>
        <v>2.0810639403765663</v>
      </c>
      <c r="AD302" s="126">
        <f t="shared" si="735"/>
        <v>2.1366689425287433</v>
      </c>
      <c r="AE302" s="126">
        <f t="shared" si="735"/>
        <v>1.9445602359081384</v>
      </c>
      <c r="AF302" s="126">
        <f t="shared" si="735"/>
        <v>1.5168076174282632</v>
      </c>
      <c r="AG302" s="126">
        <f t="shared" si="735"/>
        <v>2.2937946959745759</v>
      </c>
      <c r="AH302" s="126">
        <f t="shared" si="735"/>
        <v>3.3808452544132876</v>
      </c>
      <c r="AI302" s="126">
        <f t="shared" si="735"/>
        <v>4.1727742080329548</v>
      </c>
      <c r="AJ302" s="126">
        <f t="shared" si="735"/>
        <v>3.9694011040164767</v>
      </c>
      <c r="AK302" s="126">
        <f t="shared" si="735"/>
        <v>4.2232339096509293</v>
      </c>
      <c r="AL302" s="126">
        <f t="shared" si="735"/>
        <v>3.6550604675732217</v>
      </c>
      <c r="AM302" s="126">
        <f t="shared" si="735"/>
        <v>3.3485658068893542</v>
      </c>
      <c r="AN302" s="126">
        <f t="shared" si="735"/>
        <v>4.27247352036661</v>
      </c>
      <c r="AO302" s="126">
        <f t="shared" si="735"/>
        <v>4.5514816710393617</v>
      </c>
      <c r="AP302" s="126">
        <f t="shared" si="735"/>
        <v>4.4767308980827494</v>
      </c>
      <c r="AQ302" s="126">
        <f t="shared" si="735"/>
        <v>4.0474002960725102</v>
      </c>
      <c r="AR302" s="126">
        <f t="shared" si="735"/>
        <v>3.2955129435897419</v>
      </c>
      <c r="AS302" s="126">
        <f t="shared" si="735"/>
        <v>3.0441093842213149</v>
      </c>
      <c r="AT302" s="126">
        <f t="shared" si="735"/>
        <v>4.610362920682725</v>
      </c>
      <c r="AU302" s="126">
        <f t="shared" si="735"/>
        <v>4.613883658316638</v>
      </c>
      <c r="AV302" s="126">
        <f t="shared" si="735"/>
        <v>4.4672522078313222</v>
      </c>
      <c r="AW302" s="126">
        <f t="shared" si="735"/>
        <v>5.0628929169169226</v>
      </c>
      <c r="AX302" s="126">
        <f t="shared" si="735"/>
        <v>4.1742594484167554</v>
      </c>
      <c r="AY302" s="126">
        <f t="shared" si="735"/>
        <v>3.6140429887410477</v>
      </c>
      <c r="AZ302" s="126">
        <f t="shared" si="735"/>
        <v>4.4677499999999952</v>
      </c>
      <c r="BA302" s="126">
        <f t="shared" si="735"/>
        <v>4.4373678963110663</v>
      </c>
      <c r="BB302" s="126">
        <f t="shared" si="735"/>
        <v>4.5116650049850406</v>
      </c>
      <c r="BC302" s="126">
        <f t="shared" si="735"/>
        <v>4.1690547263681594</v>
      </c>
      <c r="BD302" s="126">
        <f t="shared" si="735"/>
        <v>3.4870516717325231</v>
      </c>
      <c r="BE302" s="126">
        <f t="shared" si="735"/>
        <v>3.2987639311043537</v>
      </c>
      <c r="BF302" s="126">
        <f t="shared" si="735"/>
        <v>4.6692537313432751</v>
      </c>
      <c r="BG302" s="126">
        <f t="shared" si="735"/>
        <v>4.6900497512437838</v>
      </c>
      <c r="BH302" s="126">
        <f t="shared" si="735"/>
        <v>4.4316367265469054</v>
      </c>
      <c r="BI302" s="126">
        <f t="shared" si="735"/>
        <v>5.5503482587064639</v>
      </c>
      <c r="BJ302" s="126">
        <f t="shared" si="735"/>
        <v>4.05502538071066</v>
      </c>
      <c r="BK302" s="126">
        <f t="shared" si="735"/>
        <v>3.4373700305810431</v>
      </c>
      <c r="BL302" s="126">
        <f t="shared" si="735"/>
        <v>4.2564705882352953</v>
      </c>
      <c r="BM302" s="126">
        <f t="shared" si="735"/>
        <v>4.2543154761904844</v>
      </c>
      <c r="BN302" s="126">
        <f t="shared" si="735"/>
        <v>4.3020456802383436</v>
      </c>
      <c r="BO302" s="126">
        <f t="shared" ref="BO302:DZ302" si="736">BO300-BO301</f>
        <v>3.9886309523809551</v>
      </c>
      <c r="BP302" s="126">
        <f t="shared" si="736"/>
        <v>3.2754609929078065</v>
      </c>
      <c r="BQ302" s="126">
        <f t="shared" si="736"/>
        <v>3.1342393509127824</v>
      </c>
      <c r="BR302" s="126">
        <f t="shared" si="736"/>
        <v>4.3274302788844778</v>
      </c>
      <c r="BS302" s="126">
        <f t="shared" si="736"/>
        <v>4.4777755710029865</v>
      </c>
      <c r="BT302" s="126">
        <f t="shared" si="736"/>
        <v>4.2139303482587209</v>
      </c>
      <c r="BU302" s="126">
        <f t="shared" si="736"/>
        <v>5.2504477611940459</v>
      </c>
      <c r="BV302" s="126">
        <f t="shared" si="736"/>
        <v>4.007142857142874</v>
      </c>
      <c r="BW302" s="126">
        <f t="shared" si="736"/>
        <v>3.6102342158859599</v>
      </c>
      <c r="BX302" s="126">
        <f t="shared" si="736"/>
        <v>4.5461216350947282</v>
      </c>
      <c r="BY302" s="126">
        <f t="shared" si="736"/>
        <v>4.4833366434955479</v>
      </c>
      <c r="BZ302" s="126">
        <f t="shared" si="736"/>
        <v>4.645867195242829</v>
      </c>
      <c r="CA302" s="126">
        <f t="shared" si="736"/>
        <v>4.3893564356435775</v>
      </c>
      <c r="CB302" s="126">
        <f t="shared" si="736"/>
        <v>3.7208476286579284</v>
      </c>
      <c r="CC302" s="126">
        <f t="shared" si="736"/>
        <v>3.590819009100116</v>
      </c>
      <c r="CD302" s="126">
        <f t="shared" si="736"/>
        <v>4.7599801192843074</v>
      </c>
      <c r="CE302" s="126">
        <f t="shared" si="736"/>
        <v>4.9939603960396184</v>
      </c>
      <c r="CF302" s="126">
        <f t="shared" si="736"/>
        <v>4.6595725646123469</v>
      </c>
      <c r="CG302" s="126">
        <f t="shared" si="736"/>
        <v>5.7850198807157227</v>
      </c>
      <c r="CH302" s="126">
        <f t="shared" si="736"/>
        <v>4.9700711382114164</v>
      </c>
      <c r="CI302" s="126">
        <f t="shared" si="736"/>
        <v>4.196224489795938</v>
      </c>
      <c r="CJ302" s="126">
        <f t="shared" si="736"/>
        <v>5.3963636363636596</v>
      </c>
      <c r="CK302" s="126">
        <f t="shared" si="736"/>
        <v>5.1954137587238449</v>
      </c>
      <c r="CL302" s="126">
        <f t="shared" si="736"/>
        <v>5.380079522862836</v>
      </c>
      <c r="CM302" s="126">
        <f t="shared" si="736"/>
        <v>5.1903769841269991</v>
      </c>
      <c r="CN302" s="126">
        <f t="shared" si="736"/>
        <v>4.4243680485338857</v>
      </c>
      <c r="CO302" s="126">
        <f t="shared" si="736"/>
        <v>4.3751417004048747</v>
      </c>
      <c r="CP302" s="126">
        <f t="shared" si="736"/>
        <v>5.7368023833167996</v>
      </c>
      <c r="CQ302" s="126">
        <f t="shared" si="736"/>
        <v>5.9429137760158781</v>
      </c>
      <c r="CR302" s="126">
        <f t="shared" si="736"/>
        <v>5.648937437934471</v>
      </c>
      <c r="CS302" s="126">
        <f t="shared" si="736"/>
        <v>7.0517903066271117</v>
      </c>
      <c r="CT302" s="126">
        <f t="shared" si="736"/>
        <v>6.4628873239436828</v>
      </c>
      <c r="CU302" s="126">
        <f t="shared" si="736"/>
        <v>5.7669377510040363</v>
      </c>
      <c r="CV302" s="126">
        <f t="shared" si="736"/>
        <v>7.5239408866995348</v>
      </c>
      <c r="CW302" s="126">
        <f t="shared" si="736"/>
        <v>7.4735483870967983</v>
      </c>
      <c r="CX302" s="126">
        <f t="shared" si="736"/>
        <v>7.5628375733855435</v>
      </c>
      <c r="CY302" s="126">
        <f t="shared" si="736"/>
        <v>6.8541666666666927</v>
      </c>
      <c r="CZ302" s="126">
        <f t="shared" si="736"/>
        <v>6.088911088911118</v>
      </c>
      <c r="DA302" s="126">
        <f t="shared" si="736"/>
        <v>6.1797305389221862</v>
      </c>
      <c r="DB302" s="126">
        <f t="shared" si="736"/>
        <v>7.9901960784314099</v>
      </c>
      <c r="DC302" s="126">
        <f t="shared" si="736"/>
        <v>8.2450980392157263</v>
      </c>
      <c r="DD302" s="126">
        <f t="shared" si="736"/>
        <v>7.6748133595285282</v>
      </c>
      <c r="DE302" s="126">
        <f t="shared" si="736"/>
        <v>9.2161410381978897</v>
      </c>
      <c r="DF302" s="126">
        <f t="shared" si="736"/>
        <v>8.6173956262425975</v>
      </c>
      <c r="DG302" s="126">
        <f t="shared" si="736"/>
        <v>7.511743013766278</v>
      </c>
      <c r="DH302" s="126">
        <f t="shared" si="736"/>
        <v>9.7894568876953656</v>
      </c>
      <c r="DI302" s="126">
        <f t="shared" si="736"/>
        <v>9.4238186055394024</v>
      </c>
      <c r="DJ302" s="126">
        <f t="shared" si="736"/>
        <v>9.5045558081395782</v>
      </c>
      <c r="DK302" s="126">
        <f t="shared" si="736"/>
        <v>9.2138401504255754</v>
      </c>
      <c r="DL302" s="126">
        <f t="shared" si="736"/>
        <v>8.4617647058823948</v>
      </c>
      <c r="DM302" s="126">
        <f t="shared" si="736"/>
        <v>8.3575411105108515</v>
      </c>
      <c r="DN302" s="126">
        <f t="shared" si="736"/>
        <v>9.7621859567150153</v>
      </c>
      <c r="DO302" s="126">
        <f t="shared" si="736"/>
        <v>10.914408655737745</v>
      </c>
      <c r="DP302" s="126">
        <f t="shared" si="736"/>
        <v>9.699938358423644</v>
      </c>
      <c r="DQ302" s="126">
        <f t="shared" si="736"/>
        <v>11.570334667957439</v>
      </c>
      <c r="DR302" s="126">
        <f t="shared" si="736"/>
        <v>10.671725757769195</v>
      </c>
      <c r="DS302" s="126">
        <f t="shared" si="736"/>
        <v>8.8263178044015973</v>
      </c>
      <c r="DT302" s="126">
        <f t="shared" si="736"/>
        <v>11.956169601149753</v>
      </c>
      <c r="DU302" s="126">
        <f t="shared" si="736"/>
        <v>11.481597119946315</v>
      </c>
      <c r="DV302" s="126">
        <f t="shared" si="736"/>
        <v>11.814650706089068</v>
      </c>
      <c r="DW302" s="126">
        <f t="shared" si="736"/>
        <v>10.582049794654324</v>
      </c>
      <c r="DX302" s="126">
        <f t="shared" si="736"/>
        <v>9.6321977102228118</v>
      </c>
      <c r="DY302" s="126">
        <f t="shared" si="736"/>
        <v>9.9831486626983406</v>
      </c>
      <c r="DZ302" s="126">
        <f t="shared" si="736"/>
        <v>11.735144229070301</v>
      </c>
      <c r="EA302" s="126">
        <f t="shared" ref="EA302:FW302" si="737">EA300-EA301</f>
        <v>11.039303551706169</v>
      </c>
      <c r="EB302" s="126">
        <f t="shared" si="737"/>
        <v>11.743277898363559</v>
      </c>
      <c r="EC302" s="126">
        <f t="shared" si="737"/>
        <v>14.004867109445371</v>
      </c>
      <c r="ED302" s="126">
        <f t="shared" si="737"/>
        <v>12.050689018745715</v>
      </c>
      <c r="EE302" s="126">
        <f t="shared" si="737"/>
        <v>10.981171857315644</v>
      </c>
      <c r="EF302" s="126">
        <f t="shared" si="737"/>
        <v>17.035546592120625</v>
      </c>
      <c r="EG302" s="126">
        <f t="shared" si="737"/>
        <v>19.08862008404617</v>
      </c>
      <c r="EH302" s="126">
        <f t="shared" si="737"/>
        <v>18.485910541142474</v>
      </c>
      <c r="EI302" s="126">
        <f t="shared" si="737"/>
        <v>16.210206973271312</v>
      </c>
      <c r="EJ302" s="126">
        <f t="shared" si="737"/>
        <v>14.265172118096814</v>
      </c>
      <c r="EK302" s="126">
        <f t="shared" si="737"/>
        <v>13.298132399958888</v>
      </c>
      <c r="EL302" s="126">
        <f t="shared" si="737"/>
        <v>13.963830548978947</v>
      </c>
      <c r="EM302" s="126">
        <f t="shared" si="737"/>
        <v>16.173588734848266</v>
      </c>
      <c r="EN302" s="126">
        <f t="shared" si="737"/>
        <v>19.750979932279222</v>
      </c>
      <c r="EO302" s="126">
        <f t="shared" si="737"/>
        <v>24.600962825016637</v>
      </c>
      <c r="EP302" s="126">
        <f t="shared" si="737"/>
        <v>24.553162263310156</v>
      </c>
      <c r="EQ302" s="126">
        <f t="shared" si="737"/>
        <v>20.8689922967082</v>
      </c>
      <c r="ER302" s="126">
        <f t="shared" si="737"/>
        <v>25.842695453787144</v>
      </c>
      <c r="ES302" s="126">
        <f t="shared" si="737"/>
        <v>27.394908913621492</v>
      </c>
      <c r="ET302" s="126">
        <f t="shared" si="737"/>
        <v>25.825281520581143</v>
      </c>
      <c r="EU302" s="126">
        <f t="shared" si="737"/>
        <v>22.376572137504922</v>
      </c>
      <c r="EV302" s="126">
        <f t="shared" si="737"/>
        <v>20.200468856169209</v>
      </c>
      <c r="EW302" s="126">
        <f t="shared" si="737"/>
        <v>21.337139827727867</v>
      </c>
      <c r="EX302" s="126">
        <f t="shared" si="737"/>
        <v>24.119929507691751</v>
      </c>
      <c r="EY302" s="126">
        <f t="shared" si="737"/>
        <v>26.919001793693411</v>
      </c>
      <c r="EZ302" s="126">
        <f t="shared" si="737"/>
        <v>26.584638067122256</v>
      </c>
      <c r="FA302" s="126">
        <f t="shared" si="737"/>
        <v>31.733306083066026</v>
      </c>
      <c r="FB302" s="126">
        <f t="shared" si="737"/>
        <v>33.326496079107812</v>
      </c>
      <c r="FC302" s="126">
        <f t="shared" si="737"/>
        <v>29.450653471087577</v>
      </c>
      <c r="FD302" s="126">
        <f t="shared" si="737"/>
        <v>35.249705285105279</v>
      </c>
      <c r="FE302" s="126">
        <f t="shared" si="737"/>
        <v>35.111088076243703</v>
      </c>
      <c r="FF302" s="126">
        <f t="shared" si="737"/>
        <v>37.17759918366653</v>
      </c>
      <c r="FG302" s="126">
        <f t="shared" si="737"/>
        <v>36.429862933714446</v>
      </c>
      <c r="FH302" s="126">
        <f t="shared" si="737"/>
        <v>36.713988840306911</v>
      </c>
      <c r="FI302" s="126">
        <f t="shared" si="737"/>
        <v>40.380474903137241</v>
      </c>
      <c r="FJ302" s="126">
        <f t="shared" si="737"/>
        <v>41.416247310874724</v>
      </c>
      <c r="FK302" s="126">
        <f t="shared" si="737"/>
        <v>50.599214972416888</v>
      </c>
      <c r="FL302" s="126">
        <f t="shared" si="737"/>
        <v>50.82498949960285</v>
      </c>
      <c r="FM302" s="126">
        <f t="shared" si="737"/>
        <v>59.82817890348494</v>
      </c>
      <c r="FN302" s="126">
        <f t="shared" si="737"/>
        <v>57.553201657703511</v>
      </c>
      <c r="FO302" s="126">
        <f t="shared" si="737"/>
        <v>49.961335149655866</v>
      </c>
      <c r="FP302" s="126">
        <f t="shared" si="737"/>
        <v>55.634580216126551</v>
      </c>
      <c r="FQ302" s="126">
        <f t="shared" si="737"/>
        <v>55.507656622407438</v>
      </c>
      <c r="FR302" s="126">
        <f t="shared" si="737"/>
        <v>55.77554448049321</v>
      </c>
      <c r="FS302" s="126">
        <f t="shared" si="737"/>
        <v>51.284150869055992</v>
      </c>
      <c r="FT302" s="126">
        <f t="shared" si="737"/>
        <v>50.978216981217855</v>
      </c>
      <c r="FU302" s="126">
        <f t="shared" si="737"/>
        <v>54.000482402098413</v>
      </c>
      <c r="FV302" s="126">
        <f t="shared" si="737"/>
        <v>57.667632586060762</v>
      </c>
      <c r="FW302" s="126">
        <f t="shared" si="737"/>
        <v>61.680441898527221</v>
      </c>
      <c r="FX302" s="126">
        <f t="shared" ref="FX302:FY302" si="738">FX300-FX301</f>
        <v>60.595585158847939</v>
      </c>
      <c r="FY302" s="126">
        <f t="shared" si="738"/>
        <v>67.968540263944391</v>
      </c>
      <c r="FZ302" s="126">
        <f t="shared" ref="FZ302:GA302" si="739">FZ300-FZ301</f>
        <v>67.045185266810932</v>
      </c>
      <c r="GA302" s="126">
        <f t="shared" si="739"/>
        <v>60.687137300731166</v>
      </c>
      <c r="GB302" s="126">
        <f t="shared" ref="GB302:GC302" si="740">GB300-GB301</f>
        <v>65.40651169425314</v>
      </c>
      <c r="GC302" s="126">
        <f t="shared" si="740"/>
        <v>62.960198912287865</v>
      </c>
      <c r="GD302" s="126">
        <f t="shared" ref="GD302:GE302" si="741">GD300-GD301</f>
        <v>65.293716469992148</v>
      </c>
      <c r="GE302" s="126">
        <f t="shared" si="741"/>
        <v>63.513620096387598</v>
      </c>
      <c r="GF302" s="126">
        <f t="shared" ref="GF302:GG302" si="742">GF300-GF301</f>
        <v>65.173110043235113</v>
      </c>
      <c r="GG302" s="126">
        <f t="shared" si="742"/>
        <v>64.923862314893427</v>
      </c>
      <c r="GH302" s="126">
        <f t="shared" ref="GH302:GI302" si="743">GH300-GH301</f>
        <v>70.997517341097932</v>
      </c>
      <c r="GI302" s="126">
        <f t="shared" si="743"/>
        <v>74.746428668241919</v>
      </c>
      <c r="GJ302" s="126">
        <f t="shared" ref="GJ302:GK302" si="744">GJ300-GJ301</f>
        <v>70.296733238491868</v>
      </c>
      <c r="GK302" s="126">
        <f t="shared" si="744"/>
        <v>83.853621131159315</v>
      </c>
      <c r="GL302" s="126">
        <f t="shared" ref="GL302:GM302" si="745">GL300-GL301</f>
        <v>80.528081729918767</v>
      </c>
      <c r="GM302" s="126">
        <f t="shared" si="745"/>
        <v>70.437117151837157</v>
      </c>
      <c r="GN302" s="126">
        <f t="shared" ref="GN302:GO302" si="746">GN300-GN301</f>
        <v>79.923485556117839</v>
      </c>
      <c r="GO302" s="126">
        <f t="shared" si="746"/>
        <v>76.5839407154848</v>
      </c>
      <c r="GP302" s="126">
        <f t="shared" ref="GP302" si="747">GP300-GP301</f>
        <v>77.537203615560458</v>
      </c>
    </row>
    <row r="303" spans="1:205">
      <c r="B303" s="126"/>
    </row>
    <row r="307" spans="1:20" ht="19">
      <c r="A307" s="435" t="s">
        <v>832</v>
      </c>
      <c r="T307" s="435" t="s">
        <v>833</v>
      </c>
    </row>
    <row r="344" spans="152:152">
      <c r="EV344" s="99" t="s">
        <v>829</v>
      </c>
    </row>
    <row r="373" spans="1:143" ht="19">
      <c r="A373" s="435" t="s">
        <v>855</v>
      </c>
    </row>
    <row r="374" spans="1:143">
      <c r="B374" s="819">
        <f t="shared" ref="B374:AG374" si="748">DF12</f>
        <v>43101</v>
      </c>
      <c r="C374" s="819">
        <f t="shared" si="748"/>
        <v>43132</v>
      </c>
      <c r="D374" s="819">
        <f t="shared" si="748"/>
        <v>43160</v>
      </c>
      <c r="E374" s="819">
        <f t="shared" si="748"/>
        <v>43191</v>
      </c>
      <c r="F374" s="819">
        <f t="shared" si="748"/>
        <v>43221</v>
      </c>
      <c r="G374" s="819">
        <f t="shared" si="748"/>
        <v>43252</v>
      </c>
      <c r="H374" s="819">
        <f t="shared" si="748"/>
        <v>43282</v>
      </c>
      <c r="I374" s="819">
        <f t="shared" si="748"/>
        <v>43313</v>
      </c>
      <c r="J374" s="819">
        <f t="shared" si="748"/>
        <v>43344</v>
      </c>
      <c r="K374" s="819">
        <f t="shared" si="748"/>
        <v>43374</v>
      </c>
      <c r="L374" s="819">
        <f t="shared" si="748"/>
        <v>43405</v>
      </c>
      <c r="M374" s="819">
        <f t="shared" si="748"/>
        <v>43435</v>
      </c>
      <c r="N374" s="819">
        <f t="shared" si="748"/>
        <v>43466</v>
      </c>
      <c r="O374" s="819">
        <f t="shared" si="748"/>
        <v>43497</v>
      </c>
      <c r="P374" s="819">
        <f t="shared" si="748"/>
        <v>43525</v>
      </c>
      <c r="Q374" s="819">
        <f t="shared" si="748"/>
        <v>43556</v>
      </c>
      <c r="R374" s="819">
        <f t="shared" si="748"/>
        <v>43586</v>
      </c>
      <c r="S374" s="819">
        <f t="shared" si="748"/>
        <v>43617</v>
      </c>
      <c r="T374" s="819">
        <f t="shared" si="748"/>
        <v>43647</v>
      </c>
      <c r="U374" s="819">
        <f t="shared" si="748"/>
        <v>43678</v>
      </c>
      <c r="V374" s="819">
        <f t="shared" si="748"/>
        <v>43709</v>
      </c>
      <c r="W374" s="819">
        <f t="shared" si="748"/>
        <v>43739</v>
      </c>
      <c r="X374" s="819">
        <f t="shared" si="748"/>
        <v>43770</v>
      </c>
      <c r="Y374" s="819">
        <f t="shared" si="748"/>
        <v>43800</v>
      </c>
      <c r="Z374" s="819">
        <f t="shared" si="748"/>
        <v>43831</v>
      </c>
      <c r="AA374" s="819">
        <f t="shared" si="748"/>
        <v>43862</v>
      </c>
      <c r="AB374" s="819">
        <f t="shared" si="748"/>
        <v>43891</v>
      </c>
      <c r="AC374" s="819">
        <f t="shared" si="748"/>
        <v>43922</v>
      </c>
      <c r="AD374" s="819">
        <f t="shared" si="748"/>
        <v>43952</v>
      </c>
      <c r="AE374" s="819">
        <f t="shared" si="748"/>
        <v>43983</v>
      </c>
      <c r="AF374" s="819">
        <f t="shared" si="748"/>
        <v>44013</v>
      </c>
      <c r="AG374" s="819">
        <f t="shared" si="748"/>
        <v>44044</v>
      </c>
      <c r="AH374" s="819">
        <f t="shared" ref="AH374:BM374" si="749">EL12</f>
        <v>44075</v>
      </c>
      <c r="AI374" s="819">
        <f t="shared" si="749"/>
        <v>44105</v>
      </c>
      <c r="AJ374" s="819">
        <f t="shared" si="749"/>
        <v>44136</v>
      </c>
      <c r="AK374" s="819">
        <f t="shared" si="749"/>
        <v>44166</v>
      </c>
      <c r="AL374" s="819">
        <f t="shared" si="749"/>
        <v>44197</v>
      </c>
      <c r="AM374" s="819">
        <f t="shared" si="749"/>
        <v>44228</v>
      </c>
      <c r="AN374" s="819">
        <f t="shared" si="749"/>
        <v>44256</v>
      </c>
      <c r="AO374" s="819">
        <f t="shared" si="749"/>
        <v>44287</v>
      </c>
      <c r="AP374" s="819">
        <f t="shared" si="749"/>
        <v>44317</v>
      </c>
      <c r="AQ374" s="819">
        <f t="shared" si="749"/>
        <v>44348</v>
      </c>
      <c r="AR374" s="819">
        <f t="shared" si="749"/>
        <v>44378</v>
      </c>
      <c r="AS374" s="819">
        <f t="shared" si="749"/>
        <v>44409</v>
      </c>
      <c r="AT374" s="819">
        <f t="shared" si="749"/>
        <v>44440</v>
      </c>
      <c r="AU374" s="819">
        <f t="shared" si="749"/>
        <v>44470</v>
      </c>
      <c r="AV374" s="819">
        <f t="shared" si="749"/>
        <v>44501</v>
      </c>
      <c r="AW374" s="819">
        <f t="shared" si="749"/>
        <v>44531</v>
      </c>
      <c r="AX374" s="819">
        <f t="shared" si="749"/>
        <v>44562</v>
      </c>
      <c r="AY374" s="819">
        <f t="shared" si="749"/>
        <v>44593</v>
      </c>
      <c r="AZ374" s="819">
        <f t="shared" si="749"/>
        <v>44621</v>
      </c>
      <c r="BA374" s="819">
        <f t="shared" si="749"/>
        <v>44652</v>
      </c>
      <c r="BB374" s="819">
        <f t="shared" si="749"/>
        <v>44682</v>
      </c>
      <c r="BC374" s="819">
        <f t="shared" si="749"/>
        <v>44713</v>
      </c>
      <c r="BD374" s="819">
        <f t="shared" si="749"/>
        <v>44743</v>
      </c>
      <c r="BE374" s="819">
        <f t="shared" si="749"/>
        <v>44774</v>
      </c>
      <c r="BF374" s="819">
        <f t="shared" si="749"/>
        <v>44805</v>
      </c>
      <c r="BG374" s="819">
        <f t="shared" si="749"/>
        <v>44835</v>
      </c>
      <c r="BH374" s="819">
        <f t="shared" si="749"/>
        <v>44866</v>
      </c>
      <c r="BI374" s="819">
        <f t="shared" si="749"/>
        <v>44896</v>
      </c>
      <c r="BJ374" s="819">
        <f t="shared" si="749"/>
        <v>44927</v>
      </c>
      <c r="BK374" s="819">
        <f t="shared" si="749"/>
        <v>44958</v>
      </c>
      <c r="BL374" s="819">
        <f t="shared" si="749"/>
        <v>44986</v>
      </c>
      <c r="BM374" s="819">
        <f t="shared" si="749"/>
        <v>45017</v>
      </c>
      <c r="BN374" s="819">
        <f t="shared" ref="BN374:CD374" si="750">FR12</f>
        <v>45047</v>
      </c>
      <c r="BO374" s="819">
        <f t="shared" si="750"/>
        <v>45078</v>
      </c>
      <c r="BP374" s="819">
        <f t="shared" si="750"/>
        <v>45108</v>
      </c>
      <c r="BQ374" s="819">
        <f t="shared" si="750"/>
        <v>45139</v>
      </c>
      <c r="BR374" s="819">
        <f t="shared" si="750"/>
        <v>45170</v>
      </c>
      <c r="BS374" s="819">
        <f t="shared" si="750"/>
        <v>45200</v>
      </c>
      <c r="BT374" s="819">
        <f t="shared" si="750"/>
        <v>45231</v>
      </c>
      <c r="BU374" s="819">
        <f t="shared" si="750"/>
        <v>45261</v>
      </c>
      <c r="BV374" s="819">
        <f t="shared" si="750"/>
        <v>45292</v>
      </c>
      <c r="BW374" s="819">
        <f t="shared" si="750"/>
        <v>45323</v>
      </c>
      <c r="BX374" s="819">
        <f t="shared" si="750"/>
        <v>45352</v>
      </c>
      <c r="BY374" s="819">
        <f t="shared" si="750"/>
        <v>45383</v>
      </c>
      <c r="BZ374" s="819">
        <f t="shared" si="750"/>
        <v>45413</v>
      </c>
      <c r="CA374" s="819">
        <f t="shared" si="750"/>
        <v>45444</v>
      </c>
      <c r="CB374" s="819">
        <f t="shared" si="750"/>
        <v>45474</v>
      </c>
      <c r="CC374" s="819">
        <f t="shared" si="750"/>
        <v>45505</v>
      </c>
      <c r="CD374" s="819">
        <f t="shared" si="750"/>
        <v>45536</v>
      </c>
      <c r="CE374" s="819">
        <f t="shared" ref="CE374:CL374" si="751">GI12</f>
        <v>45566</v>
      </c>
      <c r="CF374" s="819">
        <f t="shared" si="751"/>
        <v>45597</v>
      </c>
      <c r="CG374" s="819">
        <f t="shared" si="751"/>
        <v>45627</v>
      </c>
      <c r="CH374" s="819">
        <f t="shared" si="751"/>
        <v>45658</v>
      </c>
      <c r="CI374" s="819">
        <f t="shared" si="751"/>
        <v>45689</v>
      </c>
      <c r="CJ374" s="819">
        <f t="shared" si="751"/>
        <v>45717</v>
      </c>
      <c r="CK374" s="819">
        <f t="shared" si="751"/>
        <v>45748</v>
      </c>
      <c r="CL374" s="819">
        <f t="shared" si="751"/>
        <v>45778</v>
      </c>
      <c r="CM374" s="819"/>
      <c r="CN374" s="819"/>
      <c r="CO374" s="819"/>
      <c r="CP374" s="819"/>
      <c r="CQ374" s="819"/>
      <c r="CR374" s="819"/>
      <c r="CS374" s="819"/>
      <c r="CT374" s="819"/>
      <c r="DU374" s="819"/>
      <c r="DV374" s="819"/>
      <c r="DW374" s="819"/>
      <c r="DX374" s="819"/>
      <c r="DY374" s="819"/>
      <c r="DZ374" s="819"/>
      <c r="EA374" s="819"/>
      <c r="EB374" s="819"/>
      <c r="EC374" s="819"/>
      <c r="ED374" s="819"/>
      <c r="EE374" s="819"/>
      <c r="EF374" s="819"/>
      <c r="EG374" s="819"/>
      <c r="EH374" s="819"/>
      <c r="EI374" s="819"/>
      <c r="EJ374" s="819"/>
      <c r="EK374" s="819"/>
      <c r="EL374" s="819"/>
      <c r="EM374" s="819"/>
    </row>
    <row r="375" spans="1:143">
      <c r="A375" s="99" t="str">
        <f>A28</f>
        <v xml:space="preserve"> Casino</v>
      </c>
      <c r="B375" s="126">
        <f t="shared" ref="B375:AG375" si="752">DF28</f>
        <v>59.7</v>
      </c>
      <c r="C375" s="126">
        <f t="shared" si="752"/>
        <v>54.891883640000003</v>
      </c>
      <c r="D375" s="126">
        <f t="shared" si="752"/>
        <v>60.641289999999998</v>
      </c>
      <c r="E375" s="126">
        <f t="shared" si="752"/>
        <v>58.1</v>
      </c>
      <c r="F375" s="126">
        <f t="shared" si="752"/>
        <v>57.302202999999999</v>
      </c>
      <c r="G375" s="126">
        <f t="shared" si="752"/>
        <v>55.494256999999998</v>
      </c>
      <c r="H375" s="126">
        <f t="shared" si="752"/>
        <v>56.258000000000003</v>
      </c>
      <c r="I375" s="126">
        <f t="shared" si="752"/>
        <v>56.464994500000003</v>
      </c>
      <c r="J375" s="126">
        <f t="shared" si="752"/>
        <v>58.65</v>
      </c>
      <c r="K375" s="126">
        <f t="shared" si="752"/>
        <v>64.913787999999997</v>
      </c>
      <c r="L375" s="126">
        <f t="shared" si="752"/>
        <v>57.200574770000003</v>
      </c>
      <c r="M375" s="126">
        <f t="shared" si="752"/>
        <v>70.420872000000003</v>
      </c>
      <c r="N375" s="126">
        <f t="shared" si="752"/>
        <v>71.942071190361759</v>
      </c>
      <c r="O375" s="126">
        <f t="shared" si="752"/>
        <v>61.40534213136182</v>
      </c>
      <c r="P375" s="126">
        <f t="shared" si="752"/>
        <v>72.571528158493095</v>
      </c>
      <c r="Q375" s="126">
        <f t="shared" si="752"/>
        <v>67.422118842051447</v>
      </c>
      <c r="R375" s="126">
        <f t="shared" si="752"/>
        <v>69.915004660313983</v>
      </c>
      <c r="S375" s="126">
        <f t="shared" si="752"/>
        <v>62.550703943263557</v>
      </c>
      <c r="T375" s="126">
        <f t="shared" si="752"/>
        <v>64.478732467207024</v>
      </c>
      <c r="U375" s="126">
        <f t="shared" si="752"/>
        <v>67.044378711617981</v>
      </c>
      <c r="V375" s="126">
        <f t="shared" si="752"/>
        <v>71.743824963628995</v>
      </c>
      <c r="W375" s="126">
        <f t="shared" si="752"/>
        <v>65.681182734199965</v>
      </c>
      <c r="X375" s="126">
        <f t="shared" si="752"/>
        <v>71.348908267882976</v>
      </c>
      <c r="Y375" s="126">
        <f t="shared" si="752"/>
        <v>85.06591521084998</v>
      </c>
      <c r="Z375" s="126">
        <f t="shared" si="752"/>
        <v>81.824983610000032</v>
      </c>
      <c r="AA375" s="126">
        <f t="shared" si="752"/>
        <v>78.129455380000024</v>
      </c>
      <c r="AB375" s="126">
        <f t="shared" si="752"/>
        <v>93.995830549999994</v>
      </c>
      <c r="AC375" s="126">
        <f t="shared" si="752"/>
        <v>98.281219379999996</v>
      </c>
      <c r="AD375" s="126">
        <f t="shared" si="752"/>
        <v>105.50681990000004</v>
      </c>
      <c r="AE375" s="126">
        <f t="shared" si="752"/>
        <v>98.658382449999976</v>
      </c>
      <c r="AF375" s="126">
        <f t="shared" si="752"/>
        <v>92.973815129999963</v>
      </c>
      <c r="AG375" s="126">
        <f t="shared" si="752"/>
        <v>94.804208550000027</v>
      </c>
      <c r="AH375" s="126">
        <f t="shared" ref="AH375:BM375" si="753">EL28</f>
        <v>92.707567770000026</v>
      </c>
      <c r="AI375" s="126">
        <f t="shared" si="753"/>
        <v>103.55499985999997</v>
      </c>
      <c r="AJ375" s="126">
        <f t="shared" si="753"/>
        <v>123.59264278999997</v>
      </c>
      <c r="AK375" s="126">
        <f t="shared" si="753"/>
        <v>153.84213118999995</v>
      </c>
      <c r="AL375" s="126">
        <f t="shared" si="753"/>
        <v>162.84849324999993</v>
      </c>
      <c r="AM375" s="126">
        <f t="shared" si="753"/>
        <v>142.9743348100001</v>
      </c>
      <c r="AN375" s="126">
        <f t="shared" si="753"/>
        <v>158.72486277999994</v>
      </c>
      <c r="AO375" s="126">
        <f t="shared" si="753"/>
        <v>161.20574770999997</v>
      </c>
      <c r="AP375" s="126">
        <f t="shared" si="753"/>
        <v>155.10037652999998</v>
      </c>
      <c r="AQ375" s="126">
        <f t="shared" si="753"/>
        <v>133.95609898000001</v>
      </c>
      <c r="AR375" s="126">
        <f t="shared" si="753"/>
        <v>128.8395903</v>
      </c>
      <c r="AS375" s="126">
        <f t="shared" si="753"/>
        <v>134.22394301000006</v>
      </c>
      <c r="AT375" s="126">
        <f t="shared" si="753"/>
        <v>139.68392421000001</v>
      </c>
      <c r="AU375" s="126">
        <f t="shared" si="753"/>
        <v>148.80530187999994</v>
      </c>
      <c r="AV375" s="126">
        <f t="shared" si="753"/>
        <v>141.77767768999999</v>
      </c>
      <c r="AW375" s="126">
        <f t="shared" si="753"/>
        <v>165.46579620999995</v>
      </c>
      <c r="AX375" s="126">
        <f t="shared" si="753"/>
        <v>171.27230837000005</v>
      </c>
      <c r="AY375" s="126">
        <f t="shared" si="753"/>
        <v>147.92658824</v>
      </c>
      <c r="AZ375" s="126">
        <f t="shared" si="753"/>
        <v>160.60141478999995</v>
      </c>
      <c r="BA375" s="126">
        <f t="shared" si="753"/>
        <v>158.52532664000003</v>
      </c>
      <c r="BB375" s="126">
        <f t="shared" si="753"/>
        <v>163.53260316999996</v>
      </c>
      <c r="BC375" s="126">
        <f t="shared" si="753"/>
        <v>152.92269152000006</v>
      </c>
      <c r="BD375" s="126">
        <f t="shared" si="753"/>
        <v>160.35304239999999</v>
      </c>
      <c r="BE375" s="126">
        <f t="shared" si="753"/>
        <v>170.74622260999999</v>
      </c>
      <c r="BF375" s="126">
        <f t="shared" si="753"/>
        <v>165.07424562</v>
      </c>
      <c r="BG375" s="126">
        <f t="shared" si="753"/>
        <v>179.99062419000006</v>
      </c>
      <c r="BH375" s="126">
        <f t="shared" si="753"/>
        <v>176.12401583000005</v>
      </c>
      <c r="BI375" s="126">
        <f t="shared" si="753"/>
        <v>206.09441701</v>
      </c>
      <c r="BJ375" s="126">
        <f t="shared" si="753"/>
        <v>204.7</v>
      </c>
      <c r="BK375" s="126">
        <f t="shared" si="753"/>
        <v>178.9</v>
      </c>
      <c r="BL375" s="126">
        <f t="shared" si="753"/>
        <v>196.8</v>
      </c>
      <c r="BM375" s="126">
        <f t="shared" si="753"/>
        <v>191.5</v>
      </c>
      <c r="BN375" s="126">
        <f t="shared" ref="BN375:CD375" si="754">FR28</f>
        <v>191.5</v>
      </c>
      <c r="BO375" s="126">
        <f t="shared" si="754"/>
        <v>175.7</v>
      </c>
      <c r="BP375" s="126">
        <f t="shared" si="754"/>
        <v>183.5</v>
      </c>
      <c r="BQ375" s="126">
        <f t="shared" si="754"/>
        <v>193.5</v>
      </c>
      <c r="BR375" s="126">
        <f t="shared" si="754"/>
        <v>197</v>
      </c>
      <c r="BS375" s="126">
        <f t="shared" si="754"/>
        <v>210.5</v>
      </c>
      <c r="BT375" s="126">
        <f t="shared" si="754"/>
        <v>210.2</v>
      </c>
      <c r="BU375" s="126">
        <f t="shared" si="754"/>
        <v>234.5</v>
      </c>
      <c r="BV375" s="126">
        <f t="shared" si="754"/>
        <v>236</v>
      </c>
      <c r="BW375" s="126">
        <f t="shared" si="754"/>
        <v>215.8</v>
      </c>
      <c r="BX375" s="126">
        <f t="shared" si="754"/>
        <v>225.7</v>
      </c>
      <c r="BY375" s="126">
        <f t="shared" si="754"/>
        <v>214.53544214999999</v>
      </c>
      <c r="BZ375" s="126">
        <f t="shared" si="754"/>
        <v>221.7196673</v>
      </c>
      <c r="CA375" s="126">
        <f t="shared" si="754"/>
        <v>215.85576171</v>
      </c>
      <c r="CB375" s="126">
        <f t="shared" si="754"/>
        <v>228.06066853999999</v>
      </c>
      <c r="CC375" s="126">
        <f t="shared" si="754"/>
        <v>228.0328581</v>
      </c>
      <c r="CD375" s="126">
        <f t="shared" si="754"/>
        <v>241.1</v>
      </c>
      <c r="CE375" s="126">
        <f t="shared" ref="CE375:CL375" si="755">GI28</f>
        <v>251.8</v>
      </c>
      <c r="CF375" s="126">
        <f t="shared" si="755"/>
        <v>237.1</v>
      </c>
      <c r="CG375" s="126">
        <f t="shared" si="755"/>
        <v>281.90270817999999</v>
      </c>
      <c r="CH375" s="126">
        <f t="shared" si="755"/>
        <v>273.61724055000002</v>
      </c>
      <c r="CI375" s="126">
        <f t="shared" si="755"/>
        <v>240.6</v>
      </c>
      <c r="CJ375" s="126">
        <f t="shared" si="755"/>
        <v>262.5</v>
      </c>
      <c r="CK375" s="126">
        <f t="shared" si="755"/>
        <v>251.4</v>
      </c>
      <c r="CL375" s="126">
        <f t="shared" si="755"/>
        <v>257</v>
      </c>
      <c r="CM375" s="126"/>
      <c r="CN375" s="126"/>
      <c r="CO375" s="126"/>
      <c r="CP375" s="126"/>
      <c r="CQ375" s="126"/>
      <c r="CR375" s="126"/>
      <c r="CS375" s="126"/>
      <c r="CT375" s="126"/>
      <c r="DU375" s="126"/>
      <c r="DV375" s="126"/>
      <c r="DW375" s="126"/>
      <c r="DX375" s="126"/>
      <c r="DY375" s="126"/>
      <c r="DZ375" s="126"/>
      <c r="EA375" s="126"/>
      <c r="EB375" s="126"/>
      <c r="EC375" s="126"/>
      <c r="ED375" s="126"/>
      <c r="EE375" s="126"/>
      <c r="EF375" s="126"/>
      <c r="EG375" s="126"/>
      <c r="EH375" s="126"/>
      <c r="EI375" s="126"/>
      <c r="EJ375" s="126"/>
      <c r="EK375" s="126"/>
      <c r="EL375" s="126"/>
      <c r="EM375" s="126"/>
    </row>
    <row r="376" spans="1:143">
      <c r="A376" s="99" t="s">
        <v>457</v>
      </c>
      <c r="B376" s="126">
        <f t="shared" ref="B376:AG376" si="756">DF29+DF30</f>
        <v>15.43</v>
      </c>
      <c r="C376" s="126">
        <f t="shared" si="756"/>
        <v>13.53672847</v>
      </c>
      <c r="D376" s="126">
        <f t="shared" si="756"/>
        <v>14.245888000000001</v>
      </c>
      <c r="E376" s="126">
        <f t="shared" si="756"/>
        <v>11.899999999999999</v>
      </c>
      <c r="F376" s="126">
        <f t="shared" si="756"/>
        <v>11.952695</v>
      </c>
      <c r="G376" s="126">
        <f t="shared" si="756"/>
        <v>10.900967859999998</v>
      </c>
      <c r="H376" s="126">
        <f t="shared" si="756"/>
        <v>10.600000000000001</v>
      </c>
      <c r="I376" s="126">
        <f t="shared" si="756"/>
        <v>10.321612</v>
      </c>
      <c r="J376" s="126">
        <f t="shared" si="756"/>
        <v>10.98273032</v>
      </c>
      <c r="K376" s="126">
        <f t="shared" si="756"/>
        <v>11.998609</v>
      </c>
      <c r="L376" s="126">
        <f t="shared" si="756"/>
        <v>12.17211912</v>
      </c>
      <c r="M376" s="126">
        <f t="shared" si="756"/>
        <v>12.954819000000001</v>
      </c>
      <c r="N376" s="126">
        <f t="shared" si="756"/>
        <v>15.004291730768999</v>
      </c>
      <c r="O376" s="126">
        <f t="shared" si="756"/>
        <v>12.239722671783996</v>
      </c>
      <c r="P376" s="126">
        <f t="shared" si="756"/>
        <v>12.565209981884005</v>
      </c>
      <c r="Q376" s="126">
        <f t="shared" si="756"/>
        <v>11.860159598094</v>
      </c>
      <c r="R376" s="126">
        <f t="shared" si="756"/>
        <v>11.314900876752002</v>
      </c>
      <c r="S376" s="126">
        <f t="shared" si="756"/>
        <v>9.8186948223210013</v>
      </c>
      <c r="T376" s="126">
        <f t="shared" si="756"/>
        <v>9.6692089199639959</v>
      </c>
      <c r="U376" s="126">
        <f t="shared" si="756"/>
        <v>9.8377948127330015</v>
      </c>
      <c r="V376" s="126">
        <f t="shared" si="756"/>
        <v>10.672279652044001</v>
      </c>
      <c r="W376" s="126">
        <f t="shared" si="756"/>
        <v>10.687020146625997</v>
      </c>
      <c r="X376" s="126">
        <f t="shared" si="756"/>
        <v>11.562590753856</v>
      </c>
      <c r="Y376" s="126">
        <f t="shared" si="756"/>
        <v>12.528515589668997</v>
      </c>
      <c r="Z376" s="126">
        <f t="shared" si="756"/>
        <v>13.305677568477003</v>
      </c>
      <c r="AA376" s="126">
        <f t="shared" si="756"/>
        <v>11.882306700092998</v>
      </c>
      <c r="AB376" s="126">
        <f t="shared" si="756"/>
        <v>26.044236146631995</v>
      </c>
      <c r="AC376" s="126">
        <f t="shared" si="756"/>
        <v>32.26708882733999</v>
      </c>
      <c r="AD376" s="126">
        <f t="shared" si="756"/>
        <v>23.172783546193997</v>
      </c>
      <c r="AE376" s="126">
        <f t="shared" si="756"/>
        <v>14.339759250691998</v>
      </c>
      <c r="AF376" s="126">
        <f t="shared" si="756"/>
        <v>11.068498341411999</v>
      </c>
      <c r="AG376" s="126">
        <f t="shared" si="756"/>
        <v>11.196534069648001</v>
      </c>
      <c r="AH376" s="126">
        <f t="shared" ref="AH376:BM376" si="757">EL29+EL30</f>
        <v>11.608191474328001</v>
      </c>
      <c r="AI376" s="126">
        <f t="shared" si="757"/>
        <v>13.100768754030998</v>
      </c>
      <c r="AJ376" s="126">
        <f t="shared" si="757"/>
        <v>18.429582666555998</v>
      </c>
      <c r="AK376" s="126">
        <f t="shared" si="757"/>
        <v>20.519725973092001</v>
      </c>
      <c r="AL376" s="126">
        <f t="shared" si="757"/>
        <v>21.800047560000003</v>
      </c>
      <c r="AM376" s="126">
        <f t="shared" si="757"/>
        <v>16.557180390000006</v>
      </c>
      <c r="AN376" s="126">
        <f t="shared" si="757"/>
        <v>17.786239149999989</v>
      </c>
      <c r="AO376" s="126">
        <f t="shared" si="757"/>
        <v>17.02134495</v>
      </c>
      <c r="AP376" s="126">
        <f t="shared" si="757"/>
        <v>13.927399259999996</v>
      </c>
      <c r="AQ376" s="126">
        <f t="shared" si="757"/>
        <v>10.976943459999998</v>
      </c>
      <c r="AR376" s="126">
        <f t="shared" si="757"/>
        <v>10.623406109999996</v>
      </c>
      <c r="AS376" s="126">
        <f t="shared" si="757"/>
        <v>11.666281319999998</v>
      </c>
      <c r="AT376" s="126">
        <f t="shared" si="757"/>
        <v>13.239431830000001</v>
      </c>
      <c r="AU376" s="126">
        <f t="shared" si="757"/>
        <v>14.060798060000003</v>
      </c>
      <c r="AV376" s="126">
        <f t="shared" si="757"/>
        <v>13.859436639999998</v>
      </c>
      <c r="AW376" s="126">
        <f t="shared" si="757"/>
        <v>15.665026489999997</v>
      </c>
      <c r="AX376" s="126">
        <f t="shared" si="757"/>
        <v>18.90273208</v>
      </c>
      <c r="AY376" s="126">
        <f t="shared" si="757"/>
        <v>13.856007309999999</v>
      </c>
      <c r="AZ376" s="126">
        <f t="shared" si="757"/>
        <v>14.334491669999998</v>
      </c>
      <c r="BA376" s="126">
        <f t="shared" si="757"/>
        <v>13.340851590000002</v>
      </c>
      <c r="BB376" s="126">
        <f t="shared" si="757"/>
        <v>12.46198249</v>
      </c>
      <c r="BC376" s="126">
        <f t="shared" si="757"/>
        <v>11.688183840000001</v>
      </c>
      <c r="BD376" s="126">
        <f t="shared" si="757"/>
        <v>12.454043729999999</v>
      </c>
      <c r="BE376" s="126">
        <f t="shared" si="757"/>
        <v>13.321294389999998</v>
      </c>
      <c r="BF376" s="126">
        <f t="shared" si="757"/>
        <v>13.548738499999999</v>
      </c>
      <c r="BG376" s="126">
        <f t="shared" si="757"/>
        <v>14.14643517</v>
      </c>
      <c r="BH376" s="126">
        <f t="shared" si="757"/>
        <v>14.860085290000001</v>
      </c>
      <c r="BI376" s="126">
        <f t="shared" si="757"/>
        <v>16.867432880000003</v>
      </c>
      <c r="BJ376" s="126">
        <f t="shared" si="757"/>
        <v>19.460000000000008</v>
      </c>
      <c r="BK376" s="126">
        <f t="shared" si="757"/>
        <v>15.566037735849056</v>
      </c>
      <c r="BL376" s="126">
        <f t="shared" si="757"/>
        <v>15</v>
      </c>
      <c r="BM376" s="126">
        <f t="shared" si="757"/>
        <v>15.1</v>
      </c>
      <c r="BN376" s="126">
        <f t="shared" ref="BN376:CD376" si="758">FR29+FR30</f>
        <v>14.068400570000001</v>
      </c>
      <c r="BO376" s="126">
        <f t="shared" si="758"/>
        <v>12.80439123</v>
      </c>
      <c r="BP376" s="126">
        <f t="shared" si="758"/>
        <v>12.8</v>
      </c>
      <c r="BQ376" s="126">
        <f t="shared" si="758"/>
        <v>13.5</v>
      </c>
      <c r="BR376" s="126">
        <f t="shared" si="758"/>
        <v>14</v>
      </c>
      <c r="BS376" s="126">
        <f t="shared" si="758"/>
        <v>14.700000000000001</v>
      </c>
      <c r="BT376" s="126">
        <f t="shared" si="758"/>
        <v>14.7</v>
      </c>
      <c r="BU376" s="126">
        <f t="shared" si="758"/>
        <v>15.8</v>
      </c>
      <c r="BV376" s="126">
        <f t="shared" si="758"/>
        <v>18.35787178</v>
      </c>
      <c r="BW376" s="126">
        <f t="shared" si="758"/>
        <v>15.089686590000001</v>
      </c>
      <c r="BX376" s="126">
        <f t="shared" si="758"/>
        <v>15.2</v>
      </c>
      <c r="BY376" s="126">
        <f t="shared" si="758"/>
        <v>14.265052669999999</v>
      </c>
      <c r="BZ376" s="126">
        <f t="shared" si="758"/>
        <v>14.232368310000002</v>
      </c>
      <c r="CA376" s="126">
        <f t="shared" si="758"/>
        <v>12.879468500000002</v>
      </c>
      <c r="CB376" s="126">
        <f t="shared" si="758"/>
        <v>12.656000000000001</v>
      </c>
      <c r="CC376" s="126">
        <f t="shared" si="758"/>
        <v>12.796857509999999</v>
      </c>
      <c r="CD376" s="126">
        <f t="shared" si="758"/>
        <v>14.3</v>
      </c>
      <c r="CE376" s="126">
        <f t="shared" ref="CE376:CL376" si="759">GI29+GI30</f>
        <v>14.69358235</v>
      </c>
      <c r="CF376" s="126">
        <f t="shared" si="759"/>
        <v>14.04</v>
      </c>
      <c r="CG376" s="126">
        <f t="shared" si="759"/>
        <v>16.405365369999998</v>
      </c>
      <c r="CH376" s="126">
        <f t="shared" si="759"/>
        <v>18.80661546</v>
      </c>
      <c r="CI376" s="126">
        <f t="shared" si="759"/>
        <v>15.18128989</v>
      </c>
      <c r="CJ376" s="126">
        <f t="shared" si="759"/>
        <v>16.251585470000002</v>
      </c>
      <c r="CK376" s="126">
        <f t="shared" si="759"/>
        <v>14.582348619999999</v>
      </c>
      <c r="CL376" s="126">
        <f t="shared" si="759"/>
        <v>16.01832259</v>
      </c>
      <c r="CM376" s="126"/>
      <c r="CN376" s="126"/>
      <c r="CO376" s="126"/>
      <c r="CP376" s="126"/>
      <c r="CQ376" s="126"/>
      <c r="CR376" s="126"/>
      <c r="CS376" s="126"/>
      <c r="CT376" s="126"/>
      <c r="DU376" s="126"/>
      <c r="DV376" s="126"/>
      <c r="DW376" s="126"/>
      <c r="DX376" s="126"/>
      <c r="DY376" s="126"/>
      <c r="DZ376" s="126"/>
      <c r="EA376" s="126"/>
      <c r="EB376" s="126"/>
      <c r="EC376" s="126"/>
      <c r="ED376" s="126"/>
      <c r="EE376" s="126"/>
      <c r="EF376" s="126"/>
      <c r="EG376" s="126"/>
      <c r="EH376" s="126"/>
      <c r="EI376" s="126"/>
      <c r="EJ376" s="126"/>
      <c r="EK376" s="126"/>
      <c r="EL376" s="126"/>
      <c r="EM376" s="126"/>
    </row>
    <row r="377" spans="1:143">
      <c r="A377" s="99" t="s">
        <v>318</v>
      </c>
      <c r="B377" s="126">
        <f t="shared" ref="B377:AG377" si="760">DF32</f>
        <v>2.97</v>
      </c>
      <c r="C377" s="126">
        <f t="shared" si="760"/>
        <v>2.5077535200000001</v>
      </c>
      <c r="D377" s="126">
        <f t="shared" si="760"/>
        <v>2.8213789999999999</v>
      </c>
      <c r="E377" s="126">
        <f t="shared" si="760"/>
        <v>2.3664876499999998</v>
      </c>
      <c r="F377" s="126">
        <f t="shared" si="760"/>
        <v>2.3414640000000002</v>
      </c>
      <c r="G377" s="126">
        <f t="shared" si="760"/>
        <v>2.14514</v>
      </c>
      <c r="H377" s="126">
        <f t="shared" si="760"/>
        <v>2.19</v>
      </c>
      <c r="I377" s="126">
        <f t="shared" si="760"/>
        <v>2.383937</v>
      </c>
      <c r="J377" s="126">
        <f t="shared" si="760"/>
        <v>2.53771586</v>
      </c>
      <c r="K377" s="126">
        <f t="shared" si="760"/>
        <v>2.7935310000000002</v>
      </c>
      <c r="L377" s="126">
        <f t="shared" si="760"/>
        <v>2.7836821</v>
      </c>
      <c r="M377" s="126">
        <f t="shared" si="760"/>
        <v>3.2341329999999999</v>
      </c>
      <c r="N377" s="126">
        <f t="shared" si="760"/>
        <v>3.3186507799999996</v>
      </c>
      <c r="O377" s="126">
        <f t="shared" si="760"/>
        <v>2.698812274242</v>
      </c>
      <c r="P377" s="126">
        <f t="shared" si="760"/>
        <v>3.2535156966939986</v>
      </c>
      <c r="Q377" s="126">
        <f t="shared" si="760"/>
        <v>3.0684871098140007</v>
      </c>
      <c r="R377" s="126">
        <f t="shared" si="760"/>
        <v>3.0101724426510006</v>
      </c>
      <c r="S377" s="126">
        <f t="shared" si="760"/>
        <v>2.6407773298560002</v>
      </c>
      <c r="T377" s="126">
        <f t="shared" si="760"/>
        <v>2.8343887499999996</v>
      </c>
      <c r="U377" s="126">
        <f t="shared" si="760"/>
        <v>2.9050224283079999</v>
      </c>
      <c r="V377" s="126">
        <f t="shared" si="760"/>
        <v>2.973054332891</v>
      </c>
      <c r="W377" s="126">
        <f t="shared" si="760"/>
        <v>3.2834387179424001</v>
      </c>
      <c r="X377" s="126">
        <f t="shared" si="760"/>
        <v>3.3724435506339989</v>
      </c>
      <c r="Y377" s="126">
        <f t="shared" si="760"/>
        <v>4.0632759099999998</v>
      </c>
      <c r="Z377" s="126">
        <f t="shared" si="760"/>
        <v>3.8987913223440005</v>
      </c>
      <c r="AA377" s="126">
        <f t="shared" si="760"/>
        <v>3.5588955948479999</v>
      </c>
      <c r="AB377" s="126">
        <f t="shared" si="760"/>
        <v>5.1289139376719994</v>
      </c>
      <c r="AC377" s="126">
        <f t="shared" si="760"/>
        <v>5.5561678713719997</v>
      </c>
      <c r="AD377" s="126">
        <f t="shared" si="760"/>
        <v>5.5048381041959988</v>
      </c>
      <c r="AE377" s="126">
        <f t="shared" si="760"/>
        <v>4.6675564689270006</v>
      </c>
      <c r="AF377" s="126">
        <f t="shared" si="760"/>
        <v>4.1002781003360003</v>
      </c>
      <c r="AG377" s="126">
        <f t="shared" si="760"/>
        <v>4.0602230970840001</v>
      </c>
      <c r="AH377" s="126">
        <f t="shared" ref="AH377:BM377" si="761">EL32</f>
        <v>3.9525350448580014</v>
      </c>
      <c r="AI377" s="126">
        <f t="shared" si="761"/>
        <v>4.411747060593</v>
      </c>
      <c r="AJ377" s="126">
        <f t="shared" si="761"/>
        <v>5.823877949562001</v>
      </c>
      <c r="AK377" s="126">
        <f t="shared" si="761"/>
        <v>7.5095465789939979</v>
      </c>
      <c r="AL377" s="126">
        <f t="shared" si="761"/>
        <v>7.6533254659999992</v>
      </c>
      <c r="AM377" s="126">
        <f t="shared" si="761"/>
        <v>6.1262221009999998</v>
      </c>
      <c r="AN377" s="126">
        <f t="shared" si="761"/>
        <v>6.6731746879999996</v>
      </c>
      <c r="AO377" s="126">
        <f t="shared" si="761"/>
        <v>6.3373257260000004</v>
      </c>
      <c r="AP377" s="126">
        <f t="shared" si="761"/>
        <v>5.9176796720000029</v>
      </c>
      <c r="AQ377" s="126">
        <f t="shared" si="761"/>
        <v>5.0042434749999991</v>
      </c>
      <c r="AR377" s="126">
        <f t="shared" si="761"/>
        <v>4.5691137220000009</v>
      </c>
      <c r="AS377" s="126">
        <f t="shared" si="761"/>
        <v>4.4789435099999997</v>
      </c>
      <c r="AT377" s="126">
        <f t="shared" si="761"/>
        <v>4.4517395749999995</v>
      </c>
      <c r="AU377" s="126">
        <f t="shared" si="761"/>
        <v>4.9447533470000007</v>
      </c>
      <c r="AV377" s="126">
        <f t="shared" si="761"/>
        <v>4.6174735689999977</v>
      </c>
      <c r="AW377" s="126">
        <f t="shared" si="761"/>
        <v>5.8008929149999986</v>
      </c>
      <c r="AX377" s="126">
        <f t="shared" si="761"/>
        <v>6.141696016</v>
      </c>
      <c r="AY377" s="126">
        <f t="shared" si="761"/>
        <v>4.9510519660000005</v>
      </c>
      <c r="AZ377" s="126">
        <f t="shared" si="761"/>
        <v>5.0316255690000027</v>
      </c>
      <c r="BA377" s="126">
        <f t="shared" si="761"/>
        <v>4.796368531999998</v>
      </c>
      <c r="BB377" s="126">
        <f t="shared" si="761"/>
        <v>4.6052172710000008</v>
      </c>
      <c r="BC377" s="126">
        <f t="shared" si="761"/>
        <v>4.3585295480000017</v>
      </c>
      <c r="BD377" s="126">
        <f t="shared" si="761"/>
        <v>4.9327396720000012</v>
      </c>
      <c r="BE377" s="126">
        <f t="shared" si="761"/>
        <v>5.0393983899999997</v>
      </c>
      <c r="BF377" s="126">
        <f t="shared" si="761"/>
        <v>4.8144943909999975</v>
      </c>
      <c r="BG377" s="126">
        <f t="shared" si="761"/>
        <v>4.9418192200000011</v>
      </c>
      <c r="BH377" s="126">
        <f t="shared" si="761"/>
        <v>5.1711299199999994</v>
      </c>
      <c r="BI377" s="126">
        <f t="shared" si="761"/>
        <v>6.3163926800000008</v>
      </c>
      <c r="BJ377" s="126">
        <f t="shared" si="761"/>
        <v>6.2459381799999996</v>
      </c>
      <c r="BK377" s="126">
        <f t="shared" si="761"/>
        <v>5.0451133300000004</v>
      </c>
      <c r="BL377" s="126">
        <f t="shared" si="761"/>
        <v>5.5</v>
      </c>
      <c r="BM377" s="126">
        <f t="shared" si="761"/>
        <v>5.1320361099999996</v>
      </c>
      <c r="BN377" s="126">
        <f t="shared" ref="BN377:CD377" si="762">FR32</f>
        <v>5.23544301</v>
      </c>
      <c r="BO377" s="126">
        <f t="shared" si="762"/>
        <v>4.8829021399999997</v>
      </c>
      <c r="BP377" s="126">
        <f t="shared" si="762"/>
        <v>4.7621123699999997</v>
      </c>
      <c r="BQ377" s="126">
        <f t="shared" si="762"/>
        <v>4.9430698199999998</v>
      </c>
      <c r="BR377" s="126">
        <f t="shared" si="762"/>
        <v>4.9882803300000003</v>
      </c>
      <c r="BS377" s="126">
        <f t="shared" si="762"/>
        <v>5.3</v>
      </c>
      <c r="BT377" s="126">
        <f t="shared" si="762"/>
        <v>5.1738624</v>
      </c>
      <c r="BU377" s="126">
        <f t="shared" si="762"/>
        <v>6.5873090100000002</v>
      </c>
      <c r="BV377" s="126">
        <f t="shared" si="762"/>
        <v>6.8796785800000002</v>
      </c>
      <c r="BW377" s="126">
        <f t="shared" si="762"/>
        <v>5.5741105299999996</v>
      </c>
      <c r="BX377" s="126">
        <f t="shared" si="762"/>
        <v>5.7412732000000002</v>
      </c>
      <c r="BY377" s="126">
        <f t="shared" si="762"/>
        <v>5.4344093400000002</v>
      </c>
      <c r="BZ377" s="126">
        <f t="shared" si="762"/>
        <v>5.3593803800000002</v>
      </c>
      <c r="CA377" s="126">
        <f t="shared" si="762"/>
        <v>4.9720724799999996</v>
      </c>
      <c r="CB377" s="126">
        <f t="shared" si="762"/>
        <v>5.0444708800000004</v>
      </c>
      <c r="CC377" s="126">
        <f t="shared" si="762"/>
        <v>5.1123921000000001</v>
      </c>
      <c r="CD377" s="126">
        <f t="shared" si="762"/>
        <v>5.2774517300000001</v>
      </c>
      <c r="CE377" s="126">
        <f t="shared" ref="CE377:CL377" si="763">GI32</f>
        <v>5.5922376399999996</v>
      </c>
      <c r="CF377" s="126">
        <f t="shared" si="763"/>
        <v>5.2974913700000004</v>
      </c>
      <c r="CG377" s="126">
        <f t="shared" si="763"/>
        <v>6.9290016000000003</v>
      </c>
      <c r="CH377" s="126">
        <f t="shared" si="763"/>
        <v>7.16997997</v>
      </c>
      <c r="CI377" s="126">
        <f t="shared" si="763"/>
        <v>5.6898268099999996</v>
      </c>
      <c r="CJ377" s="126">
        <f t="shared" si="763"/>
        <v>6.1332742199999997</v>
      </c>
      <c r="CK377" s="126">
        <f t="shared" si="763"/>
        <v>4.2248320399999999</v>
      </c>
      <c r="CL377" s="126">
        <f t="shared" si="763"/>
        <v>0</v>
      </c>
      <c r="CM377" s="126"/>
      <c r="CN377" s="126"/>
      <c r="CO377" s="126"/>
      <c r="CP377" s="126"/>
      <c r="CQ377" s="126"/>
      <c r="CR377" s="126"/>
      <c r="CS377" s="126"/>
      <c r="CT377" s="126"/>
      <c r="DU377" s="126"/>
      <c r="DV377" s="126"/>
      <c r="DW377" s="126"/>
      <c r="DX377" s="126"/>
      <c r="DY377" s="126"/>
      <c r="DZ377" s="126"/>
      <c r="EA377" s="126"/>
      <c r="EB377" s="126"/>
      <c r="EC377" s="126"/>
      <c r="ED377" s="126"/>
      <c r="EE377" s="126"/>
      <c r="EF377" s="126"/>
      <c r="EG377" s="126"/>
      <c r="EH377" s="126"/>
      <c r="EI377" s="126"/>
      <c r="EJ377" s="126"/>
      <c r="EK377" s="126"/>
      <c r="EL377" s="126"/>
      <c r="EM377" s="126"/>
    </row>
    <row r="378" spans="1:143">
      <c r="DU378" s="126"/>
      <c r="DV378" s="126"/>
      <c r="DW378" s="126"/>
      <c r="DX378" s="126"/>
      <c r="DY378" s="126"/>
      <c r="DZ378" s="126"/>
      <c r="EA378" s="126"/>
      <c r="EB378" s="126"/>
      <c r="EC378" s="126"/>
      <c r="ED378" s="126"/>
      <c r="EE378" s="126"/>
      <c r="EF378" s="126"/>
      <c r="EG378" s="126"/>
      <c r="EH378" s="126"/>
      <c r="EI378" s="126"/>
      <c r="EJ378" s="126"/>
      <c r="EK378" s="126"/>
      <c r="EL378" s="126"/>
      <c r="EM378" s="126"/>
    </row>
  </sheetData>
  <sortState xmlns:xlrd2="http://schemas.microsoft.com/office/spreadsheetml/2017/richdata2" columnSort="1" ref="AK344:EU345">
    <sortCondition ref="AK344:EU344"/>
  </sortState>
  <mergeCells count="4">
    <mergeCell ref="BK166:BN166"/>
    <mergeCell ref="BK167:BN167"/>
    <mergeCell ref="BK168:BN168"/>
    <mergeCell ref="BK169:BN169"/>
  </mergeCells>
  <phoneticPr fontId="85" type="noConversion"/>
  <pageMargins left="0.7" right="0.7" top="0.75" bottom="0.75" header="0.3" footer="0.3"/>
  <pageSetup paperSize="9"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DEC4C-03DC-604C-A9D3-59E732A85056}">
  <dimension ref="A2:BZ163"/>
  <sheetViews>
    <sheetView topLeftCell="A86" zoomScale="80" zoomScaleNormal="80" workbookViewId="0">
      <pane xSplit="1" topLeftCell="B1" activePane="topRight" state="frozen"/>
      <selection activeCell="A3" sqref="A3"/>
      <selection pane="topRight" activeCell="R23" sqref="R23"/>
    </sheetView>
  </sheetViews>
  <sheetFormatPr baseColWidth="10" defaultRowHeight="15"/>
  <cols>
    <col min="1" max="1" width="34.83203125" style="99" customWidth="1"/>
    <col min="2" max="16384" width="10.83203125" style="99"/>
  </cols>
  <sheetData>
    <row r="2" spans="1:78" ht="19">
      <c r="A2" s="435" t="s">
        <v>148</v>
      </c>
    </row>
    <row r="3" spans="1:78" ht="19">
      <c r="A3" s="436"/>
    </row>
    <row r="4" spans="1:78" ht="19">
      <c r="A4" s="435" t="s">
        <v>784</v>
      </c>
    </row>
    <row r="5" spans="1:78" ht="19">
      <c r="A5" s="435"/>
    </row>
    <row r="6" spans="1:78" ht="16" thickBo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</row>
    <row r="7" spans="1:78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</row>
    <row r="8" spans="1:78" ht="16" thickBo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</row>
    <row r="9" spans="1:78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</row>
    <row r="10" spans="1:78" ht="19">
      <c r="A10" s="435" t="s">
        <v>810</v>
      </c>
      <c r="Z10" s="831"/>
      <c r="AA10" s="831"/>
      <c r="AB10" s="831"/>
      <c r="AC10" s="435" t="s">
        <v>843</v>
      </c>
      <c r="AD10" s="831"/>
      <c r="AE10" s="831"/>
      <c r="AF10" s="831"/>
      <c r="AG10" s="831"/>
      <c r="AH10" s="831"/>
      <c r="AI10" s="831"/>
      <c r="AJ10" s="831"/>
      <c r="AK10" s="831"/>
      <c r="AL10" s="831"/>
      <c r="AN10" s="831"/>
      <c r="AO10" s="831"/>
      <c r="AP10" s="831"/>
      <c r="AQ10" s="435" t="s">
        <v>844</v>
      </c>
      <c r="AR10" s="831"/>
      <c r="AS10" s="831"/>
      <c r="AT10" s="831"/>
      <c r="AU10" s="831"/>
      <c r="AV10" s="831"/>
      <c r="AW10" s="831"/>
      <c r="AX10" s="831"/>
      <c r="AY10" s="831"/>
      <c r="AZ10" s="831"/>
      <c r="BB10" s="831"/>
      <c r="BC10" s="831"/>
      <c r="BD10" s="831"/>
      <c r="BE10" s="435" t="s">
        <v>844</v>
      </c>
      <c r="BF10" s="831"/>
      <c r="BG10" s="831"/>
      <c r="BH10" s="831"/>
      <c r="BI10" s="831"/>
      <c r="BJ10" s="831"/>
      <c r="BK10" s="831"/>
    </row>
    <row r="11" spans="1:78" ht="16" thickBot="1">
      <c r="A11" s="8"/>
      <c r="Y11" s="831"/>
      <c r="Z11" s="831"/>
      <c r="AA11" s="831"/>
      <c r="AB11" s="831"/>
      <c r="AC11" s="831"/>
      <c r="AD11" s="831"/>
      <c r="AE11" s="831"/>
      <c r="AF11" s="831"/>
      <c r="AG11" s="831"/>
      <c r="AH11" s="831"/>
      <c r="AI11" s="831"/>
      <c r="AJ11" s="831"/>
      <c r="AK11" s="831"/>
      <c r="AL11" s="831"/>
      <c r="AM11" s="831"/>
      <c r="AN11" s="831"/>
      <c r="AO11" s="831"/>
      <c r="AP11" s="831"/>
      <c r="AQ11" s="831"/>
      <c r="AR11" s="831"/>
      <c r="AS11" s="831"/>
      <c r="AT11" s="831"/>
      <c r="AU11" s="831"/>
      <c r="AV11" s="831"/>
      <c r="AW11" s="831"/>
      <c r="AX11" s="831"/>
      <c r="AY11" s="831"/>
      <c r="AZ11" s="831"/>
      <c r="BA11" s="831"/>
      <c r="BB11" s="831"/>
      <c r="BC11" s="831"/>
      <c r="BD11" s="831"/>
      <c r="BE11" s="831"/>
      <c r="BF11" s="831"/>
      <c r="BG11" s="831"/>
      <c r="BH11" s="831"/>
      <c r="BI11" s="831"/>
      <c r="BJ11" s="831"/>
      <c r="BK11" s="831"/>
    </row>
    <row r="12" spans="1:78" ht="23" customHeight="1">
      <c r="A12" s="792" t="s">
        <v>792</v>
      </c>
      <c r="B12" s="770" t="s">
        <v>793</v>
      </c>
      <c r="C12" s="770" t="s">
        <v>794</v>
      </c>
      <c r="D12" s="770" t="s">
        <v>795</v>
      </c>
      <c r="E12" s="771" t="s">
        <v>796</v>
      </c>
      <c r="F12" s="770" t="s">
        <v>797</v>
      </c>
      <c r="G12" s="770" t="s">
        <v>798</v>
      </c>
      <c r="H12" s="770" t="s">
        <v>799</v>
      </c>
      <c r="I12" s="771" t="s">
        <v>800</v>
      </c>
      <c r="J12" s="770" t="s">
        <v>801</v>
      </c>
      <c r="K12" s="770" t="s">
        <v>802</v>
      </c>
      <c r="L12" s="770" t="s">
        <v>803</v>
      </c>
      <c r="M12" s="771" t="s">
        <v>804</v>
      </c>
      <c r="N12" s="770" t="s">
        <v>851</v>
      </c>
      <c r="O12" s="770" t="s">
        <v>852</v>
      </c>
      <c r="P12" s="770" t="s">
        <v>853</v>
      </c>
      <c r="Q12" s="771" t="s">
        <v>854</v>
      </c>
      <c r="R12" s="770" t="s">
        <v>884</v>
      </c>
      <c r="S12" s="770" t="s">
        <v>885</v>
      </c>
      <c r="T12" s="770" t="s">
        <v>886</v>
      </c>
      <c r="U12" s="646" t="s">
        <v>887</v>
      </c>
      <c r="W12" s="769" t="s">
        <v>211</v>
      </c>
      <c r="X12" s="770" t="s">
        <v>873</v>
      </c>
      <c r="Y12" s="770" t="s">
        <v>874</v>
      </c>
      <c r="Z12" s="770" t="s">
        <v>875</v>
      </c>
      <c r="AA12" s="646" t="s">
        <v>876</v>
      </c>
      <c r="AC12" s="831"/>
      <c r="AD12" s="831"/>
      <c r="AE12" s="831"/>
      <c r="AF12" s="831"/>
      <c r="AG12" s="831"/>
      <c r="AH12" s="831"/>
      <c r="AI12" s="831"/>
      <c r="AJ12" s="831"/>
      <c r="AK12" s="831"/>
      <c r="AL12" s="831"/>
      <c r="AM12" s="831"/>
      <c r="AN12" s="831"/>
      <c r="AO12" s="831"/>
      <c r="AP12" s="831"/>
      <c r="AQ12" s="831"/>
      <c r="AR12" s="831"/>
      <c r="AS12" s="831"/>
      <c r="AT12" s="831"/>
      <c r="AU12" s="831"/>
      <c r="AV12" s="831"/>
      <c r="AW12" s="831"/>
      <c r="AX12" s="831"/>
      <c r="AY12" s="831"/>
      <c r="AZ12" s="831"/>
      <c r="BA12" s="831"/>
      <c r="BB12" s="831"/>
      <c r="BC12" s="831"/>
      <c r="BD12" s="831"/>
      <c r="BE12" s="831"/>
      <c r="BF12" s="831"/>
      <c r="BG12" s="831"/>
      <c r="BH12" s="831"/>
      <c r="BI12" s="831"/>
      <c r="BJ12" s="831"/>
      <c r="BK12" s="831"/>
      <c r="BL12" s="831"/>
      <c r="BM12" s="831"/>
      <c r="BN12" s="831"/>
      <c r="BO12" s="831"/>
    </row>
    <row r="13" spans="1:78">
      <c r="A13" s="5"/>
      <c r="E13" s="115"/>
      <c r="I13" s="115"/>
      <c r="M13" s="115"/>
      <c r="Q13" s="115"/>
      <c r="U13" s="116"/>
      <c r="W13" s="6"/>
      <c r="AA13" s="116"/>
      <c r="AC13" s="831"/>
      <c r="AD13" s="831"/>
      <c r="AE13" s="831"/>
      <c r="AF13" s="831"/>
      <c r="AG13" s="831"/>
      <c r="AH13" s="831"/>
      <c r="AI13" s="831"/>
      <c r="AJ13" s="831"/>
      <c r="AK13" s="831"/>
      <c r="AL13" s="831"/>
      <c r="AM13" s="831"/>
      <c r="AN13" s="831"/>
      <c r="AO13" s="831"/>
      <c r="AP13" s="831"/>
      <c r="AQ13" s="831"/>
      <c r="AR13" s="831"/>
      <c r="AS13" s="831"/>
      <c r="AT13" s="831"/>
      <c r="AU13" s="831"/>
      <c r="AV13" s="831"/>
      <c r="AW13" s="831"/>
      <c r="AX13" s="831"/>
      <c r="AY13" s="831"/>
      <c r="AZ13" s="831"/>
      <c r="BA13" s="831"/>
      <c r="BB13" s="831"/>
      <c r="BC13" s="831"/>
      <c r="BD13" s="831"/>
      <c r="BE13" s="831"/>
      <c r="BF13" s="831"/>
      <c r="BG13" s="831"/>
      <c r="BH13" s="831"/>
      <c r="BI13" s="831"/>
      <c r="BJ13" s="831"/>
      <c r="BK13" s="831"/>
      <c r="BL13" s="831"/>
      <c r="BM13" s="831"/>
      <c r="BN13" s="831"/>
      <c r="BO13" s="831"/>
    </row>
    <row r="14" spans="1:78">
      <c r="A14" s="5" t="s">
        <v>805</v>
      </c>
      <c r="B14" s="779">
        <v>5.0173200000000016</v>
      </c>
      <c r="C14" s="779">
        <v>4.0095700000000001</v>
      </c>
      <c r="D14" s="779">
        <v>4.4536099999999994</v>
      </c>
      <c r="E14" s="780">
        <v>5.7638999999999996</v>
      </c>
      <c r="F14" s="779">
        <v>5.63985</v>
      </c>
      <c r="G14" s="779">
        <v>5.2078999999999995</v>
      </c>
      <c r="H14" s="779">
        <v>5.1180099999999999</v>
      </c>
      <c r="I14" s="780">
        <v>6.6155400000000002</v>
      </c>
      <c r="J14" s="779">
        <v>6.7664499999999999</v>
      </c>
      <c r="K14" s="779">
        <v>6.1662800000000004</v>
      </c>
      <c r="L14" s="779">
        <v>5.5085499999999996</v>
      </c>
      <c r="M14" s="780">
        <v>7.3032700000000004</v>
      </c>
      <c r="N14" s="779">
        <v>7.7020200000000001</v>
      </c>
      <c r="O14" s="779">
        <v>6.7394100000000003</v>
      </c>
      <c r="P14" s="779">
        <v>6.2120800000000003</v>
      </c>
      <c r="Q14" s="780">
        <v>7.4779900000000001</v>
      </c>
      <c r="R14" s="779"/>
      <c r="S14" s="779"/>
      <c r="T14" s="779"/>
      <c r="U14" s="781"/>
      <c r="W14" s="473">
        <f>Q14/M14-1</f>
        <v>2.3923530144716043E-2</v>
      </c>
      <c r="X14" s="173">
        <f>Q14/P14-1</f>
        <v>0.20378198606585873</v>
      </c>
      <c r="Y14" s="834">
        <f>SUM($N14:Q14)</f>
        <v>28.131500000000003</v>
      </c>
      <c r="Z14" s="834">
        <f>SUM($J14:M14)</f>
        <v>25.74455</v>
      </c>
      <c r="AA14" s="175">
        <f>Y14/Z14-1</f>
        <v>9.2716710915514255E-2</v>
      </c>
      <c r="AC14" s="831"/>
      <c r="AD14" s="831"/>
      <c r="AE14" s="831"/>
      <c r="AF14" s="831"/>
      <c r="AG14" s="831"/>
      <c r="AH14" s="831"/>
      <c r="AI14" s="831"/>
      <c r="AJ14" s="831"/>
      <c r="AK14" s="831"/>
      <c r="AL14" s="831"/>
      <c r="AM14" s="831"/>
      <c r="AN14" s="831"/>
      <c r="AO14" s="831"/>
      <c r="AP14" s="831"/>
      <c r="AQ14" s="831"/>
      <c r="AR14" s="831"/>
      <c r="AS14" s="831"/>
      <c r="AT14" s="831"/>
      <c r="AU14" s="831"/>
      <c r="AV14" s="831"/>
      <c r="AW14" s="831"/>
      <c r="AX14" s="831"/>
      <c r="AY14" s="831"/>
      <c r="AZ14" s="831"/>
      <c r="BA14" s="831"/>
      <c r="BB14" s="831"/>
      <c r="BC14" s="831"/>
      <c r="BD14" s="831"/>
      <c r="BE14" s="831"/>
      <c r="BF14" s="831"/>
      <c r="BG14" s="831"/>
      <c r="BH14" s="831"/>
      <c r="BI14" s="831"/>
      <c r="BJ14" s="831"/>
      <c r="BK14" s="831"/>
      <c r="BL14" s="831"/>
      <c r="BM14" s="831"/>
      <c r="BN14" s="831"/>
      <c r="BO14" s="831"/>
    </row>
    <row r="15" spans="1:78">
      <c r="A15" s="5" t="s">
        <v>806</v>
      </c>
      <c r="B15" s="779">
        <v>4.7738250657894783</v>
      </c>
      <c r="C15" s="779">
        <v>1.44503</v>
      </c>
      <c r="D15" s="779">
        <v>5.3237500000000004</v>
      </c>
      <c r="E15" s="780">
        <v>8.8419100000000004</v>
      </c>
      <c r="F15" s="779">
        <v>5.3737299999999992</v>
      </c>
      <c r="G15" s="779">
        <v>11.040179999999999</v>
      </c>
      <c r="H15" s="779">
        <v>5.5214499999999997</v>
      </c>
      <c r="I15" s="780">
        <v>11.74123</v>
      </c>
      <c r="J15" s="779">
        <v>5.7911599999999996</v>
      </c>
      <c r="K15" s="779">
        <v>11.28557</v>
      </c>
      <c r="L15" s="779">
        <v>5.2893999999999997</v>
      </c>
      <c r="M15" s="780">
        <v>11.39442</v>
      </c>
      <c r="N15" s="779">
        <v>5.6463799999999997</v>
      </c>
      <c r="O15" s="779">
        <v>10.87738</v>
      </c>
      <c r="P15" s="779">
        <v>5.0799200000000004</v>
      </c>
      <c r="Q15" s="780">
        <v>11.043570000000001</v>
      </c>
      <c r="R15" s="779"/>
      <c r="S15" s="779"/>
      <c r="T15" s="779"/>
      <c r="U15" s="781"/>
      <c r="W15" s="473">
        <f>Q15/M15-1</f>
        <v>-3.0791387363288347E-2</v>
      </c>
      <c r="X15" s="173">
        <f>Q15/P15-1</f>
        <v>1.1739653380368194</v>
      </c>
      <c r="Y15" s="834">
        <f>SUM($N15:Q15)</f>
        <v>32.64725</v>
      </c>
      <c r="Z15" s="834">
        <f>SUM($J15:M15)</f>
        <v>33.760549999999995</v>
      </c>
      <c r="AA15" s="175">
        <f>Y15/Z15-1</f>
        <v>-3.2976358501268344E-2</v>
      </c>
      <c r="AC15" s="831"/>
      <c r="AD15" s="831"/>
      <c r="AE15" s="831"/>
      <c r="AF15" s="831"/>
      <c r="AG15" s="831"/>
      <c r="AH15" s="831"/>
      <c r="AI15" s="831"/>
      <c r="AJ15" s="831"/>
      <c r="AK15" s="831"/>
      <c r="AL15" s="831"/>
      <c r="AM15" s="831"/>
      <c r="AN15" s="831"/>
      <c r="AO15" s="831"/>
      <c r="AP15" s="831"/>
      <c r="AQ15" s="831"/>
      <c r="AR15" s="831"/>
      <c r="AS15" s="831"/>
      <c r="AT15" s="831"/>
      <c r="AU15" s="831"/>
      <c r="AV15" s="831"/>
      <c r="AW15" s="831"/>
      <c r="AX15" s="831"/>
      <c r="AY15" s="831"/>
      <c r="AZ15" s="831"/>
      <c r="BA15" s="831"/>
      <c r="BB15" s="831"/>
      <c r="BC15" s="831"/>
      <c r="BD15" s="831"/>
      <c r="BE15" s="831"/>
      <c r="BF15" s="831"/>
      <c r="BG15" s="831"/>
      <c r="BH15" s="831"/>
      <c r="BI15" s="831"/>
      <c r="BJ15" s="831"/>
      <c r="BK15" s="831"/>
      <c r="BL15" s="831"/>
      <c r="BM15" s="831"/>
      <c r="BN15" s="831"/>
      <c r="BO15" s="831"/>
    </row>
    <row r="16" spans="1:78">
      <c r="A16" s="5" t="s">
        <v>807</v>
      </c>
      <c r="B16" s="779">
        <v>5.8405799999999983</v>
      </c>
      <c r="C16" s="779">
        <v>5.9731199999999998</v>
      </c>
      <c r="D16" s="779">
        <v>4.9615499999999999</v>
      </c>
      <c r="E16" s="780">
        <v>5.2288500000000004</v>
      </c>
      <c r="F16" s="779">
        <v>5.1588400000000005</v>
      </c>
      <c r="G16" s="779">
        <v>5.0491700000000002</v>
      </c>
      <c r="H16" s="779">
        <v>5.0498599999999998</v>
      </c>
      <c r="I16" s="780">
        <v>5.6078000000000001</v>
      </c>
      <c r="J16" s="779">
        <v>5.8063599999999997</v>
      </c>
      <c r="K16" s="779">
        <v>5.4081999999999999</v>
      </c>
      <c r="L16" s="779">
        <v>5.2074400000000001</v>
      </c>
      <c r="M16" s="780">
        <v>5.59483</v>
      </c>
      <c r="N16" s="779">
        <v>5.9229200000000004</v>
      </c>
      <c r="O16" s="779">
        <v>5.5215399999999999</v>
      </c>
      <c r="P16" s="779">
        <v>5.2867100000000002</v>
      </c>
      <c r="Q16" s="780">
        <v>5.9482200000000001</v>
      </c>
      <c r="R16" s="779"/>
      <c r="S16" s="779"/>
      <c r="T16" s="779"/>
      <c r="U16" s="781"/>
      <c r="W16" s="473">
        <f>Q16/M16-1</f>
        <v>6.3163670746028133E-2</v>
      </c>
      <c r="X16" s="173">
        <f>Q16/P16-1</f>
        <v>0.1251269693249677</v>
      </c>
      <c r="Y16" s="834">
        <f>SUM($N16:Q16)</f>
        <v>22.679389999999998</v>
      </c>
      <c r="Z16" s="834">
        <f>SUM($J16:M16)</f>
        <v>22.016829999999999</v>
      </c>
      <c r="AA16" s="175">
        <f>Y16/Z16-1</f>
        <v>3.0093342229557951E-2</v>
      </c>
      <c r="AC16" s="831"/>
      <c r="AD16" s="831"/>
      <c r="AE16" s="831"/>
      <c r="AF16" s="831"/>
      <c r="AG16" s="831"/>
      <c r="AH16" s="831"/>
      <c r="AI16" s="831"/>
      <c r="AJ16" s="831"/>
      <c r="AK16" s="831"/>
      <c r="AL16" s="831"/>
      <c r="AM16" s="831"/>
      <c r="AN16" s="831"/>
      <c r="AO16" s="831"/>
      <c r="AP16" s="831"/>
      <c r="AQ16" s="831"/>
      <c r="AR16" s="831"/>
      <c r="AS16" s="831"/>
      <c r="AT16" s="831"/>
      <c r="AU16" s="831"/>
      <c r="AV16" s="831"/>
      <c r="AW16" s="831"/>
      <c r="AX16" s="831"/>
      <c r="AY16" s="831"/>
      <c r="AZ16" s="831"/>
      <c r="BA16" s="831"/>
      <c r="BB16" s="831"/>
      <c r="BC16" s="831"/>
      <c r="BD16" s="831"/>
      <c r="BE16" s="831"/>
      <c r="BF16" s="831"/>
      <c r="BG16" s="831"/>
      <c r="BH16" s="831"/>
      <c r="BI16" s="831"/>
      <c r="BJ16" s="831"/>
      <c r="BK16" s="831"/>
      <c r="BL16" s="831"/>
      <c r="BM16" s="831"/>
      <c r="BN16" s="831"/>
      <c r="BO16" s="831"/>
    </row>
    <row r="17" spans="1:67">
      <c r="A17" s="5" t="s">
        <v>808</v>
      </c>
      <c r="B17" s="779">
        <v>15.600092449238423</v>
      </c>
      <c r="C17" s="779">
        <v>12.905419999999999</v>
      </c>
      <c r="D17" s="779">
        <v>12.080870000000001</v>
      </c>
      <c r="E17" s="780">
        <v>13.778780000000001</v>
      </c>
      <c r="F17" s="779">
        <v>14.434530000000001</v>
      </c>
      <c r="G17" s="779">
        <v>13.811770000000001</v>
      </c>
      <c r="H17" s="779">
        <v>14.43093</v>
      </c>
      <c r="I17" s="780">
        <v>16.133759999999999</v>
      </c>
      <c r="J17" s="779">
        <v>16.664079999999998</v>
      </c>
      <c r="K17" s="779">
        <v>15.95838</v>
      </c>
      <c r="L17" s="779">
        <v>15.82357</v>
      </c>
      <c r="M17" s="780">
        <v>17.706880000000002</v>
      </c>
      <c r="N17" s="779">
        <v>18.448270000000001</v>
      </c>
      <c r="O17" s="779">
        <v>17.402529999999999</v>
      </c>
      <c r="P17" s="779">
        <v>18.011009999999999</v>
      </c>
      <c r="Q17" s="780">
        <v>20.0898</v>
      </c>
      <c r="R17" s="779"/>
      <c r="S17" s="779"/>
      <c r="T17" s="779"/>
      <c r="U17" s="781"/>
      <c r="W17" s="473">
        <f>Q17/M17-1</f>
        <v>0.13457593884411012</v>
      </c>
      <c r="X17" s="173">
        <f>Q17/P17-1</f>
        <v>0.11541773615138751</v>
      </c>
      <c r="Y17" s="834">
        <f>SUM($N17:Q17)</f>
        <v>73.951610000000002</v>
      </c>
      <c r="Z17" s="834">
        <f>SUM($J17:M17)</f>
        <v>66.152909999999991</v>
      </c>
      <c r="AA17" s="175">
        <f>Y17/Z17-1</f>
        <v>0.11788899384773877</v>
      </c>
      <c r="AC17" s="831"/>
      <c r="AD17" s="831"/>
      <c r="AE17" s="831"/>
      <c r="AF17" s="831"/>
      <c r="AG17" s="831"/>
      <c r="AH17" s="831"/>
      <c r="AI17" s="831"/>
      <c r="AJ17" s="831"/>
      <c r="AK17" s="831"/>
      <c r="AL17" s="831"/>
      <c r="AM17" s="831"/>
      <c r="AN17" s="831"/>
      <c r="AO17" s="831"/>
      <c r="AP17" s="831"/>
      <c r="AQ17" s="831"/>
      <c r="AR17" s="831"/>
      <c r="AS17" s="831"/>
      <c r="AT17" s="831"/>
      <c r="AU17" s="831"/>
      <c r="AV17" s="831"/>
      <c r="AW17" s="831"/>
      <c r="AX17" s="831"/>
      <c r="AY17" s="831"/>
      <c r="AZ17" s="831"/>
      <c r="BA17" s="831"/>
      <c r="BB17" s="831"/>
      <c r="BC17" s="831"/>
      <c r="BD17" s="831"/>
      <c r="BE17" s="831"/>
      <c r="BF17" s="831"/>
      <c r="BG17" s="831"/>
      <c r="BH17" s="831"/>
      <c r="BI17" s="831"/>
      <c r="BJ17" s="831"/>
      <c r="BK17" s="831"/>
      <c r="BL17" s="831"/>
      <c r="BM17" s="831"/>
      <c r="BN17" s="831"/>
      <c r="BO17" s="831"/>
    </row>
    <row r="18" spans="1:67">
      <c r="A18" s="5"/>
      <c r="B18" s="779"/>
      <c r="C18" s="779"/>
      <c r="D18" s="779"/>
      <c r="E18" s="780"/>
      <c r="F18" s="779"/>
      <c r="G18" s="779"/>
      <c r="H18" s="779"/>
      <c r="I18" s="780"/>
      <c r="J18" s="779"/>
      <c r="K18" s="779"/>
      <c r="L18" s="779"/>
      <c r="M18" s="780"/>
      <c r="N18" s="779"/>
      <c r="O18" s="779"/>
      <c r="P18" s="779"/>
      <c r="Q18" s="780"/>
      <c r="R18" s="779"/>
      <c r="S18" s="779"/>
      <c r="T18" s="779"/>
      <c r="U18" s="781"/>
      <c r="W18" s="473"/>
      <c r="AA18" s="116"/>
      <c r="AC18" s="831"/>
      <c r="AD18" s="831"/>
      <c r="AE18" s="831"/>
      <c r="AF18" s="831"/>
      <c r="AG18" s="831"/>
      <c r="AH18" s="831"/>
      <c r="AI18" s="831"/>
      <c r="AJ18" s="831"/>
      <c r="AK18" s="831"/>
      <c r="AL18" s="831"/>
      <c r="AM18" s="831"/>
      <c r="AN18" s="831"/>
      <c r="AO18" s="831"/>
      <c r="AP18" s="831"/>
      <c r="AQ18" s="831"/>
      <c r="AR18" s="831"/>
      <c r="AS18" s="831"/>
      <c r="AT18" s="831"/>
      <c r="AU18" s="831"/>
      <c r="AV18" s="831"/>
      <c r="AW18" s="831"/>
      <c r="AX18" s="831"/>
      <c r="AY18" s="831"/>
      <c r="AZ18" s="831"/>
      <c r="BA18" s="831"/>
      <c r="BB18" s="831"/>
      <c r="BC18" s="831"/>
      <c r="BD18" s="831"/>
      <c r="BE18" s="831"/>
      <c r="BF18" s="831"/>
      <c r="BG18" s="831"/>
      <c r="BH18" s="831"/>
      <c r="BI18" s="831"/>
      <c r="BJ18" s="831"/>
      <c r="BK18" s="831"/>
      <c r="BL18" s="831"/>
      <c r="BM18" s="831"/>
      <c r="BN18" s="831"/>
      <c r="BO18" s="831"/>
    </row>
    <row r="19" spans="1:67">
      <c r="A19" s="653" t="s">
        <v>787</v>
      </c>
      <c r="B19" s="776">
        <f>SUM(B14:B17)</f>
        <v>31.231817515027899</v>
      </c>
      <c r="C19" s="776">
        <f t="shared" ref="C19:M19" si="0">SUM(C14:C17)</f>
        <v>24.33314</v>
      </c>
      <c r="D19" s="776">
        <f t="shared" si="0"/>
        <v>26.819780000000002</v>
      </c>
      <c r="E19" s="777">
        <f t="shared" si="0"/>
        <v>33.613439999999997</v>
      </c>
      <c r="F19" s="776">
        <f t="shared" si="0"/>
        <v>30.606949999999998</v>
      </c>
      <c r="G19" s="776">
        <f t="shared" si="0"/>
        <v>35.109020000000001</v>
      </c>
      <c r="H19" s="776">
        <f t="shared" si="0"/>
        <v>30.120249999999999</v>
      </c>
      <c r="I19" s="777">
        <f t="shared" si="0"/>
        <v>40.098330000000004</v>
      </c>
      <c r="J19" s="776">
        <f t="shared" si="0"/>
        <v>35.02805</v>
      </c>
      <c r="K19" s="776">
        <f t="shared" si="0"/>
        <v>38.818429999999999</v>
      </c>
      <c r="L19" s="776">
        <f t="shared" si="0"/>
        <v>31.828959999999999</v>
      </c>
      <c r="M19" s="777">
        <f t="shared" si="0"/>
        <v>41.999400000000009</v>
      </c>
      <c r="N19" s="776">
        <f t="shared" ref="N19:U19" si="1">SUM(N14:N17)</f>
        <v>37.719589999999997</v>
      </c>
      <c r="O19" s="776">
        <f t="shared" si="1"/>
        <v>40.540860000000002</v>
      </c>
      <c r="P19" s="776">
        <f t="shared" si="1"/>
        <v>34.58972</v>
      </c>
      <c r="Q19" s="777">
        <f t="shared" si="1"/>
        <v>44.559579999999997</v>
      </c>
      <c r="R19" s="776">
        <f t="shared" si="1"/>
        <v>0</v>
      </c>
      <c r="S19" s="776">
        <f t="shared" si="1"/>
        <v>0</v>
      </c>
      <c r="T19" s="776">
        <f t="shared" si="1"/>
        <v>0</v>
      </c>
      <c r="U19" s="778">
        <f t="shared" si="1"/>
        <v>0</v>
      </c>
      <c r="W19" s="835">
        <f>Q19/M19-1</f>
        <v>6.095753748863042E-2</v>
      </c>
      <c r="X19" s="832">
        <f>Q19/P19-1</f>
        <v>0.28823187929824234</v>
      </c>
      <c r="Y19" s="833">
        <f>SUM($N19:Q19)</f>
        <v>157.40974999999997</v>
      </c>
      <c r="Z19" s="833">
        <f>SUM($J19:M19)</f>
        <v>147.67484000000002</v>
      </c>
      <c r="AA19" s="836">
        <f>Y19/Z19-1</f>
        <v>6.5921249686134553E-2</v>
      </c>
      <c r="AC19" s="831"/>
      <c r="AD19" s="831"/>
      <c r="AE19" s="831"/>
      <c r="AF19" s="831"/>
      <c r="AG19" s="831"/>
      <c r="AH19" s="831"/>
      <c r="AI19" s="831"/>
      <c r="AJ19" s="831"/>
      <c r="AK19" s="831"/>
      <c r="AL19" s="831"/>
      <c r="AM19" s="831"/>
      <c r="AN19" s="831"/>
      <c r="AO19" s="831"/>
      <c r="AP19" s="831"/>
      <c r="AQ19" s="831"/>
      <c r="AR19" s="831"/>
      <c r="AS19" s="831"/>
      <c r="AT19" s="831"/>
      <c r="AU19" s="831"/>
      <c r="AV19" s="831"/>
      <c r="AW19" s="831"/>
      <c r="AX19" s="831"/>
      <c r="AY19" s="831"/>
      <c r="AZ19" s="831"/>
      <c r="BA19" s="831"/>
      <c r="BB19" s="831"/>
      <c r="BC19" s="831"/>
      <c r="BD19" s="831"/>
      <c r="BE19" s="831"/>
      <c r="BF19" s="831"/>
      <c r="BG19" s="831"/>
      <c r="BH19" s="831"/>
      <c r="BI19" s="831"/>
      <c r="BJ19" s="831"/>
      <c r="BK19" s="831"/>
      <c r="BL19" s="831"/>
      <c r="BM19" s="831"/>
      <c r="BN19" s="831"/>
      <c r="BO19" s="831"/>
    </row>
    <row r="20" spans="1:67" ht="16" thickBot="1">
      <c r="A20" s="217"/>
      <c r="B20" s="612"/>
      <c r="C20" s="612"/>
      <c r="D20" s="612"/>
      <c r="E20" s="782"/>
      <c r="F20" s="612"/>
      <c r="G20" s="612"/>
      <c r="H20" s="612"/>
      <c r="I20" s="782"/>
      <c r="J20" s="612"/>
      <c r="K20" s="612"/>
      <c r="L20" s="612"/>
      <c r="M20" s="782"/>
      <c r="N20" s="612"/>
      <c r="O20" s="612"/>
      <c r="P20" s="612"/>
      <c r="Q20" s="782"/>
      <c r="R20" s="612"/>
      <c r="S20" s="612"/>
      <c r="T20" s="612"/>
      <c r="U20" s="613"/>
      <c r="W20" s="481"/>
      <c r="X20" s="218"/>
      <c r="Y20" s="218"/>
      <c r="Z20" s="218"/>
      <c r="AA20" s="220"/>
      <c r="AC20" s="831"/>
      <c r="AD20" s="831"/>
      <c r="AE20" s="831"/>
      <c r="AF20" s="831"/>
      <c r="AG20" s="831"/>
      <c r="AH20" s="831"/>
      <c r="AI20" s="831"/>
      <c r="AJ20" s="831"/>
      <c r="AK20" s="831"/>
      <c r="AL20" s="831"/>
      <c r="AM20" s="831"/>
      <c r="AN20" s="831"/>
      <c r="AO20" s="831"/>
      <c r="AP20" s="831"/>
      <c r="AQ20" s="831"/>
      <c r="AR20" s="831"/>
      <c r="AS20" s="831"/>
      <c r="AT20" s="831"/>
      <c r="AU20" s="831"/>
      <c r="AV20" s="831"/>
      <c r="AW20" s="831"/>
      <c r="AX20" s="831"/>
      <c r="AY20" s="831"/>
      <c r="AZ20" s="831"/>
      <c r="BA20" s="831"/>
      <c r="BB20" s="831"/>
      <c r="BC20" s="831"/>
      <c r="BD20" s="831"/>
      <c r="BE20" s="831"/>
      <c r="BF20" s="831"/>
      <c r="BG20" s="831"/>
      <c r="BH20" s="831"/>
      <c r="BI20" s="831"/>
      <c r="BJ20" s="831"/>
      <c r="BK20" s="831"/>
      <c r="BL20" s="831"/>
      <c r="BM20" s="831"/>
      <c r="BN20" s="831"/>
      <c r="BO20" s="831"/>
    </row>
    <row r="21" spans="1:67">
      <c r="A21" s="783" t="s">
        <v>788</v>
      </c>
      <c r="AC21" s="831"/>
      <c r="AD21" s="831"/>
      <c r="AE21" s="831"/>
      <c r="AF21" s="831"/>
      <c r="AG21" s="831"/>
      <c r="AH21" s="831"/>
      <c r="AI21" s="831"/>
      <c r="AJ21" s="831"/>
      <c r="AK21" s="831"/>
      <c r="AL21" s="831"/>
      <c r="AM21" s="831"/>
      <c r="AN21" s="831"/>
      <c r="AO21" s="831"/>
      <c r="AP21" s="831"/>
      <c r="AQ21" s="831"/>
      <c r="AR21" s="831"/>
      <c r="AS21" s="831"/>
      <c r="AT21" s="831"/>
      <c r="AU21" s="831"/>
      <c r="AV21" s="831"/>
      <c r="AW21" s="831"/>
      <c r="AX21" s="831"/>
      <c r="AY21" s="831"/>
      <c r="AZ21" s="831"/>
      <c r="BA21" s="831"/>
      <c r="BB21" s="831"/>
      <c r="BC21" s="831"/>
      <c r="BD21" s="831"/>
      <c r="BE21" s="831"/>
      <c r="BF21" s="831"/>
      <c r="BG21" s="831"/>
      <c r="BH21" s="831"/>
      <c r="BI21" s="831"/>
      <c r="BJ21" s="831"/>
      <c r="BK21" s="831"/>
      <c r="BL21" s="831"/>
      <c r="BM21" s="831"/>
      <c r="BN21" s="831"/>
      <c r="BO21" s="831"/>
    </row>
    <row r="22" spans="1:67">
      <c r="A22" s="783" t="s">
        <v>872</v>
      </c>
      <c r="AC22" s="831"/>
      <c r="AD22" s="831"/>
      <c r="AE22" s="831"/>
      <c r="AF22" s="831"/>
      <c r="AG22" s="831"/>
      <c r="AH22" s="831"/>
      <c r="AI22" s="831"/>
      <c r="AJ22" s="831"/>
      <c r="AK22" s="831"/>
      <c r="AL22" s="831"/>
      <c r="AM22" s="831"/>
      <c r="AN22" s="831"/>
      <c r="AO22" s="831"/>
      <c r="AP22" s="831"/>
      <c r="AQ22" s="831"/>
      <c r="AR22" s="831"/>
      <c r="AS22" s="831"/>
      <c r="AT22" s="831"/>
      <c r="AU22" s="831"/>
      <c r="AV22" s="831"/>
      <c r="AW22" s="831"/>
      <c r="AX22" s="831"/>
      <c r="AY22" s="831"/>
      <c r="AZ22" s="831"/>
      <c r="BA22" s="831"/>
      <c r="BB22" s="831"/>
      <c r="BC22" s="831"/>
      <c r="BD22" s="831"/>
      <c r="BE22" s="831"/>
      <c r="BF22" s="831"/>
      <c r="BG22" s="831"/>
      <c r="BH22" s="831"/>
      <c r="BI22" s="831"/>
      <c r="BJ22" s="831"/>
      <c r="BK22" s="831"/>
      <c r="BL22" s="831"/>
      <c r="BM22" s="831"/>
      <c r="BN22" s="831"/>
      <c r="BO22" s="831"/>
    </row>
    <row r="23" spans="1:67">
      <c r="A23" s="783"/>
      <c r="AC23" s="831"/>
      <c r="AD23" s="831"/>
      <c r="AE23" s="831"/>
      <c r="AF23" s="831"/>
      <c r="AG23" s="831"/>
      <c r="AH23" s="831"/>
      <c r="AI23" s="831"/>
      <c r="AJ23" s="831"/>
      <c r="AK23" s="831"/>
      <c r="AL23" s="831"/>
      <c r="AM23" s="831"/>
      <c r="AN23" s="831"/>
      <c r="AO23" s="831"/>
      <c r="AP23" s="831"/>
      <c r="AQ23" s="831"/>
      <c r="AR23" s="831"/>
      <c r="AS23" s="831"/>
      <c r="AT23" s="831"/>
      <c r="AU23" s="831"/>
      <c r="AV23" s="831"/>
      <c r="AW23" s="831"/>
      <c r="AX23" s="831"/>
      <c r="AY23" s="831"/>
      <c r="AZ23" s="831"/>
      <c r="BA23" s="831"/>
      <c r="BB23" s="831"/>
      <c r="BC23" s="831"/>
      <c r="BD23" s="831"/>
      <c r="BE23" s="831"/>
      <c r="BF23" s="831"/>
      <c r="BG23" s="831"/>
      <c r="BH23" s="831"/>
      <c r="BI23" s="831"/>
      <c r="BJ23" s="831"/>
      <c r="BK23" s="831"/>
      <c r="BL23" s="831"/>
      <c r="BM23" s="831"/>
      <c r="BN23" s="831"/>
      <c r="BO23" s="831"/>
    </row>
    <row r="24" spans="1:67">
      <c r="A24" s="783"/>
      <c r="N24" s="361"/>
      <c r="O24" s="445"/>
      <c r="AC24" s="831"/>
      <c r="AD24" s="831"/>
      <c r="AE24" s="831"/>
      <c r="AF24" s="831"/>
      <c r="AG24" s="831"/>
      <c r="AH24" s="831"/>
      <c r="AI24" s="831"/>
      <c r="AJ24" s="831"/>
      <c r="AK24" s="831"/>
      <c r="AL24" s="831"/>
      <c r="AM24" s="831"/>
      <c r="AN24" s="831"/>
      <c r="AO24" s="831"/>
      <c r="AP24" s="831"/>
      <c r="AQ24" s="831"/>
      <c r="AR24" s="831"/>
      <c r="AS24" s="831"/>
      <c r="AT24" s="831"/>
      <c r="AU24" s="831"/>
      <c r="AV24" s="831"/>
      <c r="AW24" s="831"/>
      <c r="AX24" s="831"/>
      <c r="AY24" s="831"/>
      <c r="AZ24" s="831"/>
      <c r="BA24" s="831"/>
      <c r="BB24" s="831"/>
      <c r="BC24" s="831"/>
      <c r="BD24" s="831"/>
      <c r="BE24" s="831"/>
      <c r="BF24" s="831"/>
      <c r="BG24" s="831"/>
      <c r="BH24" s="831"/>
      <c r="BI24" s="831"/>
      <c r="BJ24" s="831"/>
      <c r="BK24" s="831"/>
      <c r="BL24" s="831"/>
      <c r="BM24" s="831"/>
      <c r="BN24" s="831"/>
      <c r="BO24" s="831"/>
    </row>
    <row r="25" spans="1:67" ht="19">
      <c r="A25" s="435" t="s">
        <v>811</v>
      </c>
      <c r="F25" s="445"/>
      <c r="G25" s="445"/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AC25" s="831"/>
      <c r="AD25" s="831"/>
      <c r="AE25" s="831"/>
      <c r="AF25" s="831"/>
      <c r="AG25" s="831"/>
      <c r="AH25" s="831"/>
      <c r="AI25" s="831"/>
      <c r="AJ25" s="831"/>
      <c r="AK25" s="831"/>
      <c r="AL25" s="831"/>
      <c r="AM25" s="831"/>
      <c r="AN25" s="831"/>
      <c r="AO25" s="831"/>
      <c r="AP25" s="831"/>
      <c r="AQ25" s="831"/>
      <c r="AR25" s="831"/>
      <c r="AS25" s="831"/>
      <c r="AT25" s="831"/>
      <c r="AU25" s="831"/>
      <c r="AV25" s="831"/>
      <c r="AW25" s="831"/>
      <c r="AX25" s="831"/>
      <c r="AY25" s="831"/>
      <c r="AZ25" s="831"/>
      <c r="BA25" s="831"/>
      <c r="BB25" s="831"/>
      <c r="BC25" s="831"/>
      <c r="BD25" s="831"/>
      <c r="BE25" s="831"/>
      <c r="BF25" s="831"/>
      <c r="BG25" s="831"/>
      <c r="BH25" s="831"/>
      <c r="BI25" s="831"/>
      <c r="BJ25" s="831"/>
      <c r="BK25" s="831"/>
      <c r="BL25" s="831"/>
      <c r="BM25" s="831"/>
      <c r="BN25" s="831"/>
      <c r="BO25" s="831"/>
    </row>
    <row r="26" spans="1:67" ht="16" thickBot="1">
      <c r="AC26" s="831"/>
      <c r="AD26" s="831"/>
      <c r="AE26" s="831"/>
      <c r="AF26" s="831"/>
      <c r="AG26" s="831"/>
      <c r="AH26" s="831"/>
      <c r="AI26" s="831"/>
      <c r="AJ26" s="831"/>
      <c r="AK26" s="831"/>
      <c r="AL26" s="831"/>
      <c r="AM26" s="831"/>
      <c r="AN26" s="831"/>
      <c r="AO26" s="831"/>
      <c r="AP26" s="831"/>
      <c r="AQ26" s="831"/>
      <c r="AR26" s="831"/>
      <c r="AS26" s="831"/>
      <c r="AT26" s="831"/>
      <c r="AU26" s="831"/>
      <c r="AV26" s="831"/>
      <c r="AW26" s="831"/>
      <c r="AX26" s="831"/>
      <c r="AY26" s="831"/>
      <c r="AZ26" s="831"/>
      <c r="BA26" s="831"/>
      <c r="BB26" s="831"/>
      <c r="BC26" s="831"/>
      <c r="BD26" s="831"/>
      <c r="BE26" s="831"/>
      <c r="BF26" s="831"/>
      <c r="BG26" s="831"/>
      <c r="BH26" s="831"/>
      <c r="BI26" s="831"/>
      <c r="BJ26" s="831"/>
      <c r="BK26" s="831"/>
      <c r="BL26" s="831"/>
      <c r="BM26" s="831"/>
      <c r="BN26" s="831"/>
      <c r="BO26" s="831"/>
    </row>
    <row r="27" spans="1:67" ht="21" customHeight="1">
      <c r="A27" s="792" t="s">
        <v>792</v>
      </c>
      <c r="B27" s="770" t="s">
        <v>793</v>
      </c>
      <c r="C27" s="770" t="s">
        <v>794</v>
      </c>
      <c r="D27" s="770" t="s">
        <v>795</v>
      </c>
      <c r="E27" s="771" t="s">
        <v>796</v>
      </c>
      <c r="F27" s="770" t="s">
        <v>797</v>
      </c>
      <c r="G27" s="770" t="s">
        <v>798</v>
      </c>
      <c r="H27" s="770" t="s">
        <v>799</v>
      </c>
      <c r="I27" s="771" t="s">
        <v>800</v>
      </c>
      <c r="J27" s="770" t="s">
        <v>801</v>
      </c>
      <c r="K27" s="770" t="s">
        <v>802</v>
      </c>
      <c r="L27" s="770" t="s">
        <v>803</v>
      </c>
      <c r="M27" s="771" t="s">
        <v>804</v>
      </c>
      <c r="N27" s="770" t="s">
        <v>851</v>
      </c>
      <c r="O27" s="770" t="s">
        <v>852</v>
      </c>
      <c r="P27" s="770" t="s">
        <v>853</v>
      </c>
      <c r="Q27" s="771" t="s">
        <v>854</v>
      </c>
      <c r="R27" s="770" t="s">
        <v>884</v>
      </c>
      <c r="S27" s="770" t="s">
        <v>885</v>
      </c>
      <c r="T27" s="770" t="s">
        <v>886</v>
      </c>
      <c r="U27" s="646" t="s">
        <v>887</v>
      </c>
      <c r="W27" s="769" t="str">
        <f>W12</f>
        <v>YoY</v>
      </c>
      <c r="X27" s="770" t="str">
        <f t="shared" ref="X27:AA27" si="2">X12</f>
        <v>QoQ</v>
      </c>
      <c r="Y27" s="770" t="str">
        <f t="shared" si="2"/>
        <v>YTD24</v>
      </c>
      <c r="Z27" s="770" t="str">
        <f t="shared" si="2"/>
        <v>YTD23</v>
      </c>
      <c r="AA27" s="646" t="str">
        <f t="shared" si="2"/>
        <v>YTD %</v>
      </c>
      <c r="AC27" s="831"/>
      <c r="AD27" s="831"/>
      <c r="AE27" s="831"/>
      <c r="AF27" s="831"/>
      <c r="AG27" s="831"/>
      <c r="AH27" s="831"/>
      <c r="AI27" s="831"/>
      <c r="AJ27" s="831"/>
      <c r="AK27" s="831"/>
      <c r="AL27" s="831"/>
      <c r="AM27" s="831"/>
      <c r="AN27" s="831"/>
      <c r="AO27" s="831"/>
      <c r="AP27" s="831"/>
      <c r="AQ27" s="831"/>
      <c r="AR27" s="831"/>
      <c r="AS27" s="831"/>
      <c r="AT27" s="831"/>
      <c r="AU27" s="831"/>
      <c r="AV27" s="831"/>
      <c r="AW27" s="831"/>
      <c r="AX27" s="831"/>
      <c r="AY27" s="831"/>
      <c r="AZ27" s="831"/>
      <c r="BA27" s="831"/>
      <c r="BB27" s="831"/>
      <c r="BC27" s="831"/>
      <c r="BD27" s="831"/>
      <c r="BE27" s="831"/>
      <c r="BF27" s="831"/>
      <c r="BG27" s="831"/>
      <c r="BH27" s="831"/>
      <c r="BI27" s="831"/>
      <c r="BJ27" s="831"/>
      <c r="BK27" s="831"/>
      <c r="BL27" s="831"/>
      <c r="BM27" s="831"/>
      <c r="BN27" s="831"/>
      <c r="BO27" s="831"/>
    </row>
    <row r="28" spans="1:67">
      <c r="A28" s="5"/>
      <c r="E28" s="115"/>
      <c r="I28" s="115"/>
      <c r="M28" s="115"/>
      <c r="Q28" s="115"/>
      <c r="U28" s="116"/>
      <c r="W28" s="6"/>
      <c r="AA28" s="116"/>
      <c r="AC28" s="831"/>
      <c r="AD28" s="831"/>
      <c r="AE28" s="831"/>
      <c r="AF28" s="831"/>
      <c r="AG28" s="831"/>
      <c r="AH28" s="831"/>
      <c r="AI28" s="831"/>
      <c r="AJ28" s="831"/>
      <c r="AK28" s="831"/>
      <c r="AL28" s="831"/>
      <c r="AM28" s="831"/>
      <c r="AN28" s="831"/>
      <c r="AO28" s="831"/>
      <c r="AP28" s="831"/>
      <c r="AQ28" s="831"/>
      <c r="AR28" s="831"/>
      <c r="AS28" s="831"/>
      <c r="AT28" s="831"/>
      <c r="AU28" s="831"/>
      <c r="AV28" s="831"/>
      <c r="AW28" s="831"/>
      <c r="AX28" s="831"/>
      <c r="AY28" s="831"/>
      <c r="AZ28" s="831"/>
      <c r="BA28" s="831"/>
      <c r="BB28" s="831"/>
      <c r="BC28" s="831"/>
      <c r="BD28" s="831"/>
      <c r="BE28" s="831"/>
      <c r="BF28" s="831"/>
      <c r="BG28" s="831"/>
      <c r="BH28" s="831"/>
      <c r="BI28" s="831"/>
      <c r="BJ28" s="831"/>
      <c r="BK28" s="831"/>
      <c r="BL28" s="831"/>
      <c r="BM28" s="831"/>
      <c r="BN28" s="831"/>
      <c r="BO28" s="831"/>
    </row>
    <row r="29" spans="1:67">
      <c r="A29" s="5" t="s">
        <v>805</v>
      </c>
      <c r="B29" s="779">
        <v>0.50935232363000027</v>
      </c>
      <c r="C29" s="779">
        <v>0.45119999999999999</v>
      </c>
      <c r="D29" s="779">
        <v>0.52159</v>
      </c>
      <c r="E29" s="780">
        <v>0.71755999999999998</v>
      </c>
      <c r="F29" s="779">
        <v>0.76744000000000001</v>
      </c>
      <c r="G29" s="779">
        <v>0.63245000000000007</v>
      </c>
      <c r="H29" s="779">
        <v>0.68447000000000002</v>
      </c>
      <c r="I29" s="780">
        <v>0.72802999999999995</v>
      </c>
      <c r="J29" s="779">
        <v>0.91961000000000004</v>
      </c>
      <c r="K29" s="779">
        <v>0.78952</v>
      </c>
      <c r="L29" s="779">
        <v>0.63788</v>
      </c>
      <c r="M29" s="780">
        <v>0.75083999999999995</v>
      </c>
      <c r="N29" s="779">
        <v>0.80703000000000003</v>
      </c>
      <c r="O29" s="779">
        <v>0.86107999999999996</v>
      </c>
      <c r="P29" s="779">
        <v>0.72387000000000001</v>
      </c>
      <c r="Q29" s="780">
        <v>0.98102999999999996</v>
      </c>
      <c r="R29" s="779"/>
      <c r="S29" s="779"/>
      <c r="T29" s="779"/>
      <c r="U29" s="781"/>
      <c r="W29" s="473">
        <f>Q29/M29-1</f>
        <v>0.30657663416973002</v>
      </c>
      <c r="X29" s="173">
        <f>Q29/P29-1</f>
        <v>0.35525715943470515</v>
      </c>
      <c r="Y29" s="834">
        <f>SUM($N29:Q29)</f>
        <v>3.3730100000000003</v>
      </c>
      <c r="Z29" s="834">
        <f>SUM($J29:M29)</f>
        <v>3.0978500000000002</v>
      </c>
      <c r="AA29" s="175">
        <f>Y29/Z29-1</f>
        <v>8.8822893296964134E-2</v>
      </c>
      <c r="AB29" s="5" t="s">
        <v>805</v>
      </c>
      <c r="AC29" s="831"/>
      <c r="AD29" s="831"/>
      <c r="AE29" s="831"/>
      <c r="AF29" s="831"/>
      <c r="AG29" s="831"/>
      <c r="AH29" s="831"/>
      <c r="AI29" s="831"/>
      <c r="AJ29" s="831"/>
      <c r="AK29" s="831"/>
      <c r="AL29" s="831"/>
      <c r="AM29" s="831"/>
      <c r="AN29" s="831"/>
      <c r="AO29" s="831"/>
      <c r="AP29" s="831"/>
      <c r="AQ29" s="831"/>
      <c r="AR29" s="831"/>
      <c r="AS29" s="831"/>
      <c r="AT29" s="831"/>
      <c r="AU29" s="831"/>
      <c r="AV29" s="831"/>
      <c r="AW29" s="831"/>
      <c r="AX29" s="831"/>
      <c r="AY29" s="831"/>
      <c r="AZ29" s="831"/>
      <c r="BA29" s="831"/>
      <c r="BB29" s="831"/>
      <c r="BC29" s="831"/>
      <c r="BD29" s="831"/>
      <c r="BE29" s="831"/>
      <c r="BF29" s="831"/>
      <c r="BG29" s="831"/>
      <c r="BH29" s="831"/>
      <c r="BI29" s="831"/>
      <c r="BJ29" s="831"/>
      <c r="BK29" s="831"/>
      <c r="BL29" s="831"/>
      <c r="BM29" s="831"/>
      <c r="BN29" s="831"/>
      <c r="BO29" s="831"/>
    </row>
    <row r="30" spans="1:67">
      <c r="A30" s="5" t="s">
        <v>806</v>
      </c>
      <c r="B30" s="779">
        <v>0.60715999999999981</v>
      </c>
      <c r="C30" s="779">
        <v>0.36551999999999996</v>
      </c>
      <c r="D30" s="779">
        <v>1.369</v>
      </c>
      <c r="E30" s="780">
        <v>2.2963200000000001</v>
      </c>
      <c r="F30" s="779">
        <v>1.3903299999999998</v>
      </c>
      <c r="G30" s="779">
        <v>2.8366100000000003</v>
      </c>
      <c r="H30" s="779">
        <v>1.4071300000000002</v>
      </c>
      <c r="I30" s="780">
        <v>2.9845700000000002</v>
      </c>
      <c r="J30" s="779">
        <v>1.4754700000000001</v>
      </c>
      <c r="K30" s="779">
        <v>2.8755600000000001</v>
      </c>
      <c r="L30" s="779">
        <v>1.3389800000000001</v>
      </c>
      <c r="M30" s="780">
        <v>2.8894299999999999</v>
      </c>
      <c r="N30" s="779">
        <v>1.4309000000000001</v>
      </c>
      <c r="O30" s="779">
        <v>2.74709</v>
      </c>
      <c r="P30" s="779">
        <v>1.26858</v>
      </c>
      <c r="Q30" s="780">
        <v>2.7719100000000001</v>
      </c>
      <c r="R30" s="779"/>
      <c r="S30" s="779"/>
      <c r="T30" s="779"/>
      <c r="U30" s="781"/>
      <c r="W30" s="473">
        <f>Q30/M30-1</f>
        <v>-4.0672381750033737E-2</v>
      </c>
      <c r="X30" s="173">
        <f>Q30/P30-1</f>
        <v>1.1850494253417208</v>
      </c>
      <c r="Y30" s="834">
        <f>SUM($N30:Q30)</f>
        <v>8.2184799999999996</v>
      </c>
      <c r="Z30" s="834">
        <f>SUM($J30:M30)</f>
        <v>8.57944</v>
      </c>
      <c r="AA30" s="175">
        <f>Y30/Z30-1</f>
        <v>-4.207267607209797E-2</v>
      </c>
      <c r="AB30" s="5" t="s">
        <v>806</v>
      </c>
      <c r="AC30" s="831"/>
      <c r="AD30" s="831"/>
      <c r="AE30" s="831"/>
      <c r="AF30" s="831"/>
      <c r="AG30" s="831"/>
      <c r="AH30" s="831"/>
      <c r="AI30" s="831"/>
      <c r="AJ30" s="831"/>
      <c r="AK30" s="831"/>
      <c r="AL30" s="831"/>
      <c r="AM30" s="831"/>
      <c r="AN30" s="831"/>
      <c r="AO30" s="831"/>
      <c r="AP30" s="831"/>
      <c r="AQ30" s="831"/>
      <c r="AR30" s="831"/>
      <c r="AS30" s="831"/>
      <c r="AT30" s="831"/>
      <c r="AU30" s="831"/>
      <c r="AV30" s="831"/>
      <c r="AW30" s="831"/>
      <c r="AX30" s="831"/>
      <c r="AY30" s="831"/>
      <c r="AZ30" s="831"/>
      <c r="BA30" s="831"/>
      <c r="BB30" s="831"/>
      <c r="BC30" s="831"/>
      <c r="BD30" s="831"/>
      <c r="BE30" s="831"/>
      <c r="BF30" s="831"/>
      <c r="BG30" s="831"/>
      <c r="BH30" s="831"/>
      <c r="BI30" s="831"/>
      <c r="BJ30" s="831"/>
      <c r="BK30" s="831"/>
      <c r="BL30" s="831"/>
      <c r="BM30" s="831"/>
      <c r="BN30" s="831"/>
      <c r="BO30" s="831"/>
    </row>
    <row r="31" spans="1:67">
      <c r="A31" s="5" t="s">
        <v>807</v>
      </c>
      <c r="B31" s="779">
        <v>1.7583999999999997</v>
      </c>
      <c r="C31" s="779">
        <v>1.5495399999999999</v>
      </c>
      <c r="D31" s="779">
        <v>1.4473</v>
      </c>
      <c r="E31" s="780">
        <v>1.5427599999999999</v>
      </c>
      <c r="F31" s="779">
        <v>1.5609600000000001</v>
      </c>
      <c r="G31" s="779">
        <v>1.49135</v>
      </c>
      <c r="H31" s="779">
        <v>1.5092699999999999</v>
      </c>
      <c r="I31" s="780">
        <v>1.6360599999999998</v>
      </c>
      <c r="J31" s="779">
        <v>1.36344</v>
      </c>
      <c r="K31" s="779">
        <v>1.52813</v>
      </c>
      <c r="L31" s="779">
        <v>1.51172</v>
      </c>
      <c r="M31" s="780">
        <v>1.56463</v>
      </c>
      <c r="N31" s="779">
        <v>1.8105599999999999</v>
      </c>
      <c r="O31" s="779">
        <v>1.4996700000000001</v>
      </c>
      <c r="P31" s="779">
        <v>1.51058</v>
      </c>
      <c r="Q31" s="780">
        <v>1.66429</v>
      </c>
      <c r="R31" s="779"/>
      <c r="S31" s="779"/>
      <c r="T31" s="779"/>
      <c r="U31" s="781"/>
      <c r="W31" s="473">
        <f>Q31/M31-1</f>
        <v>6.3695570198705198E-2</v>
      </c>
      <c r="X31" s="173">
        <f>Q31/P31-1</f>
        <v>0.10175561704775649</v>
      </c>
      <c r="Y31" s="834">
        <f>SUM($N31:Q31)</f>
        <v>6.4851000000000001</v>
      </c>
      <c r="Z31" s="834">
        <f>SUM($J31:M31)</f>
        <v>5.9679200000000003</v>
      </c>
      <c r="AA31" s="175">
        <f>Y31/Z31-1</f>
        <v>8.6660008847303516E-2</v>
      </c>
      <c r="AB31" s="5" t="s">
        <v>807</v>
      </c>
      <c r="AC31" s="831"/>
      <c r="AD31" s="831"/>
      <c r="AE31" s="831"/>
      <c r="AF31" s="831"/>
      <c r="AG31" s="831"/>
      <c r="AH31" s="831"/>
      <c r="AI31" s="831"/>
      <c r="AJ31" s="831"/>
      <c r="AK31" s="831"/>
      <c r="AL31" s="831"/>
      <c r="AM31" s="831"/>
      <c r="AN31" s="831"/>
      <c r="AO31" s="831"/>
      <c r="AP31" s="831"/>
      <c r="AQ31" s="831"/>
      <c r="AR31" s="831"/>
      <c r="AS31" s="831"/>
      <c r="AT31" s="831"/>
      <c r="AU31" s="831"/>
      <c r="AV31" s="831"/>
      <c r="AW31" s="831"/>
      <c r="AX31" s="831"/>
      <c r="AY31" s="831"/>
      <c r="AZ31" s="831"/>
      <c r="BA31" s="831"/>
      <c r="BB31" s="831"/>
      <c r="BC31" s="831"/>
      <c r="BD31" s="831"/>
      <c r="BE31" s="831"/>
      <c r="BF31" s="831"/>
      <c r="BG31" s="831"/>
      <c r="BH31" s="831"/>
      <c r="BI31" s="831"/>
      <c r="BJ31" s="831"/>
      <c r="BK31" s="831"/>
      <c r="BL31" s="831"/>
      <c r="BM31" s="831"/>
      <c r="BN31" s="831"/>
      <c r="BO31" s="831"/>
    </row>
    <row r="32" spans="1:67">
      <c r="A32" s="5" t="s">
        <v>808</v>
      </c>
      <c r="B32" s="779">
        <v>0.59478900000000068</v>
      </c>
      <c r="C32" s="779">
        <v>0.52295000000000003</v>
      </c>
      <c r="D32" s="779">
        <v>0.55304999999999993</v>
      </c>
      <c r="E32" s="780">
        <v>0.63900000000000001</v>
      </c>
      <c r="F32" s="779">
        <v>0.63261999999999996</v>
      </c>
      <c r="G32" s="779">
        <v>0.63024999999999998</v>
      </c>
      <c r="H32" s="779">
        <v>0.65800999999999998</v>
      </c>
      <c r="I32" s="780">
        <v>0.75826000000000005</v>
      </c>
      <c r="J32" s="779">
        <v>0.74792999999999998</v>
      </c>
      <c r="K32" s="779">
        <v>0.71931</v>
      </c>
      <c r="L32" s="779">
        <v>0.72587000000000002</v>
      </c>
      <c r="M32" s="780">
        <v>0.83880999999999994</v>
      </c>
      <c r="N32" s="779">
        <v>0.84960000000000002</v>
      </c>
      <c r="O32" s="779">
        <v>0.81054000000000004</v>
      </c>
      <c r="P32" s="779">
        <v>0.84882999999999997</v>
      </c>
      <c r="Q32" s="780">
        <v>0.98712</v>
      </c>
      <c r="R32" s="779"/>
      <c r="S32" s="779"/>
      <c r="T32" s="779"/>
      <c r="U32" s="781"/>
      <c r="W32" s="473">
        <f>Q32/M32-1</f>
        <v>0.17681000464944385</v>
      </c>
      <c r="X32" s="173">
        <f>Q32/P32-1</f>
        <v>0.16291836999163567</v>
      </c>
      <c r="Y32" s="834">
        <f>SUM($N32:Q32)</f>
        <v>3.4960900000000001</v>
      </c>
      <c r="Z32" s="834">
        <f>SUM($J32:M32)</f>
        <v>3.0319199999999999</v>
      </c>
      <c r="AA32" s="175">
        <f>Y32/Z32-1</f>
        <v>0.15309440882345182</v>
      </c>
      <c r="AB32" s="5" t="s">
        <v>808</v>
      </c>
      <c r="AC32" s="831"/>
      <c r="AD32" s="831"/>
      <c r="AE32" s="831"/>
      <c r="AF32" s="831"/>
      <c r="AG32" s="831"/>
      <c r="AH32" s="831"/>
      <c r="AI32" s="831"/>
      <c r="AJ32" s="831"/>
      <c r="AK32" s="831"/>
      <c r="AL32" s="831"/>
      <c r="AM32" s="831"/>
      <c r="AN32" s="831"/>
      <c r="AO32" s="831"/>
      <c r="AP32" s="831"/>
      <c r="AQ32" s="831"/>
      <c r="AR32" s="831"/>
      <c r="AS32" s="831"/>
      <c r="AT32" s="831"/>
      <c r="AU32" s="831"/>
      <c r="AV32" s="831"/>
      <c r="AW32" s="831"/>
      <c r="AX32" s="831"/>
      <c r="AY32" s="831"/>
      <c r="AZ32" s="831"/>
      <c r="BA32" s="831"/>
      <c r="BB32" s="831"/>
      <c r="BC32" s="831"/>
      <c r="BD32" s="831"/>
      <c r="BE32" s="831"/>
      <c r="BF32" s="831"/>
      <c r="BG32" s="831"/>
      <c r="BH32" s="831"/>
      <c r="BI32" s="831"/>
      <c r="BJ32" s="831"/>
      <c r="BK32" s="831"/>
      <c r="BL32" s="831"/>
      <c r="BM32" s="831"/>
      <c r="BN32" s="831"/>
      <c r="BO32" s="831"/>
    </row>
    <row r="33" spans="1:67">
      <c r="A33" s="5"/>
      <c r="B33" s="779"/>
      <c r="C33" s="779"/>
      <c r="D33" s="779"/>
      <c r="E33" s="780"/>
      <c r="F33" s="779"/>
      <c r="G33" s="779"/>
      <c r="H33" s="779"/>
      <c r="I33" s="780"/>
      <c r="J33" s="779"/>
      <c r="K33" s="779"/>
      <c r="L33" s="779"/>
      <c r="M33" s="780"/>
      <c r="N33" s="779"/>
      <c r="O33" s="779"/>
      <c r="P33" s="779"/>
      <c r="Q33" s="780"/>
      <c r="R33" s="779"/>
      <c r="S33" s="779"/>
      <c r="T33" s="779"/>
      <c r="U33" s="781"/>
      <c r="W33" s="473"/>
      <c r="AA33" s="116"/>
      <c r="AC33" s="831"/>
      <c r="AD33" s="831"/>
      <c r="AE33" s="831"/>
      <c r="AF33" s="831"/>
      <c r="AG33" s="831"/>
      <c r="AH33" s="831"/>
      <c r="AI33" s="831"/>
      <c r="AJ33" s="831"/>
      <c r="AK33" s="831"/>
      <c r="AL33" s="831"/>
      <c r="AM33" s="831"/>
      <c r="AN33" s="831"/>
      <c r="AO33" s="831"/>
      <c r="AP33" s="831"/>
      <c r="AQ33" s="831"/>
      <c r="AR33" s="831"/>
      <c r="AS33" s="831"/>
      <c r="AT33" s="831"/>
      <c r="AU33" s="831"/>
      <c r="AV33" s="831"/>
      <c r="AW33" s="831"/>
      <c r="AX33" s="831"/>
      <c r="AY33" s="831"/>
      <c r="AZ33" s="831"/>
      <c r="BA33" s="831"/>
      <c r="BB33" s="831"/>
      <c r="BC33" s="831"/>
      <c r="BD33" s="831"/>
      <c r="BE33" s="831"/>
      <c r="BF33" s="831"/>
      <c r="BG33" s="831"/>
      <c r="BH33" s="831"/>
      <c r="BI33" s="831"/>
      <c r="BJ33" s="831"/>
      <c r="BK33" s="831"/>
      <c r="BL33" s="831"/>
      <c r="BM33" s="831"/>
      <c r="BN33" s="831"/>
      <c r="BO33" s="831"/>
    </row>
    <row r="34" spans="1:67">
      <c r="A34" s="653" t="s">
        <v>787</v>
      </c>
      <c r="B34" s="776">
        <f>SUM(B29:B32)</f>
        <v>3.4697013236300007</v>
      </c>
      <c r="C34" s="776">
        <f t="shared" ref="C34:U34" si="3">SUM(C29:C32)</f>
        <v>2.8892099999999994</v>
      </c>
      <c r="D34" s="776">
        <f t="shared" si="3"/>
        <v>3.8909399999999996</v>
      </c>
      <c r="E34" s="777">
        <f t="shared" si="3"/>
        <v>5.19564</v>
      </c>
      <c r="F34" s="776">
        <f t="shared" si="3"/>
        <v>4.3513500000000001</v>
      </c>
      <c r="G34" s="776">
        <f t="shared" si="3"/>
        <v>5.5906600000000006</v>
      </c>
      <c r="H34" s="776">
        <f t="shared" si="3"/>
        <v>4.2588799999999996</v>
      </c>
      <c r="I34" s="777">
        <f t="shared" si="3"/>
        <v>6.1069199999999997</v>
      </c>
      <c r="J34" s="776">
        <f t="shared" si="3"/>
        <v>4.5064500000000001</v>
      </c>
      <c r="K34" s="776">
        <f t="shared" si="3"/>
        <v>5.9125200000000007</v>
      </c>
      <c r="L34" s="776">
        <f t="shared" si="3"/>
        <v>4.2144499999999994</v>
      </c>
      <c r="M34" s="777">
        <f t="shared" si="3"/>
        <v>6.0437099999999999</v>
      </c>
      <c r="N34" s="776">
        <f t="shared" si="3"/>
        <v>4.8980899999999998</v>
      </c>
      <c r="O34" s="776">
        <f t="shared" si="3"/>
        <v>5.9183799999999991</v>
      </c>
      <c r="P34" s="776">
        <f t="shared" si="3"/>
        <v>4.3518600000000003</v>
      </c>
      <c r="Q34" s="777">
        <f t="shared" si="3"/>
        <v>6.40435</v>
      </c>
      <c r="R34" s="776">
        <f t="shared" si="3"/>
        <v>0</v>
      </c>
      <c r="S34" s="776">
        <f t="shared" si="3"/>
        <v>0</v>
      </c>
      <c r="T34" s="776">
        <f t="shared" si="3"/>
        <v>0</v>
      </c>
      <c r="U34" s="778">
        <f t="shared" si="3"/>
        <v>0</v>
      </c>
      <c r="W34" s="835">
        <f>Q34/M34-1</f>
        <v>5.9671956463827724E-2</v>
      </c>
      <c r="X34" s="832">
        <f>Q34/P34-1</f>
        <v>0.47163511693850446</v>
      </c>
      <c r="Y34" s="833">
        <f>SUM($N34:Q34)</f>
        <v>21.572679999999998</v>
      </c>
      <c r="Z34" s="833">
        <f>SUM($J34:M34)</f>
        <v>20.677130000000002</v>
      </c>
      <c r="AA34" s="836">
        <f>Y34/Z34-1</f>
        <v>4.3311136506855474E-2</v>
      </c>
      <c r="AC34" s="831"/>
      <c r="AD34" s="831"/>
      <c r="AE34" s="831"/>
      <c r="AF34" s="831"/>
      <c r="AG34" s="831"/>
      <c r="AH34" s="831"/>
      <c r="AI34" s="831"/>
      <c r="AJ34" s="831"/>
      <c r="AK34" s="831"/>
      <c r="AL34" s="831"/>
      <c r="AM34" s="831"/>
      <c r="AN34" s="831"/>
      <c r="AO34" s="831"/>
      <c r="AP34" s="831"/>
      <c r="AQ34" s="831"/>
      <c r="AR34" s="831"/>
      <c r="AS34" s="831"/>
      <c r="AT34" s="831"/>
      <c r="AU34" s="831"/>
      <c r="AV34" s="831"/>
      <c r="AW34" s="831"/>
      <c r="AX34" s="831"/>
      <c r="AY34" s="831"/>
      <c r="AZ34" s="831"/>
      <c r="BA34" s="831"/>
      <c r="BB34" s="831"/>
      <c r="BC34" s="831"/>
      <c r="BD34" s="831"/>
      <c r="BE34" s="831"/>
      <c r="BF34" s="831"/>
      <c r="BG34" s="831"/>
      <c r="BH34" s="831"/>
      <c r="BI34" s="831"/>
      <c r="BJ34" s="831"/>
      <c r="BK34" s="831"/>
      <c r="BL34" s="831"/>
      <c r="BM34" s="831"/>
      <c r="BN34" s="831"/>
      <c r="BO34" s="831"/>
    </row>
    <row r="35" spans="1:67">
      <c r="A35" s="5"/>
      <c r="E35" s="115"/>
      <c r="I35" s="115"/>
      <c r="M35" s="115"/>
      <c r="Q35" s="115"/>
      <c r="U35" s="116"/>
      <c r="W35" s="6"/>
      <c r="AA35" s="116"/>
      <c r="AC35" s="831"/>
      <c r="AD35" s="831"/>
      <c r="AE35" s="831"/>
      <c r="AF35" s="831"/>
      <c r="AG35" s="831"/>
      <c r="AH35" s="831"/>
      <c r="AI35" s="831"/>
      <c r="AJ35" s="831"/>
      <c r="AK35" s="831"/>
      <c r="AL35" s="831"/>
      <c r="AM35" s="831"/>
      <c r="AN35" s="831"/>
      <c r="AO35" s="831"/>
      <c r="AP35" s="831"/>
      <c r="AQ35" s="831"/>
      <c r="AR35" s="831"/>
      <c r="AS35" s="831"/>
      <c r="AT35" s="831"/>
      <c r="AU35" s="831"/>
      <c r="AV35" s="831"/>
      <c r="AW35" s="831"/>
      <c r="AX35" s="831"/>
      <c r="AY35" s="831"/>
      <c r="AZ35" s="831"/>
      <c r="BA35" s="831"/>
      <c r="BB35" s="831"/>
      <c r="BC35" s="831"/>
      <c r="BD35" s="831"/>
      <c r="BE35" s="831"/>
      <c r="BF35" s="831"/>
      <c r="BG35" s="831"/>
      <c r="BH35" s="831"/>
      <c r="BI35" s="831"/>
      <c r="BJ35" s="831"/>
      <c r="BK35" s="831"/>
      <c r="BL35" s="831"/>
      <c r="BM35" s="831"/>
      <c r="BN35" s="831"/>
      <c r="BO35" s="831"/>
    </row>
    <row r="36" spans="1:67">
      <c r="A36" s="5" t="s">
        <v>446</v>
      </c>
      <c r="B36" s="779">
        <f>B34-B37</f>
        <v>2.4658864184950007</v>
      </c>
      <c r="C36" s="779">
        <f t="shared" ref="C36:J36" si="4">C34-C37</f>
        <v>2.0092972828669993</v>
      </c>
      <c r="D36" s="779">
        <f t="shared" si="4"/>
        <v>3.1751453066929995</v>
      </c>
      <c r="E36" s="780">
        <f t="shared" si="4"/>
        <v>4.3354504184390006</v>
      </c>
      <c r="F36" s="779">
        <f t="shared" si="4"/>
        <v>3.4298600825390002</v>
      </c>
      <c r="G36" s="779">
        <f t="shared" si="4"/>
        <v>4.7736913498390008</v>
      </c>
      <c r="H36" s="779">
        <f t="shared" si="4"/>
        <v>3.3711895939169993</v>
      </c>
      <c r="I36" s="780">
        <f t="shared" si="4"/>
        <v>5.1375405609999998</v>
      </c>
      <c r="J36" s="779">
        <f t="shared" si="4"/>
        <v>3.4032329107541512</v>
      </c>
      <c r="K36" s="779">
        <f t="shared" ref="K36:L36" si="5">K34-K37</f>
        <v>4.9273968269400008</v>
      </c>
      <c r="L36" s="779">
        <f t="shared" si="5"/>
        <v>3.2791565374799996</v>
      </c>
      <c r="M36" s="780">
        <f t="shared" ref="M36:N36" si="6">M34-M37</f>
        <v>4.9824488285899999</v>
      </c>
      <c r="N36" s="779">
        <f t="shared" si="6"/>
        <v>3.7749473793199999</v>
      </c>
      <c r="O36" s="779">
        <f t="shared" ref="O36:Q36" si="7">O34-O37</f>
        <v>4.7966633525899987</v>
      </c>
      <c r="P36" s="779">
        <f t="shared" si="7"/>
        <v>3.2411414727300003</v>
      </c>
      <c r="Q36" s="780">
        <f t="shared" si="7"/>
        <v>5.0973518744400002</v>
      </c>
      <c r="R36" s="779"/>
      <c r="S36" s="779"/>
      <c r="T36" s="779"/>
      <c r="U36" s="781"/>
      <c r="W36" s="473">
        <f>Q36/M36-1</f>
        <v>2.3061560650792901E-2</v>
      </c>
      <c r="X36" s="173">
        <f>Q36/P36-1</f>
        <v>0.57270267815447173</v>
      </c>
      <c r="Y36" s="834">
        <f>SUM($N36:Q36)</f>
        <v>16.91010407908</v>
      </c>
      <c r="Z36" s="834">
        <f>SUM($J36:M36)</f>
        <v>16.592235103764153</v>
      </c>
      <c r="AA36" s="175">
        <f>Y36/Z36-1</f>
        <v>1.9157694748655807E-2</v>
      </c>
      <c r="AC36" s="831"/>
      <c r="AD36" s="831"/>
      <c r="AE36" s="831"/>
      <c r="AF36" s="831"/>
      <c r="AG36" s="831"/>
      <c r="AH36" s="831"/>
      <c r="AI36" s="831"/>
      <c r="AJ36" s="831"/>
      <c r="AK36" s="831"/>
      <c r="AL36" s="831"/>
      <c r="AM36" s="831"/>
      <c r="AN36" s="831"/>
      <c r="AO36" s="831"/>
      <c r="AP36" s="831"/>
      <c r="AQ36" s="831"/>
      <c r="AR36" s="831"/>
      <c r="AS36" s="831"/>
      <c r="AT36" s="831"/>
      <c r="AU36" s="831"/>
      <c r="AV36" s="831"/>
      <c r="AW36" s="831"/>
      <c r="AX36" s="831"/>
      <c r="AY36" s="831"/>
      <c r="AZ36" s="831"/>
      <c r="BA36" s="831"/>
      <c r="BB36" s="831"/>
      <c r="BC36" s="831"/>
      <c r="BD36" s="831"/>
      <c r="BE36" s="831"/>
      <c r="BF36" s="831"/>
      <c r="BG36" s="831"/>
      <c r="BH36" s="831"/>
      <c r="BI36" s="831"/>
      <c r="BJ36" s="831"/>
      <c r="BK36" s="831"/>
      <c r="BL36" s="831"/>
      <c r="BM36" s="831"/>
      <c r="BN36" s="831"/>
      <c r="BO36" s="831"/>
    </row>
    <row r="37" spans="1:67">
      <c r="A37" s="5" t="s">
        <v>809</v>
      </c>
      <c r="B37" s="779">
        <f>'New Summary Monthly'!BS59/1000</f>
        <v>1.003814905135</v>
      </c>
      <c r="C37" s="779">
        <f>'New Summary Monthly'!BT59/1000</f>
        <v>0.8799127171329999</v>
      </c>
      <c r="D37" s="779">
        <f>'New Summary Monthly'!BU59/1000</f>
        <v>0.71579469330699996</v>
      </c>
      <c r="E37" s="780">
        <f>'New Summary Monthly'!BV59/1000</f>
        <v>0.86018958156099989</v>
      </c>
      <c r="F37" s="779">
        <f>'New Summary Monthly'!BW59/1000</f>
        <v>0.92148991746099995</v>
      </c>
      <c r="G37" s="779">
        <f>'New Summary Monthly'!BX59/1000</f>
        <v>0.81696865016100018</v>
      </c>
      <c r="H37" s="779">
        <f>'New Summary Monthly'!BY59/1000</f>
        <v>0.88769040608299998</v>
      </c>
      <c r="I37" s="780">
        <f>'New Summary Monthly'!BZ59/1000</f>
        <v>0.96937943900000023</v>
      </c>
      <c r="J37" s="779">
        <f>'New Summary Monthly'!CA59/1000</f>
        <v>1.103217089245849</v>
      </c>
      <c r="K37" s="779">
        <f>'New Summary Monthly'!CB59/1000</f>
        <v>0.98512317305999997</v>
      </c>
      <c r="L37" s="779">
        <f>'New Summary Monthly'!CC59/1000</f>
        <v>0.93529346252000001</v>
      </c>
      <c r="M37" s="780">
        <f>'New Summary Monthly'!CD59/1000</f>
        <v>1.06126117141</v>
      </c>
      <c r="N37" s="779">
        <f>'New Summary Monthly'!CE59/1000</f>
        <v>1.1231426206799999</v>
      </c>
      <c r="O37" s="779">
        <f>'New Summary Monthly'!CF59/1000</f>
        <v>1.12171664741</v>
      </c>
      <c r="P37" s="779">
        <f>'New Summary Monthly'!CG59/1000</f>
        <v>1.11071852727</v>
      </c>
      <c r="Q37" s="780">
        <f>'New Summary Monthly'!CH59/1000</f>
        <v>1.3069981255600001</v>
      </c>
      <c r="R37" s="779"/>
      <c r="S37" s="779"/>
      <c r="T37" s="779"/>
      <c r="U37" s="781"/>
      <c r="W37" s="473">
        <f>Q37/M37-1</f>
        <v>0.23155181850619488</v>
      </c>
      <c r="X37" s="173">
        <f>Q37/P37-1</f>
        <v>0.17671407604267619</v>
      </c>
      <c r="Y37" s="834">
        <f>SUM($N37:Q37)</f>
        <v>4.6625759209200002</v>
      </c>
      <c r="Z37" s="834">
        <f>SUM($J37:M37)</f>
        <v>4.0848948962358493</v>
      </c>
      <c r="AA37" s="175">
        <f>Y37/Z37-1</f>
        <v>0.14141882211375201</v>
      </c>
      <c r="AC37" s="831"/>
      <c r="AD37" s="831"/>
      <c r="AE37" s="831"/>
      <c r="AF37" s="831"/>
      <c r="AG37" s="831"/>
      <c r="AH37" s="831"/>
      <c r="AI37" s="831"/>
      <c r="AJ37" s="831"/>
      <c r="AK37" s="831"/>
      <c r="AL37" s="831"/>
      <c r="AM37" s="831"/>
      <c r="AN37" s="831"/>
      <c r="AO37" s="831"/>
      <c r="AP37" s="831"/>
      <c r="AQ37" s="831"/>
      <c r="AR37" s="831"/>
      <c r="AS37" s="831"/>
      <c r="AT37" s="831"/>
      <c r="AU37" s="831"/>
      <c r="AV37" s="831"/>
      <c r="AW37" s="831"/>
      <c r="AX37" s="831"/>
      <c r="AY37" s="831"/>
      <c r="AZ37" s="831"/>
      <c r="BA37" s="831"/>
      <c r="BB37" s="831"/>
      <c r="BC37" s="831"/>
      <c r="BD37" s="831"/>
      <c r="BE37" s="831"/>
      <c r="BF37" s="831"/>
      <c r="BG37" s="831"/>
      <c r="BH37" s="831"/>
      <c r="BI37" s="831"/>
      <c r="BJ37" s="831"/>
      <c r="BK37" s="831"/>
      <c r="BL37" s="831"/>
      <c r="BM37" s="831"/>
      <c r="BN37" s="831"/>
      <c r="BO37" s="831"/>
    </row>
    <row r="38" spans="1:67">
      <c r="A38" s="5"/>
      <c r="B38" s="779"/>
      <c r="C38" s="779"/>
      <c r="D38" s="779"/>
      <c r="E38" s="780"/>
      <c r="F38" s="779"/>
      <c r="G38" s="779"/>
      <c r="H38" s="779"/>
      <c r="I38" s="780"/>
      <c r="J38" s="779"/>
      <c r="K38" s="779"/>
      <c r="L38" s="779"/>
      <c r="M38" s="780"/>
      <c r="N38" s="779"/>
      <c r="O38" s="779"/>
      <c r="P38" s="779"/>
      <c r="Q38" s="780"/>
      <c r="R38" s="779"/>
      <c r="S38" s="779"/>
      <c r="T38" s="779"/>
      <c r="U38" s="781"/>
      <c r="W38" s="473"/>
      <c r="AA38" s="116"/>
      <c r="AC38" s="831"/>
      <c r="AD38" s="831"/>
      <c r="AE38" s="831"/>
      <c r="AF38" s="831"/>
      <c r="AG38" s="831"/>
      <c r="AH38" s="831"/>
      <c r="AI38" s="831"/>
      <c r="AJ38" s="831"/>
      <c r="AK38" s="831"/>
      <c r="AL38" s="831"/>
      <c r="AM38" s="831"/>
      <c r="AN38" s="831"/>
      <c r="AO38" s="831"/>
      <c r="AP38" s="831"/>
      <c r="AQ38" s="831"/>
      <c r="AR38" s="831"/>
      <c r="AS38" s="831"/>
      <c r="AT38" s="831"/>
      <c r="AU38" s="831"/>
      <c r="AV38" s="831"/>
      <c r="AW38" s="831"/>
      <c r="AX38" s="831"/>
      <c r="AY38" s="831"/>
      <c r="AZ38" s="831"/>
      <c r="BA38" s="831"/>
      <c r="BB38" s="831"/>
      <c r="BC38" s="831"/>
      <c r="BD38" s="831"/>
      <c r="BE38" s="831"/>
      <c r="BF38" s="831"/>
      <c r="BG38" s="831"/>
      <c r="BH38" s="831"/>
      <c r="BI38" s="831"/>
      <c r="BJ38" s="831"/>
      <c r="BK38" s="831"/>
      <c r="BL38" s="831"/>
      <c r="BM38" s="831"/>
      <c r="BN38" s="831"/>
      <c r="BO38" s="831"/>
    </row>
    <row r="39" spans="1:67">
      <c r="A39" s="653" t="s">
        <v>787</v>
      </c>
      <c r="B39" s="776">
        <f>SUM(B36:B37)</f>
        <v>3.4697013236300007</v>
      </c>
      <c r="C39" s="776">
        <f t="shared" ref="C39:M39" si="8">SUM(C36:C37)</f>
        <v>2.8892099999999994</v>
      </c>
      <c r="D39" s="776">
        <f t="shared" si="8"/>
        <v>3.8909399999999996</v>
      </c>
      <c r="E39" s="777">
        <f t="shared" si="8"/>
        <v>5.1956400000000009</v>
      </c>
      <c r="F39" s="776">
        <f t="shared" si="8"/>
        <v>4.3513500000000001</v>
      </c>
      <c r="G39" s="776">
        <f t="shared" si="8"/>
        <v>5.5906600000000006</v>
      </c>
      <c r="H39" s="776">
        <f t="shared" si="8"/>
        <v>4.2588799999999996</v>
      </c>
      <c r="I39" s="777">
        <f t="shared" si="8"/>
        <v>6.1069199999999997</v>
      </c>
      <c r="J39" s="776">
        <f t="shared" si="8"/>
        <v>4.5064500000000001</v>
      </c>
      <c r="K39" s="776">
        <f t="shared" si="8"/>
        <v>5.9125200000000007</v>
      </c>
      <c r="L39" s="776">
        <f t="shared" si="8"/>
        <v>4.2144499999999994</v>
      </c>
      <c r="M39" s="777">
        <f t="shared" si="8"/>
        <v>6.0437099999999999</v>
      </c>
      <c r="N39" s="776">
        <f t="shared" ref="N39:O39" si="9">SUM(N36:N37)</f>
        <v>4.8980899999999998</v>
      </c>
      <c r="O39" s="776">
        <f t="shared" si="9"/>
        <v>5.9183799999999991</v>
      </c>
      <c r="P39" s="776">
        <f t="shared" ref="P39:S39" si="10">SUM(P36:P37)</f>
        <v>4.3518600000000003</v>
      </c>
      <c r="Q39" s="777">
        <f t="shared" si="10"/>
        <v>6.40435</v>
      </c>
      <c r="R39" s="776">
        <f t="shared" si="10"/>
        <v>0</v>
      </c>
      <c r="S39" s="776">
        <f t="shared" si="10"/>
        <v>0</v>
      </c>
      <c r="T39" s="776">
        <f t="shared" ref="T39:U39" si="11">SUM(T36:T37)</f>
        <v>0</v>
      </c>
      <c r="U39" s="778">
        <f t="shared" si="11"/>
        <v>0</v>
      </c>
      <c r="W39" s="835">
        <f>Q39/M39-1</f>
        <v>5.9671956463827724E-2</v>
      </c>
      <c r="X39" s="832">
        <f>Q39/P39-1</f>
        <v>0.47163511693850446</v>
      </c>
      <c r="Y39" s="833">
        <f>SUM($N39:Q39)</f>
        <v>21.572679999999998</v>
      </c>
      <c r="Z39" s="833">
        <f>SUM($J39:M39)</f>
        <v>20.677130000000002</v>
      </c>
      <c r="AA39" s="836">
        <f>Y39/Z39-1</f>
        <v>4.3311136506855474E-2</v>
      </c>
      <c r="AC39" s="831"/>
      <c r="AD39" s="831"/>
      <c r="AE39" s="831"/>
      <c r="AF39" s="831"/>
      <c r="AG39" s="831"/>
      <c r="AH39" s="831"/>
      <c r="AI39" s="831"/>
      <c r="AJ39" s="831"/>
      <c r="AK39" s="831"/>
      <c r="AL39" s="831"/>
      <c r="AM39" s="831"/>
      <c r="AN39" s="831"/>
      <c r="AO39" s="831"/>
      <c r="AP39" s="831"/>
      <c r="AQ39" s="831"/>
      <c r="AR39" s="831"/>
      <c r="AS39" s="831"/>
      <c r="AT39" s="831"/>
      <c r="AU39" s="831"/>
      <c r="AV39" s="831"/>
      <c r="AW39" s="831"/>
      <c r="AX39" s="831"/>
      <c r="AY39" s="831"/>
      <c r="AZ39" s="831"/>
      <c r="BA39" s="831"/>
      <c r="BB39" s="831"/>
      <c r="BC39" s="831"/>
      <c r="BD39" s="831"/>
      <c r="BE39" s="831"/>
      <c r="BF39" s="831"/>
      <c r="BG39" s="831"/>
      <c r="BH39" s="831"/>
      <c r="BI39" s="831"/>
      <c r="BJ39" s="831"/>
      <c r="BK39" s="831"/>
      <c r="BL39" s="831"/>
      <c r="BM39" s="831"/>
      <c r="BN39" s="831"/>
      <c r="BO39" s="831"/>
    </row>
    <row r="40" spans="1:67">
      <c r="A40" s="795" t="s">
        <v>820</v>
      </c>
      <c r="B40" s="793">
        <f>B37/(B39-B31)</f>
        <v>0.5865798683575576</v>
      </c>
      <c r="C40" s="793">
        <f t="shared" ref="C40:M40" si="12">C37/(C39-C31)</f>
        <v>0.65681303390611134</v>
      </c>
      <c r="D40" s="793">
        <f t="shared" si="12"/>
        <v>0.29292149961000807</v>
      </c>
      <c r="E40" s="796">
        <f t="shared" si="12"/>
        <v>0.23548257308233495</v>
      </c>
      <c r="F40" s="793">
        <f t="shared" si="12"/>
        <v>0.33023696238196093</v>
      </c>
      <c r="G40" s="793">
        <f t="shared" si="12"/>
        <v>0.19929418613400793</v>
      </c>
      <c r="H40" s="793">
        <f t="shared" si="12"/>
        <v>0.32284229621037169</v>
      </c>
      <c r="I40" s="796">
        <f>I37/(I39-I31)</f>
        <v>0.21682169403649415</v>
      </c>
      <c r="J40" s="793">
        <f t="shared" si="12"/>
        <v>0.35100654762340844</v>
      </c>
      <c r="K40" s="793">
        <f t="shared" si="12"/>
        <v>0.22468876469930818</v>
      </c>
      <c r="L40" s="793">
        <f t="shared" si="12"/>
        <v>0.34605508597603174</v>
      </c>
      <c r="M40" s="796">
        <f t="shared" si="12"/>
        <v>0.23693731110183341</v>
      </c>
      <c r="N40" s="793">
        <f t="shared" ref="N40:O40" si="13">N37/(N39-N31)</f>
        <v>0.36376735470748461</v>
      </c>
      <c r="O40" s="793">
        <f t="shared" si="13"/>
        <v>0.25385613615964847</v>
      </c>
      <c r="P40" s="793">
        <f t="shared" ref="P40:S40" si="14">P37/(P39-P31)</f>
        <v>0.3909218828380166</v>
      </c>
      <c r="Q40" s="796">
        <f t="shared" si="14"/>
        <v>0.27573451086273171</v>
      </c>
      <c r="R40" s="793" t="e">
        <f t="shared" si="14"/>
        <v>#DIV/0!</v>
      </c>
      <c r="S40" s="793" t="e">
        <f t="shared" si="14"/>
        <v>#DIV/0!</v>
      </c>
      <c r="T40" s="793" t="e">
        <f t="shared" ref="T40:U40" si="15">T37/(T39-T31)</f>
        <v>#DIV/0!</v>
      </c>
      <c r="U40" s="794" t="e">
        <f t="shared" si="15"/>
        <v>#DIV/0!</v>
      </c>
      <c r="W40" s="6"/>
      <c r="AA40" s="116"/>
      <c r="AC40" s="831"/>
      <c r="AD40" s="831"/>
      <c r="AE40" s="831"/>
      <c r="AF40" s="831"/>
      <c r="AG40" s="831"/>
      <c r="AH40" s="831"/>
      <c r="AI40" s="831"/>
      <c r="AJ40" s="831"/>
      <c r="AK40" s="831"/>
      <c r="AL40" s="831"/>
      <c r="AM40" s="831"/>
      <c r="AN40" s="831"/>
      <c r="AO40" s="831"/>
      <c r="AP40" s="831"/>
      <c r="AQ40" s="831"/>
      <c r="AR40" s="831"/>
      <c r="AS40" s="831"/>
      <c r="AT40" s="831"/>
      <c r="AU40" s="831"/>
      <c r="AV40" s="831"/>
      <c r="AW40" s="831"/>
      <c r="AX40" s="831"/>
      <c r="AY40" s="831"/>
      <c r="AZ40" s="831"/>
      <c r="BA40" s="831"/>
      <c r="BB40" s="831"/>
      <c r="BC40" s="831"/>
      <c r="BD40" s="831"/>
      <c r="BE40" s="831"/>
      <c r="BF40" s="831"/>
      <c r="BG40" s="831"/>
      <c r="BH40" s="831"/>
      <c r="BI40" s="831"/>
      <c r="BJ40" s="831"/>
      <c r="BK40" s="831"/>
      <c r="BL40" s="831"/>
      <c r="BM40" s="831"/>
      <c r="BN40" s="831"/>
      <c r="BO40" s="831"/>
    </row>
    <row r="41" spans="1:67" ht="16" thickBot="1">
      <c r="A41" s="217"/>
      <c r="B41" s="218"/>
      <c r="C41" s="218"/>
      <c r="D41" s="218"/>
      <c r="E41" s="219"/>
      <c r="F41" s="218"/>
      <c r="G41" s="218"/>
      <c r="H41" s="218"/>
      <c r="I41" s="219"/>
      <c r="J41" s="218"/>
      <c r="K41" s="218"/>
      <c r="L41" s="218"/>
      <c r="M41" s="219"/>
      <c r="N41" s="218"/>
      <c r="O41" s="218"/>
      <c r="P41" s="218"/>
      <c r="Q41" s="219"/>
      <c r="R41" s="218"/>
      <c r="S41" s="218"/>
      <c r="T41" s="218"/>
      <c r="U41" s="220"/>
      <c r="W41" s="481"/>
      <c r="X41" s="218"/>
      <c r="Y41" s="218"/>
      <c r="Z41" s="218"/>
      <c r="AA41" s="220"/>
      <c r="AC41" s="831"/>
      <c r="AD41" s="831"/>
      <c r="AE41" s="831"/>
      <c r="AF41" s="831"/>
      <c r="AG41" s="831"/>
      <c r="AH41" s="831"/>
      <c r="AI41" s="831"/>
      <c r="AJ41" s="831"/>
      <c r="AK41" s="831"/>
      <c r="AL41" s="831"/>
      <c r="AM41" s="831"/>
      <c r="AN41" s="831"/>
      <c r="AO41" s="831"/>
      <c r="AP41" s="831"/>
      <c r="AQ41" s="831"/>
      <c r="AR41" s="831"/>
      <c r="AS41" s="831"/>
      <c r="AT41" s="831"/>
      <c r="AU41" s="831"/>
      <c r="AV41" s="831"/>
      <c r="AW41" s="831"/>
      <c r="AX41" s="831"/>
      <c r="AY41" s="831"/>
      <c r="AZ41" s="831"/>
      <c r="BA41" s="831"/>
      <c r="BB41" s="831"/>
      <c r="BC41" s="831"/>
      <c r="BD41" s="831"/>
      <c r="BE41" s="831"/>
      <c r="BF41" s="831"/>
      <c r="BG41" s="831"/>
      <c r="BH41" s="831"/>
      <c r="BI41" s="831"/>
      <c r="BJ41" s="831"/>
      <c r="BK41" s="831"/>
      <c r="BL41" s="831"/>
      <c r="BM41" s="831"/>
      <c r="BN41" s="831"/>
      <c r="BO41" s="831"/>
    </row>
    <row r="42" spans="1:67">
      <c r="AC42" s="831"/>
      <c r="AD42" s="831"/>
      <c r="AE42" s="831"/>
      <c r="AF42" s="831"/>
      <c r="AG42" s="831"/>
      <c r="AH42" s="831"/>
      <c r="AI42" s="831"/>
      <c r="AJ42" s="831"/>
      <c r="AK42" s="831"/>
      <c r="AL42" s="831"/>
      <c r="AM42" s="831"/>
      <c r="AN42" s="831"/>
      <c r="AO42" s="831"/>
      <c r="AP42" s="831"/>
      <c r="AQ42" s="831"/>
      <c r="AR42" s="831"/>
      <c r="AS42" s="831"/>
      <c r="AT42" s="831"/>
      <c r="AU42" s="831"/>
      <c r="AV42" s="831"/>
      <c r="AW42" s="831"/>
      <c r="AX42" s="831"/>
      <c r="AY42" s="831"/>
      <c r="AZ42" s="831"/>
      <c r="BA42" s="831"/>
      <c r="BB42" s="831"/>
      <c r="BC42" s="831"/>
      <c r="BD42" s="831"/>
      <c r="BE42" s="831"/>
      <c r="BF42" s="831"/>
      <c r="BG42" s="831"/>
      <c r="BH42" s="831"/>
      <c r="BI42" s="831"/>
      <c r="BJ42" s="831"/>
      <c r="BK42" s="831"/>
      <c r="BL42" s="831"/>
      <c r="BM42" s="831"/>
      <c r="BN42" s="831"/>
      <c r="BO42" s="831"/>
    </row>
    <row r="43" spans="1:67" ht="21" customHeight="1">
      <c r="A43" s="435" t="s">
        <v>812</v>
      </c>
      <c r="AC43" s="831"/>
      <c r="AD43" s="831"/>
      <c r="AE43" s="831"/>
      <c r="AF43" s="831"/>
      <c r="AG43" s="831"/>
      <c r="AH43" s="831"/>
      <c r="AI43" s="831"/>
      <c r="AJ43" s="831"/>
      <c r="AK43" s="831"/>
      <c r="AL43" s="831"/>
      <c r="AM43" s="831"/>
      <c r="AN43" s="831"/>
      <c r="AO43" s="831"/>
      <c r="AP43" s="831"/>
      <c r="AQ43" s="831"/>
      <c r="AR43" s="831"/>
      <c r="AS43" s="831"/>
      <c r="AT43" s="831"/>
      <c r="AU43" s="831"/>
      <c r="AV43" s="831"/>
      <c r="AW43" s="831"/>
      <c r="AX43" s="831"/>
      <c r="AY43" s="831"/>
      <c r="AZ43" s="831"/>
      <c r="BA43" s="831"/>
      <c r="BB43" s="831"/>
      <c r="BC43" s="831"/>
      <c r="BD43" s="831"/>
      <c r="BE43" s="831"/>
      <c r="BF43" s="831"/>
      <c r="BG43" s="831"/>
      <c r="BH43" s="831"/>
      <c r="BI43" s="831"/>
      <c r="BJ43" s="831"/>
      <c r="BK43" s="831"/>
      <c r="BL43" s="831"/>
      <c r="BM43" s="831"/>
      <c r="BN43" s="831"/>
      <c r="BO43" s="831"/>
    </row>
    <row r="44" spans="1:67" ht="16" thickBot="1">
      <c r="AC44" s="831"/>
      <c r="AD44" s="831"/>
      <c r="AE44" s="831"/>
      <c r="AF44" s="831"/>
      <c r="AG44" s="831"/>
      <c r="AH44" s="831"/>
      <c r="AI44" s="831"/>
      <c r="AJ44" s="831"/>
      <c r="AK44" s="831"/>
      <c r="AL44" s="831"/>
      <c r="AM44" s="831"/>
      <c r="AN44" s="831"/>
      <c r="AO44" s="831"/>
      <c r="AP44" s="831"/>
      <c r="AQ44" s="831"/>
      <c r="AR44" s="831"/>
      <c r="AS44" s="831"/>
      <c r="AT44" s="831"/>
      <c r="AU44" s="831"/>
      <c r="AV44" s="831"/>
      <c r="AW44" s="831"/>
      <c r="AX44" s="831"/>
      <c r="AY44" s="831"/>
      <c r="AZ44" s="831"/>
      <c r="BA44" s="831"/>
      <c r="BB44" s="831"/>
      <c r="BC44" s="831"/>
      <c r="BD44" s="831"/>
      <c r="BE44" s="831"/>
      <c r="BF44" s="831"/>
      <c r="BG44" s="831"/>
      <c r="BH44" s="831"/>
      <c r="BI44" s="831"/>
      <c r="BJ44" s="831"/>
      <c r="BK44" s="831"/>
      <c r="BL44" s="831"/>
      <c r="BM44" s="831"/>
      <c r="BN44" s="831"/>
      <c r="BO44" s="831"/>
    </row>
    <row r="45" spans="1:67">
      <c r="A45" s="792" t="s">
        <v>89</v>
      </c>
      <c r="B45" s="770" t="s">
        <v>793</v>
      </c>
      <c r="C45" s="770" t="s">
        <v>794</v>
      </c>
      <c r="D45" s="770" t="s">
        <v>795</v>
      </c>
      <c r="E45" s="771" t="s">
        <v>796</v>
      </c>
      <c r="F45" s="770" t="s">
        <v>797</v>
      </c>
      <c r="G45" s="770" t="s">
        <v>798</v>
      </c>
      <c r="H45" s="770" t="s">
        <v>799</v>
      </c>
      <c r="I45" s="771" t="s">
        <v>800</v>
      </c>
      <c r="J45" s="770" t="s">
        <v>801</v>
      </c>
      <c r="K45" s="770" t="s">
        <v>802</v>
      </c>
      <c r="L45" s="770" t="s">
        <v>803</v>
      </c>
      <c r="M45" s="771" t="s">
        <v>804</v>
      </c>
      <c r="N45" s="770" t="s">
        <v>851</v>
      </c>
      <c r="O45" s="770" t="s">
        <v>852</v>
      </c>
      <c r="P45" s="770" t="s">
        <v>853</v>
      </c>
      <c r="Q45" s="771" t="s">
        <v>854</v>
      </c>
      <c r="R45" s="770" t="s">
        <v>884</v>
      </c>
      <c r="S45" s="770" t="s">
        <v>885</v>
      </c>
      <c r="T45" s="770" t="s">
        <v>886</v>
      </c>
      <c r="U45" s="646" t="s">
        <v>887</v>
      </c>
      <c r="AC45" s="831"/>
      <c r="AD45" s="831"/>
      <c r="AE45" s="831"/>
      <c r="AF45" s="831"/>
      <c r="AG45" s="831"/>
      <c r="AH45" s="831"/>
      <c r="AI45" s="831"/>
      <c r="AJ45" s="831"/>
      <c r="AK45" s="831"/>
      <c r="AL45" s="831"/>
      <c r="AM45" s="831"/>
      <c r="AN45" s="831"/>
      <c r="AO45" s="831"/>
      <c r="AP45" s="831"/>
      <c r="AQ45" s="831"/>
      <c r="AR45" s="831"/>
      <c r="AS45" s="831"/>
      <c r="AT45" s="831"/>
      <c r="AU45" s="831"/>
      <c r="AV45" s="831"/>
      <c r="AW45" s="831"/>
      <c r="AX45" s="831"/>
      <c r="AY45" s="831"/>
      <c r="AZ45" s="831"/>
      <c r="BA45" s="831"/>
      <c r="BB45" s="831"/>
      <c r="BC45" s="831"/>
      <c r="BD45" s="831"/>
      <c r="BE45" s="831"/>
      <c r="BF45" s="831"/>
      <c r="BG45" s="831"/>
      <c r="BH45" s="831"/>
      <c r="BI45" s="831"/>
      <c r="BJ45" s="831"/>
      <c r="BK45" s="831"/>
      <c r="BL45" s="831"/>
      <c r="BM45" s="831"/>
      <c r="BN45" s="831"/>
      <c r="BO45" s="831"/>
    </row>
    <row r="46" spans="1:67" ht="19">
      <c r="A46" s="5"/>
      <c r="E46" s="115"/>
      <c r="I46" s="115"/>
      <c r="M46" s="115"/>
      <c r="Q46" s="115"/>
      <c r="U46" s="116"/>
      <c r="AC46" s="435" t="s">
        <v>845</v>
      </c>
      <c r="AD46" s="831"/>
      <c r="AE46" s="831"/>
      <c r="AF46" s="831"/>
      <c r="AG46" s="831"/>
      <c r="AH46" s="831"/>
      <c r="AI46" s="831"/>
      <c r="AJ46" s="831"/>
      <c r="AK46" s="831"/>
      <c r="AL46" s="831"/>
      <c r="AN46" s="831"/>
      <c r="AO46" s="831"/>
      <c r="AP46" s="831"/>
      <c r="AQ46" s="435" t="s">
        <v>846</v>
      </c>
      <c r="AR46" s="831"/>
      <c r="AS46" s="831"/>
      <c r="AT46" s="831"/>
      <c r="AU46" s="831"/>
      <c r="AV46" s="831"/>
      <c r="AW46" s="831"/>
      <c r="AX46" s="831"/>
      <c r="AY46" s="831"/>
      <c r="AZ46" s="831"/>
      <c r="BB46" s="831"/>
      <c r="BC46" s="831"/>
      <c r="BE46" s="435" t="s">
        <v>844</v>
      </c>
      <c r="BF46" s="831"/>
      <c r="BG46" s="831"/>
      <c r="BH46" s="831"/>
      <c r="BI46" s="831"/>
      <c r="BJ46" s="831"/>
      <c r="BK46" s="831"/>
    </row>
    <row r="47" spans="1:67">
      <c r="A47" s="5" t="s">
        <v>805</v>
      </c>
      <c r="B47" s="173">
        <f t="shared" ref="B47:I50" si="16">B29/B14</f>
        <v>0.101518803590363</v>
      </c>
      <c r="C47" s="173">
        <f t="shared" si="16"/>
        <v>0.11253077013245809</v>
      </c>
      <c r="D47" s="173">
        <f t="shared" si="16"/>
        <v>0.117116227060744</v>
      </c>
      <c r="E47" s="205">
        <f t="shared" si="16"/>
        <v>0.12449209736463158</v>
      </c>
      <c r="F47" s="173">
        <f t="shared" si="16"/>
        <v>0.13607454098956534</v>
      </c>
      <c r="G47" s="173">
        <f t="shared" si="16"/>
        <v>0.12144050384992033</v>
      </c>
      <c r="H47" s="173">
        <f t="shared" si="16"/>
        <v>0.13373752689033433</v>
      </c>
      <c r="I47" s="205">
        <f t="shared" si="16"/>
        <v>0.11004846165241235</v>
      </c>
      <c r="J47" s="173">
        <f t="shared" ref="J47:K47" si="17">J29/J14</f>
        <v>0.13590730737683721</v>
      </c>
      <c r="K47" s="173">
        <f t="shared" si="17"/>
        <v>0.12803829861764304</v>
      </c>
      <c r="L47" s="173">
        <f t="shared" ref="L47:N47" si="18">L29/L14</f>
        <v>0.11579816830200326</v>
      </c>
      <c r="M47" s="205">
        <f t="shared" si="18"/>
        <v>0.10280874183756042</v>
      </c>
      <c r="N47" s="173">
        <f t="shared" si="18"/>
        <v>0.10478160274836991</v>
      </c>
      <c r="O47" s="173">
        <f t="shared" ref="O47:P47" si="19">O29/O14</f>
        <v>0.12776786098486365</v>
      </c>
      <c r="P47" s="173">
        <f t="shared" si="19"/>
        <v>0.11652618768592805</v>
      </c>
      <c r="Q47" s="205">
        <f t="shared" ref="Q47" si="20">Q29/Q14</f>
        <v>0.13118899597351694</v>
      </c>
      <c r="R47" s="173"/>
      <c r="S47" s="173"/>
      <c r="T47" s="173"/>
      <c r="U47" s="175"/>
      <c r="AC47" s="831"/>
      <c r="AD47" s="831"/>
      <c r="AE47" s="831"/>
      <c r="AF47" s="831"/>
      <c r="AG47" s="831"/>
      <c r="AH47" s="831"/>
      <c r="AI47" s="831"/>
      <c r="AJ47" s="831"/>
      <c r="AK47" s="831"/>
      <c r="AL47" s="831"/>
      <c r="AM47" s="831"/>
      <c r="AN47" s="831"/>
      <c r="AO47" s="831"/>
      <c r="AP47" s="831"/>
      <c r="AQ47" s="831"/>
      <c r="AR47" s="831"/>
      <c r="AS47" s="831"/>
      <c r="AT47" s="831"/>
      <c r="AU47" s="831"/>
      <c r="AV47" s="831"/>
      <c r="AW47" s="831"/>
      <c r="AX47" s="831"/>
      <c r="AY47" s="831"/>
      <c r="AZ47" s="831"/>
      <c r="BA47" s="831"/>
      <c r="BB47" s="831"/>
      <c r="BC47" s="831"/>
      <c r="BE47" s="831"/>
      <c r="BF47" s="831"/>
      <c r="BG47" s="831"/>
      <c r="BH47" s="831"/>
      <c r="BI47" s="831"/>
      <c r="BJ47" s="831"/>
      <c r="BK47" s="831"/>
    </row>
    <row r="48" spans="1:67">
      <c r="A48" s="5" t="s">
        <v>806</v>
      </c>
      <c r="B48" s="173">
        <f t="shared" si="16"/>
        <v>0.12718522183627393</v>
      </c>
      <c r="C48" s="173">
        <f t="shared" si="16"/>
        <v>0.25294976574880795</v>
      </c>
      <c r="D48" s="173">
        <f t="shared" si="16"/>
        <v>0.25714956562573371</v>
      </c>
      <c r="E48" s="205">
        <f t="shared" si="16"/>
        <v>0.25970859237427207</v>
      </c>
      <c r="F48" s="173">
        <f t="shared" si="16"/>
        <v>0.25872717832864695</v>
      </c>
      <c r="G48" s="173">
        <f t="shared" si="16"/>
        <v>0.25693512243459804</v>
      </c>
      <c r="H48" s="173">
        <f t="shared" si="16"/>
        <v>0.25484791132764045</v>
      </c>
      <c r="I48" s="205">
        <f t="shared" si="16"/>
        <v>0.25419568477919263</v>
      </c>
      <c r="J48" s="173">
        <f t="shared" ref="J48:K48" si="21">J30/J15</f>
        <v>0.25477969871321121</v>
      </c>
      <c r="K48" s="173">
        <f t="shared" si="21"/>
        <v>0.25479971326215689</v>
      </c>
      <c r="L48" s="173">
        <f t="shared" ref="L48:N48" si="22">L30/L15</f>
        <v>0.25314402389685031</v>
      </c>
      <c r="M48" s="205">
        <f t="shared" si="22"/>
        <v>0.25358289408324425</v>
      </c>
      <c r="N48" s="173">
        <f t="shared" si="22"/>
        <v>0.25341900474286183</v>
      </c>
      <c r="O48" s="173">
        <f t="shared" ref="O48:P48" si="23">O30/O15</f>
        <v>0.25255070614431047</v>
      </c>
      <c r="P48" s="173">
        <f t="shared" si="23"/>
        <v>0.24972440510874186</v>
      </c>
      <c r="Q48" s="205">
        <f t="shared" ref="Q48" si="24">Q30/Q15</f>
        <v>0.25099763935031877</v>
      </c>
      <c r="R48" s="173"/>
      <c r="S48" s="173"/>
      <c r="T48" s="173"/>
      <c r="U48" s="175"/>
      <c r="AC48" s="831"/>
      <c r="AD48" s="831"/>
      <c r="AE48" s="831"/>
      <c r="AF48" s="831"/>
      <c r="AG48" s="831"/>
      <c r="AH48" s="831"/>
      <c r="AI48" s="831"/>
      <c r="AJ48" s="831"/>
      <c r="AK48" s="831"/>
      <c r="AL48" s="831"/>
      <c r="AM48" s="831"/>
      <c r="AN48" s="831"/>
      <c r="AO48" s="831"/>
      <c r="AP48" s="831"/>
      <c r="AQ48" s="831"/>
      <c r="AR48" s="831"/>
      <c r="AS48" s="831"/>
      <c r="AT48" s="831"/>
      <c r="AU48" s="831"/>
      <c r="AV48" s="831"/>
      <c r="AW48" s="831"/>
      <c r="AX48" s="831"/>
      <c r="AY48" s="831"/>
      <c r="AZ48" s="831"/>
      <c r="BA48" s="831"/>
      <c r="BB48" s="831"/>
      <c r="BC48" s="831"/>
      <c r="BE48" s="831"/>
      <c r="BF48" s="831"/>
      <c r="BG48" s="831"/>
      <c r="BH48" s="831"/>
      <c r="BI48" s="831"/>
      <c r="BJ48" s="831"/>
      <c r="BK48" s="831"/>
    </row>
    <row r="49" spans="1:63">
      <c r="A49" s="5" t="s">
        <v>807</v>
      </c>
      <c r="B49" s="173">
        <f t="shared" si="16"/>
        <v>0.301065990021539</v>
      </c>
      <c r="C49" s="173">
        <f t="shared" si="16"/>
        <v>0.25941886317368479</v>
      </c>
      <c r="D49" s="173">
        <f t="shared" si="16"/>
        <v>0.291703197589463</v>
      </c>
      <c r="E49" s="205">
        <f t="shared" si="16"/>
        <v>0.29504766822532674</v>
      </c>
      <c r="F49" s="173">
        <f t="shared" si="16"/>
        <v>0.30257964968868972</v>
      </c>
      <c r="G49" s="173">
        <f t="shared" si="16"/>
        <v>0.29536537688372544</v>
      </c>
      <c r="H49" s="173">
        <f t="shared" si="16"/>
        <v>0.29887363214029694</v>
      </c>
      <c r="I49" s="205">
        <f t="shared" si="16"/>
        <v>0.29174720924426689</v>
      </c>
      <c r="J49" s="173">
        <f t="shared" ref="J49:K49" si="25">J31/J16</f>
        <v>0.23481837157875157</v>
      </c>
      <c r="K49" s="173">
        <f t="shared" si="25"/>
        <v>0.2825579675307866</v>
      </c>
      <c r="L49" s="173">
        <f t="shared" ref="L49:M49" si="26">L31/L16</f>
        <v>0.2903000322615335</v>
      </c>
      <c r="M49" s="205">
        <f t="shared" si="26"/>
        <v>0.27965639706657752</v>
      </c>
      <c r="N49" s="173">
        <f>N31/N16</f>
        <v>0.30568705976106375</v>
      </c>
      <c r="O49" s="173">
        <f>O31/O16</f>
        <v>0.27160357436512278</v>
      </c>
      <c r="P49" s="173">
        <f>P31/P16</f>
        <v>0.2857315797537599</v>
      </c>
      <c r="Q49" s="205">
        <f>Q31/Q16</f>
        <v>0.27979630881171175</v>
      </c>
      <c r="R49" s="173"/>
      <c r="S49" s="173"/>
      <c r="T49" s="173"/>
      <c r="U49" s="175"/>
      <c r="AC49" s="831"/>
      <c r="AD49" s="831"/>
      <c r="AE49" s="831"/>
      <c r="AF49" s="831"/>
      <c r="AG49" s="831"/>
      <c r="AH49" s="831"/>
      <c r="AI49" s="831"/>
      <c r="AJ49" s="831"/>
      <c r="AK49" s="831"/>
      <c r="AL49" s="831"/>
      <c r="AM49" s="831"/>
      <c r="AN49" s="831"/>
      <c r="AO49" s="831"/>
      <c r="AP49" s="831"/>
      <c r="AQ49" s="831"/>
      <c r="AR49" s="831"/>
      <c r="AS49" s="831"/>
      <c r="AT49" s="831"/>
      <c r="AU49" s="831"/>
      <c r="AV49" s="831"/>
      <c r="AW49" s="831"/>
      <c r="AX49" s="831"/>
      <c r="AY49" s="831"/>
      <c r="AZ49" s="831"/>
      <c r="BA49" s="831"/>
      <c r="BB49" s="831"/>
      <c r="BC49" s="831"/>
      <c r="BE49" s="831"/>
      <c r="BF49" s="831"/>
      <c r="BG49" s="831"/>
      <c r="BH49" s="831"/>
      <c r="BI49" s="831"/>
      <c r="BJ49" s="831"/>
      <c r="BK49" s="831"/>
    </row>
    <row r="50" spans="1:63">
      <c r="A50" s="5" t="s">
        <v>808</v>
      </c>
      <c r="B50" s="173">
        <f t="shared" si="16"/>
        <v>3.812727404888152E-2</v>
      </c>
      <c r="C50" s="173">
        <f t="shared" si="16"/>
        <v>4.0521734279085848E-2</v>
      </c>
      <c r="D50" s="173">
        <f t="shared" si="16"/>
        <v>4.5778987771576046E-2</v>
      </c>
      <c r="E50" s="205">
        <f t="shared" si="16"/>
        <v>4.637565880288385E-2</v>
      </c>
      <c r="F50" s="173">
        <f t="shared" si="16"/>
        <v>4.3826851307247269E-2</v>
      </c>
      <c r="G50" s="173">
        <f t="shared" si="16"/>
        <v>4.5631370924942995E-2</v>
      </c>
      <c r="H50" s="173">
        <f t="shared" si="16"/>
        <v>4.5597199903263337E-2</v>
      </c>
      <c r="I50" s="205">
        <f t="shared" si="16"/>
        <v>4.6998343845452026E-2</v>
      </c>
      <c r="J50" s="173">
        <f t="shared" ref="J50:K50" si="27">J32/J17</f>
        <v>4.488276580525298E-2</v>
      </c>
      <c r="K50" s="173">
        <f t="shared" si="27"/>
        <v>4.5074124065224666E-2</v>
      </c>
      <c r="L50" s="173">
        <f t="shared" ref="L50:N50" si="28">L32/L17</f>
        <v>4.5872707612757427E-2</v>
      </c>
      <c r="M50" s="205">
        <f t="shared" si="28"/>
        <v>4.7371981964072711E-2</v>
      </c>
      <c r="N50" s="173">
        <f t="shared" si="28"/>
        <v>4.6053098745844463E-2</v>
      </c>
      <c r="O50" s="173">
        <f t="shared" ref="O50:P50" si="29">O32/O17</f>
        <v>4.6575986365200925E-2</v>
      </c>
      <c r="P50" s="173">
        <f t="shared" si="29"/>
        <v>4.7128395353730861E-2</v>
      </c>
      <c r="Q50" s="205">
        <f t="shared" ref="Q50" si="30">Q32/Q17</f>
        <v>4.9135382134217365E-2</v>
      </c>
      <c r="R50" s="173"/>
      <c r="S50" s="173"/>
      <c r="T50" s="173"/>
      <c r="U50" s="175"/>
      <c r="AC50" s="831"/>
      <c r="AD50" s="831"/>
      <c r="AE50" s="831"/>
      <c r="AF50" s="831"/>
      <c r="AG50" s="831"/>
      <c r="AH50" s="831"/>
      <c r="AI50" s="831"/>
      <c r="AJ50" s="831"/>
      <c r="AK50" s="831"/>
      <c r="AL50" s="831"/>
      <c r="AM50" s="831"/>
      <c r="AN50" s="831"/>
      <c r="AO50" s="831"/>
      <c r="AP50" s="831"/>
      <c r="AQ50" s="831"/>
      <c r="AR50" s="831"/>
      <c r="AS50" s="831"/>
      <c r="AT50" s="831"/>
      <c r="AU50" s="831"/>
      <c r="AV50" s="831"/>
      <c r="AW50" s="831"/>
      <c r="AX50" s="831"/>
      <c r="AY50" s="831"/>
      <c r="AZ50" s="831"/>
      <c r="BA50" s="831"/>
      <c r="BB50" s="831"/>
      <c r="BC50" s="831"/>
      <c r="BE50" s="831"/>
      <c r="BF50" s="831"/>
      <c r="BG50" s="831"/>
      <c r="BH50" s="831"/>
      <c r="BI50" s="831"/>
      <c r="BJ50" s="831"/>
      <c r="BK50" s="831"/>
    </row>
    <row r="51" spans="1:63">
      <c r="A51" s="5"/>
      <c r="B51" s="173"/>
      <c r="C51" s="173"/>
      <c r="D51" s="173"/>
      <c r="E51" s="205"/>
      <c r="F51" s="173"/>
      <c r="G51" s="173"/>
      <c r="H51" s="173"/>
      <c r="I51" s="205"/>
      <c r="J51" s="173"/>
      <c r="K51" s="173"/>
      <c r="L51" s="173"/>
      <c r="M51" s="205"/>
      <c r="N51" s="173"/>
      <c r="O51" s="173"/>
      <c r="P51" s="173"/>
      <c r="Q51" s="205"/>
      <c r="R51" s="173"/>
      <c r="S51" s="173"/>
      <c r="T51" s="173"/>
      <c r="U51" s="175"/>
      <c r="AC51" s="831"/>
      <c r="AD51" s="831"/>
      <c r="AE51" s="831"/>
      <c r="AF51" s="831"/>
      <c r="AG51" s="831"/>
      <c r="AH51" s="831"/>
      <c r="AI51" s="831"/>
      <c r="AJ51" s="831"/>
      <c r="AK51" s="831"/>
      <c r="AL51" s="831"/>
      <c r="AM51" s="831"/>
      <c r="AN51" s="831"/>
      <c r="AO51" s="831"/>
      <c r="AP51" s="831"/>
      <c r="AQ51" s="831"/>
      <c r="AR51" s="831"/>
      <c r="AS51" s="831"/>
      <c r="AT51" s="831"/>
      <c r="AU51" s="831"/>
      <c r="AV51" s="831"/>
      <c r="AW51" s="831"/>
      <c r="AX51" s="831"/>
      <c r="AY51" s="831"/>
      <c r="AZ51" s="831"/>
      <c r="BA51" s="831"/>
      <c r="BB51" s="831"/>
      <c r="BC51" s="831"/>
      <c r="BE51" s="831"/>
      <c r="BF51" s="831"/>
      <c r="BG51" s="831"/>
      <c r="BH51" s="831"/>
      <c r="BI51" s="831"/>
      <c r="BJ51" s="831"/>
      <c r="BK51" s="831"/>
    </row>
    <row r="52" spans="1:63">
      <c r="A52" s="653" t="s">
        <v>787</v>
      </c>
      <c r="B52" s="773">
        <f t="shared" ref="B52:L52" si="31">B34/B19</f>
        <v>0.11109508186516763</v>
      </c>
      <c r="C52" s="773">
        <f t="shared" si="31"/>
        <v>0.11873560091299352</v>
      </c>
      <c r="D52" s="773">
        <f t="shared" si="31"/>
        <v>0.14507725268439933</v>
      </c>
      <c r="E52" s="774">
        <f t="shared" si="31"/>
        <v>0.15457031473125038</v>
      </c>
      <c r="F52" s="773">
        <f t="shared" si="31"/>
        <v>0.14216869044449057</v>
      </c>
      <c r="G52" s="773">
        <f t="shared" si="31"/>
        <v>0.15923714190826177</v>
      </c>
      <c r="H52" s="773">
        <f t="shared" si="31"/>
        <v>0.14139590474846656</v>
      </c>
      <c r="I52" s="774">
        <f t="shared" si="31"/>
        <v>0.15229861193720534</v>
      </c>
      <c r="J52" s="773">
        <f t="shared" si="31"/>
        <v>0.12865260840954607</v>
      </c>
      <c r="K52" s="773">
        <f t="shared" si="31"/>
        <v>0.15231218779327244</v>
      </c>
      <c r="L52" s="773">
        <f t="shared" si="31"/>
        <v>0.13240929015588318</v>
      </c>
      <c r="M52" s="774">
        <f t="shared" ref="M52:N52" si="32">M34/M19</f>
        <v>0.1438999128558979</v>
      </c>
      <c r="N52" s="773">
        <f t="shared" si="32"/>
        <v>0.12985533511896605</v>
      </c>
      <c r="O52" s="773">
        <f t="shared" ref="O52:U52" si="33">O34/O19</f>
        <v>0.14598555630048299</v>
      </c>
      <c r="P52" s="773">
        <f t="shared" si="33"/>
        <v>0.12581368105899673</v>
      </c>
      <c r="Q52" s="774">
        <f t="shared" si="33"/>
        <v>0.1437255467847767</v>
      </c>
      <c r="R52" s="773" t="e">
        <f t="shared" si="33"/>
        <v>#DIV/0!</v>
      </c>
      <c r="S52" s="773" t="e">
        <f t="shared" si="33"/>
        <v>#DIV/0!</v>
      </c>
      <c r="T52" s="773" t="e">
        <f t="shared" si="33"/>
        <v>#DIV/0!</v>
      </c>
      <c r="U52" s="775" t="e">
        <f t="shared" si="33"/>
        <v>#DIV/0!</v>
      </c>
      <c r="AC52" s="831"/>
      <c r="AD52" s="831"/>
      <c r="AE52" s="831"/>
      <c r="AF52" s="831"/>
      <c r="AG52" s="831"/>
      <c r="AH52" s="831"/>
      <c r="AI52" s="831"/>
      <c r="AJ52" s="831"/>
      <c r="AK52" s="831"/>
      <c r="AL52" s="831"/>
      <c r="AM52" s="831"/>
      <c r="AN52" s="831"/>
      <c r="AO52" s="831"/>
      <c r="AP52" s="831"/>
      <c r="AQ52" s="831"/>
      <c r="AR52" s="831"/>
      <c r="AS52" s="831"/>
      <c r="AT52" s="831"/>
      <c r="AU52" s="831"/>
      <c r="AV52" s="831"/>
      <c r="AW52" s="831"/>
      <c r="AX52" s="831"/>
      <c r="AY52" s="831"/>
      <c r="AZ52" s="831"/>
      <c r="BA52" s="831"/>
      <c r="BB52" s="831"/>
      <c r="BC52" s="831"/>
      <c r="BE52" s="831"/>
      <c r="BF52" s="831"/>
      <c r="BG52" s="831"/>
      <c r="BH52" s="831"/>
      <c r="BI52" s="831"/>
      <c r="BJ52" s="831"/>
      <c r="BK52" s="831"/>
    </row>
    <row r="53" spans="1:63" ht="16" thickBot="1">
      <c r="A53" s="217"/>
      <c r="B53" s="715"/>
      <c r="C53" s="715"/>
      <c r="D53" s="715"/>
      <c r="E53" s="551"/>
      <c r="F53" s="715"/>
      <c r="G53" s="715"/>
      <c r="H53" s="715"/>
      <c r="I53" s="551"/>
      <c r="J53" s="715"/>
      <c r="K53" s="715"/>
      <c r="L53" s="715"/>
      <c r="M53" s="551"/>
      <c r="N53" s="715"/>
      <c r="O53" s="715"/>
      <c r="P53" s="715"/>
      <c r="Q53" s="551"/>
      <c r="R53" s="715"/>
      <c r="S53" s="715"/>
      <c r="T53" s="715"/>
      <c r="U53" s="784"/>
      <c r="AC53" s="831"/>
      <c r="AD53" s="831"/>
      <c r="AE53" s="831"/>
      <c r="AF53" s="831"/>
      <c r="AG53" s="831"/>
      <c r="AH53" s="831"/>
      <c r="AI53" s="831"/>
      <c r="AJ53" s="831"/>
      <c r="AK53" s="831"/>
      <c r="AL53" s="831"/>
      <c r="AM53" s="831"/>
      <c r="AN53" s="831"/>
      <c r="AO53" s="831"/>
      <c r="AP53" s="831"/>
      <c r="AQ53" s="831"/>
      <c r="AR53" s="831"/>
      <c r="AS53" s="831"/>
      <c r="AT53" s="831"/>
      <c r="AU53" s="831"/>
      <c r="AV53" s="831"/>
      <c r="AW53" s="831"/>
      <c r="AX53" s="831"/>
      <c r="AY53" s="831"/>
      <c r="AZ53" s="831"/>
      <c r="BA53" s="831"/>
      <c r="BB53" s="831"/>
      <c r="BC53" s="831"/>
      <c r="BE53" s="831"/>
      <c r="BF53" s="831"/>
      <c r="BG53" s="831"/>
      <c r="BH53" s="831"/>
      <c r="BI53" s="831"/>
      <c r="BJ53" s="831"/>
      <c r="BK53" s="831"/>
    </row>
    <row r="54" spans="1:63">
      <c r="B54" s="445"/>
      <c r="C54" s="445"/>
      <c r="D54" s="445"/>
      <c r="E54" s="445"/>
      <c r="F54" s="445"/>
      <c r="G54" s="445"/>
      <c r="H54" s="445"/>
      <c r="I54" s="445"/>
      <c r="M54" s="445"/>
      <c r="Q54" s="445"/>
      <c r="AC54" s="831"/>
      <c r="AD54" s="831"/>
      <c r="AE54" s="831"/>
      <c r="AF54" s="831"/>
      <c r="AG54" s="831"/>
      <c r="AH54" s="831"/>
      <c r="AI54" s="831"/>
      <c r="AJ54" s="831"/>
      <c r="AK54" s="831"/>
      <c r="AL54" s="831"/>
      <c r="AM54" s="831"/>
      <c r="AN54" s="831"/>
      <c r="AO54" s="831"/>
      <c r="AP54" s="831"/>
      <c r="AQ54" s="831"/>
      <c r="AR54" s="831"/>
      <c r="AS54" s="831"/>
      <c r="AT54" s="831"/>
      <c r="AU54" s="831"/>
      <c r="AV54" s="831"/>
      <c r="AW54" s="831"/>
      <c r="AX54" s="831"/>
      <c r="AY54" s="831"/>
      <c r="AZ54" s="831"/>
      <c r="BA54" s="831"/>
      <c r="BB54" s="831"/>
      <c r="BC54" s="831"/>
      <c r="BE54" s="831"/>
      <c r="BF54" s="831"/>
      <c r="BG54" s="831"/>
      <c r="BH54" s="831"/>
      <c r="BI54" s="831"/>
      <c r="BJ54" s="831"/>
      <c r="BK54" s="831"/>
    </row>
    <row r="55" spans="1:63">
      <c r="B55" s="445"/>
      <c r="C55" s="445"/>
      <c r="D55" s="445"/>
      <c r="E55" s="445"/>
      <c r="F55" s="445"/>
      <c r="G55" s="445"/>
      <c r="H55" s="445"/>
      <c r="I55" s="445"/>
      <c r="M55" s="445"/>
      <c r="Q55" s="445"/>
      <c r="AC55" s="831"/>
      <c r="AD55" s="831"/>
      <c r="AE55" s="831"/>
      <c r="AF55" s="831"/>
      <c r="AG55" s="831"/>
      <c r="AH55" s="831"/>
      <c r="AI55" s="831"/>
      <c r="AJ55" s="831"/>
      <c r="AK55" s="831"/>
      <c r="AL55" s="831"/>
      <c r="AM55" s="831"/>
      <c r="AN55" s="831"/>
      <c r="AO55" s="831"/>
      <c r="AP55" s="831"/>
      <c r="AQ55" s="831"/>
      <c r="AR55" s="831"/>
      <c r="AS55" s="831"/>
      <c r="AT55" s="831"/>
      <c r="AU55" s="831"/>
      <c r="AV55" s="831"/>
      <c r="AW55" s="831"/>
      <c r="AX55" s="831"/>
      <c r="AY55" s="831"/>
      <c r="AZ55" s="831"/>
      <c r="BA55" s="831"/>
      <c r="BB55" s="831"/>
      <c r="BC55" s="831"/>
      <c r="BE55" s="831"/>
      <c r="BF55" s="831"/>
      <c r="BG55" s="831"/>
      <c r="BH55" s="831"/>
      <c r="BI55" s="831"/>
      <c r="BJ55" s="831"/>
      <c r="BK55" s="831"/>
    </row>
    <row r="56" spans="1:63">
      <c r="AC56" s="831"/>
      <c r="AD56" s="831"/>
      <c r="AE56" s="831"/>
      <c r="AF56" s="831"/>
      <c r="AG56" s="831"/>
      <c r="AH56" s="831"/>
      <c r="AI56" s="831"/>
      <c r="AJ56" s="831"/>
      <c r="AK56" s="831"/>
      <c r="AL56" s="831"/>
      <c r="AM56" s="831"/>
      <c r="AN56" s="831"/>
      <c r="AO56" s="831"/>
      <c r="AP56" s="831"/>
      <c r="AQ56" s="831"/>
      <c r="AR56" s="831"/>
      <c r="AS56" s="831"/>
      <c r="AT56" s="831"/>
      <c r="AU56" s="831"/>
      <c r="AV56" s="831"/>
      <c r="AW56" s="831"/>
      <c r="AX56" s="831"/>
      <c r="AY56" s="831"/>
      <c r="AZ56" s="831"/>
      <c r="BA56" s="831"/>
      <c r="BB56" s="831"/>
      <c r="BC56" s="831"/>
      <c r="BE56" s="831"/>
      <c r="BF56" s="831"/>
      <c r="BG56" s="831"/>
      <c r="BH56" s="831"/>
      <c r="BI56" s="831"/>
      <c r="BJ56" s="831"/>
      <c r="BK56" s="831"/>
    </row>
    <row r="57" spans="1:63" ht="19">
      <c r="A57" s="435" t="s">
        <v>813</v>
      </c>
      <c r="AC57" s="831"/>
      <c r="AD57" s="831"/>
      <c r="AE57" s="831"/>
      <c r="AF57" s="831"/>
      <c r="AG57" s="831"/>
      <c r="AH57" s="831"/>
      <c r="AI57" s="831"/>
      <c r="AJ57" s="831"/>
      <c r="AK57" s="831"/>
      <c r="AL57" s="831"/>
      <c r="AM57" s="831"/>
      <c r="AN57" s="831"/>
      <c r="AO57" s="831"/>
      <c r="AP57" s="831"/>
      <c r="AQ57" s="831"/>
      <c r="AR57" s="831"/>
      <c r="AS57" s="831"/>
      <c r="AT57" s="831"/>
      <c r="AU57" s="831"/>
      <c r="AV57" s="831"/>
      <c r="AW57" s="831"/>
      <c r="AX57" s="831"/>
      <c r="AY57" s="831"/>
      <c r="AZ57" s="831"/>
      <c r="BA57" s="831"/>
      <c r="BB57" s="831"/>
      <c r="BC57" s="831"/>
      <c r="BE57" s="831"/>
      <c r="BF57" s="831"/>
      <c r="BG57" s="831"/>
      <c r="BH57" s="831"/>
      <c r="BI57" s="831"/>
      <c r="BJ57" s="831"/>
      <c r="BK57" s="831"/>
    </row>
    <row r="58" spans="1:63" ht="16" thickBot="1">
      <c r="AC58" s="831"/>
      <c r="AD58" s="831"/>
      <c r="AE58" s="831"/>
      <c r="AF58" s="831"/>
      <c r="AG58" s="831"/>
      <c r="AH58" s="831"/>
      <c r="AI58" s="831"/>
      <c r="AJ58" s="831"/>
      <c r="AK58" s="831"/>
      <c r="AL58" s="831"/>
      <c r="AM58" s="831"/>
      <c r="AN58" s="831"/>
      <c r="AO58" s="831"/>
      <c r="AP58" s="831"/>
      <c r="AQ58" s="831"/>
      <c r="AR58" s="831"/>
      <c r="AS58" s="831"/>
      <c r="AT58" s="831"/>
      <c r="AU58" s="831"/>
      <c r="AV58" s="831"/>
      <c r="AW58" s="831"/>
      <c r="AX58" s="831"/>
      <c r="AY58" s="831"/>
      <c r="AZ58" s="831"/>
      <c r="BA58" s="831"/>
      <c r="BB58" s="831"/>
      <c r="BC58" s="831"/>
      <c r="BE58" s="831"/>
      <c r="BF58" s="831"/>
      <c r="BG58" s="831"/>
      <c r="BH58" s="831"/>
      <c r="BI58" s="831"/>
      <c r="BJ58" s="831"/>
      <c r="BK58" s="831"/>
    </row>
    <row r="59" spans="1:63" ht="23" customHeight="1">
      <c r="A59" s="792" t="s">
        <v>792</v>
      </c>
      <c r="B59" s="770" t="s">
        <v>793</v>
      </c>
      <c r="C59" s="770" t="s">
        <v>794</v>
      </c>
      <c r="D59" s="770" t="s">
        <v>795</v>
      </c>
      <c r="E59" s="771" t="s">
        <v>796</v>
      </c>
      <c r="F59" s="770" t="s">
        <v>797</v>
      </c>
      <c r="G59" s="770" t="s">
        <v>798</v>
      </c>
      <c r="H59" s="770" t="s">
        <v>799</v>
      </c>
      <c r="I59" s="771" t="s">
        <v>800</v>
      </c>
      <c r="J59" s="770" t="s">
        <v>801</v>
      </c>
      <c r="K59" s="770" t="s">
        <v>802</v>
      </c>
      <c r="L59" s="770" t="s">
        <v>803</v>
      </c>
      <c r="M59" s="771" t="s">
        <v>804</v>
      </c>
      <c r="N59" s="770" t="s">
        <v>851</v>
      </c>
      <c r="O59" s="770" t="s">
        <v>852</v>
      </c>
      <c r="P59" s="770" t="s">
        <v>853</v>
      </c>
      <c r="Q59" s="771" t="s">
        <v>854</v>
      </c>
      <c r="R59" s="770" t="s">
        <v>884</v>
      </c>
      <c r="S59" s="770" t="s">
        <v>885</v>
      </c>
      <c r="T59" s="770" t="s">
        <v>886</v>
      </c>
      <c r="U59" s="646" t="s">
        <v>887</v>
      </c>
      <c r="W59" s="769" t="str">
        <f>W12</f>
        <v>YoY</v>
      </c>
      <c r="X59" s="770" t="str">
        <f>X12</f>
        <v>QoQ</v>
      </c>
      <c r="Y59" s="770" t="str">
        <f>Y12</f>
        <v>YTD24</v>
      </c>
      <c r="Z59" s="770" t="str">
        <f>Z12</f>
        <v>YTD23</v>
      </c>
      <c r="AA59" s="646" t="str">
        <f>AA12</f>
        <v>YTD %</v>
      </c>
      <c r="AC59" s="831"/>
      <c r="AD59" s="831"/>
      <c r="AE59" s="831"/>
      <c r="AF59" s="831"/>
      <c r="AG59" s="831"/>
      <c r="AH59" s="831"/>
      <c r="AI59" s="831"/>
      <c r="AJ59" s="831"/>
      <c r="AK59" s="831"/>
      <c r="AL59" s="831"/>
      <c r="AM59" s="831"/>
      <c r="AN59" s="831"/>
      <c r="AO59" s="831"/>
      <c r="AP59" s="831"/>
      <c r="AQ59" s="831"/>
      <c r="AR59" s="831"/>
      <c r="AS59" s="831"/>
      <c r="AT59" s="831"/>
      <c r="AU59" s="831"/>
      <c r="AV59" s="831"/>
      <c r="AW59" s="831"/>
      <c r="AX59" s="831"/>
      <c r="AY59" s="831"/>
      <c r="AZ59" s="831"/>
      <c r="BA59" s="831"/>
      <c r="BB59" s="831"/>
      <c r="BC59" s="831"/>
      <c r="BE59" s="831"/>
      <c r="BF59" s="831"/>
      <c r="BG59" s="831"/>
      <c r="BH59" s="831"/>
      <c r="BI59" s="831"/>
      <c r="BJ59" s="831"/>
      <c r="BK59" s="831"/>
    </row>
    <row r="60" spans="1:63">
      <c r="A60" s="5"/>
      <c r="E60" s="115"/>
      <c r="I60" s="115"/>
      <c r="M60" s="115"/>
      <c r="Q60" s="115"/>
      <c r="U60" s="116"/>
      <c r="W60" s="6"/>
      <c r="AA60" s="116"/>
      <c r="AC60" s="831"/>
      <c r="AD60" s="831"/>
      <c r="AE60" s="831"/>
      <c r="AF60" s="831"/>
      <c r="AG60" s="831"/>
      <c r="AH60" s="831"/>
      <c r="AI60" s="831"/>
      <c r="AJ60" s="831"/>
      <c r="AK60" s="831"/>
      <c r="AL60" s="831"/>
      <c r="AM60" s="831"/>
      <c r="AN60" s="831"/>
      <c r="AO60" s="831"/>
      <c r="AP60" s="831"/>
      <c r="AQ60" s="831"/>
      <c r="AR60" s="831"/>
      <c r="AS60" s="831"/>
      <c r="AT60" s="831"/>
      <c r="AU60" s="831"/>
      <c r="AV60" s="831"/>
      <c r="AW60" s="831"/>
      <c r="AX60" s="831"/>
      <c r="AY60" s="831"/>
      <c r="AZ60" s="831"/>
      <c r="BA60" s="831"/>
      <c r="BB60" s="831"/>
      <c r="BC60" s="831"/>
      <c r="BE60" s="831"/>
      <c r="BF60" s="831"/>
      <c r="BG60" s="831"/>
      <c r="BH60" s="831"/>
      <c r="BI60" s="831"/>
      <c r="BJ60" s="831"/>
      <c r="BK60" s="831"/>
    </row>
    <row r="61" spans="1:63">
      <c r="A61" s="5" t="s">
        <v>805</v>
      </c>
      <c r="B61" s="779">
        <f>B14-B29</f>
        <v>4.5079676763700016</v>
      </c>
      <c r="C61" s="779">
        <f t="shared" ref="C61:I61" si="34">C14-C29</f>
        <v>3.55837</v>
      </c>
      <c r="D61" s="779">
        <f t="shared" si="34"/>
        <v>3.9320199999999996</v>
      </c>
      <c r="E61" s="780">
        <f t="shared" si="34"/>
        <v>5.0463399999999998</v>
      </c>
      <c r="F61" s="779">
        <f t="shared" si="34"/>
        <v>4.8724100000000004</v>
      </c>
      <c r="G61" s="779">
        <f t="shared" si="34"/>
        <v>4.5754499999999991</v>
      </c>
      <c r="H61" s="779">
        <f t="shared" si="34"/>
        <v>4.4335399999999998</v>
      </c>
      <c r="I61" s="780">
        <f t="shared" si="34"/>
        <v>5.8875100000000007</v>
      </c>
      <c r="J61" s="779">
        <f t="shared" ref="J61:K61" si="35">J14-J29</f>
        <v>5.8468400000000003</v>
      </c>
      <c r="K61" s="779">
        <f t="shared" si="35"/>
        <v>5.3767600000000009</v>
      </c>
      <c r="L61" s="779">
        <f t="shared" ref="L61:N61" si="36">L14-L29</f>
        <v>4.8706699999999996</v>
      </c>
      <c r="M61" s="780">
        <f t="shared" si="36"/>
        <v>6.5524300000000002</v>
      </c>
      <c r="N61" s="779">
        <f t="shared" si="36"/>
        <v>6.89499</v>
      </c>
      <c r="O61" s="779">
        <f t="shared" ref="O61:P61" si="37">O14-O29</f>
        <v>5.8783300000000001</v>
      </c>
      <c r="P61" s="779">
        <f t="shared" si="37"/>
        <v>5.4882100000000005</v>
      </c>
      <c r="Q61" s="780">
        <f t="shared" ref="Q61" si="38">Q14-Q29</f>
        <v>6.4969600000000005</v>
      </c>
      <c r="R61" s="779"/>
      <c r="S61" s="779"/>
      <c r="T61" s="779"/>
      <c r="U61" s="781"/>
      <c r="W61" s="473">
        <f>Q61/M61-1</f>
        <v>-8.4655616313337179E-3</v>
      </c>
      <c r="X61" s="173">
        <f>Q61/P61-1</f>
        <v>0.18380309791352745</v>
      </c>
      <c r="Y61" s="834">
        <f>SUM($N61:Q61)</f>
        <v>24.758490000000002</v>
      </c>
      <c r="Z61" s="834">
        <f>SUM($J61:M61)</f>
        <v>22.646700000000003</v>
      </c>
      <c r="AA61" s="175">
        <f>Y61/Z61-1</f>
        <v>9.3249347587065712E-2</v>
      </c>
      <c r="AC61" s="831"/>
      <c r="AD61" s="831"/>
      <c r="AE61" s="831"/>
      <c r="AF61" s="831"/>
      <c r="AG61" s="831"/>
      <c r="AH61" s="831"/>
      <c r="AI61" s="831"/>
      <c r="AJ61" s="831"/>
      <c r="AK61" s="831"/>
      <c r="AL61" s="831"/>
      <c r="AM61" s="831"/>
      <c r="AN61" s="831"/>
      <c r="AO61" s="831"/>
      <c r="AP61" s="831"/>
      <c r="AQ61" s="831"/>
      <c r="AR61" s="831"/>
      <c r="AS61" s="831"/>
      <c r="AT61" s="831"/>
      <c r="AU61" s="831"/>
      <c r="AV61" s="831"/>
      <c r="AW61" s="831"/>
      <c r="AX61" s="831"/>
      <c r="AY61" s="831"/>
      <c r="AZ61" s="831"/>
      <c r="BA61" s="831"/>
      <c r="BB61" s="831"/>
      <c r="BC61" s="831"/>
      <c r="BE61" s="831"/>
      <c r="BF61" s="831"/>
      <c r="BG61" s="831"/>
      <c r="BH61" s="831"/>
      <c r="BI61" s="831"/>
      <c r="BJ61" s="831"/>
      <c r="BK61" s="831"/>
    </row>
    <row r="62" spans="1:63">
      <c r="A62" s="5" t="s">
        <v>806</v>
      </c>
      <c r="B62" s="779">
        <f t="shared" ref="B62:I62" si="39">B15-B30</f>
        <v>4.1666650657894788</v>
      </c>
      <c r="C62" s="779">
        <f t="shared" si="39"/>
        <v>1.07951</v>
      </c>
      <c r="D62" s="779">
        <f t="shared" si="39"/>
        <v>3.9547500000000007</v>
      </c>
      <c r="E62" s="780">
        <f t="shared" si="39"/>
        <v>6.5455900000000007</v>
      </c>
      <c r="F62" s="779">
        <f t="shared" si="39"/>
        <v>3.9833999999999996</v>
      </c>
      <c r="G62" s="779">
        <f t="shared" si="39"/>
        <v>8.2035699999999991</v>
      </c>
      <c r="H62" s="779">
        <f t="shared" si="39"/>
        <v>4.1143199999999993</v>
      </c>
      <c r="I62" s="780">
        <f t="shared" si="39"/>
        <v>8.7566600000000001</v>
      </c>
      <c r="J62" s="779">
        <f t="shared" ref="J62:K62" si="40">J15-J30</f>
        <v>4.31569</v>
      </c>
      <c r="K62" s="779">
        <f t="shared" si="40"/>
        <v>8.4100099999999998</v>
      </c>
      <c r="L62" s="779">
        <f t="shared" ref="L62:N62" si="41">L15-L30</f>
        <v>3.9504199999999994</v>
      </c>
      <c r="M62" s="780">
        <f t="shared" si="41"/>
        <v>8.5049899999999994</v>
      </c>
      <c r="N62" s="779">
        <f t="shared" si="41"/>
        <v>4.2154799999999994</v>
      </c>
      <c r="O62" s="779">
        <f t="shared" ref="O62:P62" si="42">O15-O30</f>
        <v>8.1302900000000005</v>
      </c>
      <c r="P62" s="779">
        <f t="shared" si="42"/>
        <v>3.8113400000000004</v>
      </c>
      <c r="Q62" s="780">
        <f t="shared" ref="Q62" si="43">Q15-Q30</f>
        <v>8.2716600000000007</v>
      </c>
      <c r="R62" s="779"/>
      <c r="S62" s="779"/>
      <c r="T62" s="779"/>
      <c r="U62" s="781"/>
      <c r="W62" s="473">
        <f>Q62/M62-1</f>
        <v>-2.7434482580226294E-2</v>
      </c>
      <c r="X62" s="173">
        <f>Q62/P62-1</f>
        <v>1.1702760708832063</v>
      </c>
      <c r="Y62" s="834">
        <f>SUM($N62:Q62)</f>
        <v>24.42877</v>
      </c>
      <c r="Z62" s="834">
        <f>SUM($J62:M62)</f>
        <v>25.181109999999997</v>
      </c>
      <c r="AA62" s="175">
        <f>Y62/Z62-1</f>
        <v>-2.9877157917184594E-2</v>
      </c>
      <c r="AC62" s="831"/>
      <c r="AD62" s="831"/>
      <c r="AE62" s="831"/>
      <c r="AF62" s="831"/>
      <c r="AG62" s="831"/>
      <c r="AH62" s="831"/>
      <c r="AI62" s="831"/>
      <c r="AJ62" s="831"/>
      <c r="AK62" s="831"/>
      <c r="AL62" s="831"/>
      <c r="AM62" s="831"/>
      <c r="AN62" s="831"/>
      <c r="AO62" s="831"/>
      <c r="AP62" s="831"/>
      <c r="AQ62" s="831"/>
      <c r="AR62" s="831"/>
      <c r="AS62" s="831"/>
      <c r="AT62" s="831"/>
      <c r="AU62" s="831"/>
      <c r="AV62" s="831"/>
      <c r="AW62" s="831"/>
      <c r="AX62" s="831"/>
      <c r="AY62" s="831"/>
      <c r="AZ62" s="831"/>
      <c r="BA62" s="831"/>
      <c r="BB62" s="831"/>
      <c r="BC62" s="831"/>
      <c r="BE62" s="831"/>
      <c r="BF62" s="831"/>
      <c r="BG62" s="831"/>
      <c r="BH62" s="831"/>
      <c r="BI62" s="831"/>
      <c r="BJ62" s="831"/>
      <c r="BK62" s="831"/>
    </row>
    <row r="63" spans="1:63">
      <c r="A63" s="5" t="s">
        <v>807</v>
      </c>
      <c r="B63" s="779">
        <f t="shared" ref="B63:I63" si="44">B16-B31</f>
        <v>4.0821799999999984</v>
      </c>
      <c r="C63" s="779">
        <f t="shared" si="44"/>
        <v>4.4235799999999994</v>
      </c>
      <c r="D63" s="779">
        <f t="shared" si="44"/>
        <v>3.5142499999999997</v>
      </c>
      <c r="E63" s="780">
        <f t="shared" si="44"/>
        <v>3.6860900000000005</v>
      </c>
      <c r="F63" s="779">
        <f t="shared" si="44"/>
        <v>3.5978800000000004</v>
      </c>
      <c r="G63" s="779">
        <f t="shared" si="44"/>
        <v>3.5578200000000004</v>
      </c>
      <c r="H63" s="779">
        <f t="shared" si="44"/>
        <v>3.5405899999999999</v>
      </c>
      <c r="I63" s="780">
        <f t="shared" si="44"/>
        <v>3.9717400000000005</v>
      </c>
      <c r="J63" s="779">
        <f t="shared" ref="J63:K63" si="45">J16-J31</f>
        <v>4.44292</v>
      </c>
      <c r="K63" s="779">
        <f t="shared" si="45"/>
        <v>3.8800699999999999</v>
      </c>
      <c r="L63" s="779">
        <f t="shared" ref="L63:M63" si="46">L16-L31</f>
        <v>3.6957200000000001</v>
      </c>
      <c r="M63" s="780">
        <f t="shared" si="46"/>
        <v>4.0301999999999998</v>
      </c>
      <c r="N63" s="779">
        <f>N16-N31</f>
        <v>4.1123600000000007</v>
      </c>
      <c r="O63" s="779">
        <f>O16-O31</f>
        <v>4.0218699999999998</v>
      </c>
      <c r="P63" s="779">
        <f>P16-P31</f>
        <v>3.7761300000000002</v>
      </c>
      <c r="Q63" s="780">
        <f>Q16-Q31</f>
        <v>4.2839299999999998</v>
      </c>
      <c r="R63" s="779"/>
      <c r="S63" s="779"/>
      <c r="T63" s="779"/>
      <c r="U63" s="781"/>
      <c r="W63" s="473">
        <f>Q63/M63-1</f>
        <v>6.2957173341273487E-2</v>
      </c>
      <c r="X63" s="173">
        <f>Q63/P63-1</f>
        <v>0.13447630245780728</v>
      </c>
      <c r="Y63" s="834">
        <f>SUM($N63:Q63)</f>
        <v>16.194290000000002</v>
      </c>
      <c r="Z63" s="834">
        <f>SUM($J63:M63)</f>
        <v>16.048909999999999</v>
      </c>
      <c r="AA63" s="175">
        <f>Y63/Z63-1</f>
        <v>9.0585591170990742E-3</v>
      </c>
      <c r="AC63" s="831"/>
      <c r="AD63" s="831"/>
      <c r="AE63" s="831"/>
      <c r="AF63" s="831"/>
      <c r="AG63" s="831"/>
      <c r="AH63" s="831"/>
      <c r="AI63" s="831"/>
      <c r="AJ63" s="831"/>
      <c r="AK63" s="831"/>
      <c r="AL63" s="831"/>
      <c r="AM63" s="831"/>
      <c r="AN63" s="831"/>
      <c r="AO63" s="831"/>
      <c r="AP63" s="831"/>
      <c r="AQ63" s="831"/>
      <c r="AR63" s="831"/>
      <c r="AS63" s="831"/>
      <c r="AT63" s="831"/>
      <c r="AU63" s="831"/>
      <c r="AV63" s="831"/>
      <c r="AW63" s="831"/>
      <c r="AX63" s="831"/>
      <c r="AY63" s="831"/>
      <c r="AZ63" s="831"/>
      <c r="BA63" s="831"/>
      <c r="BB63" s="831"/>
      <c r="BC63" s="831"/>
      <c r="BE63" s="831"/>
      <c r="BF63" s="831"/>
      <c r="BG63" s="831"/>
      <c r="BH63" s="831"/>
      <c r="BI63" s="831"/>
      <c r="BJ63" s="831"/>
      <c r="BK63" s="831"/>
    </row>
    <row r="64" spans="1:63">
      <c r="A64" s="5" t="s">
        <v>808</v>
      </c>
      <c r="B64" s="779">
        <f t="shared" ref="B64:I64" si="47">B17-B32</f>
        <v>15.005303449238422</v>
      </c>
      <c r="C64" s="779">
        <f t="shared" si="47"/>
        <v>12.38247</v>
      </c>
      <c r="D64" s="779">
        <f t="shared" si="47"/>
        <v>11.52782</v>
      </c>
      <c r="E64" s="780">
        <f t="shared" si="47"/>
        <v>13.139780000000002</v>
      </c>
      <c r="F64" s="779">
        <f t="shared" si="47"/>
        <v>13.801910000000001</v>
      </c>
      <c r="G64" s="779">
        <f t="shared" si="47"/>
        <v>13.181520000000001</v>
      </c>
      <c r="H64" s="779">
        <f t="shared" si="47"/>
        <v>13.772919999999999</v>
      </c>
      <c r="I64" s="780">
        <f t="shared" si="47"/>
        <v>15.375499999999999</v>
      </c>
      <c r="J64" s="779">
        <f t="shared" ref="J64:K64" si="48">J17-J32</f>
        <v>15.916149999999998</v>
      </c>
      <c r="K64" s="779">
        <f t="shared" si="48"/>
        <v>15.23907</v>
      </c>
      <c r="L64" s="779">
        <f t="shared" ref="L64:N64" si="49">L17-L32</f>
        <v>15.0977</v>
      </c>
      <c r="M64" s="780">
        <f t="shared" si="49"/>
        <v>16.868070000000003</v>
      </c>
      <c r="N64" s="779">
        <f t="shared" si="49"/>
        <v>17.598670000000002</v>
      </c>
      <c r="O64" s="779">
        <f t="shared" ref="O64:P64" si="50">O17-O32</f>
        <v>16.591989999999999</v>
      </c>
      <c r="P64" s="779">
        <f t="shared" si="50"/>
        <v>17.162179999999999</v>
      </c>
      <c r="Q64" s="780">
        <f t="shared" ref="Q64" si="51">Q17-Q32</f>
        <v>19.102679999999999</v>
      </c>
      <c r="R64" s="779"/>
      <c r="S64" s="779"/>
      <c r="T64" s="779"/>
      <c r="U64" s="781"/>
      <c r="W64" s="473">
        <f>Q64/M64-1</f>
        <v>0.13247573670253887</v>
      </c>
      <c r="X64" s="173">
        <f>Q64/P64-1</f>
        <v>0.11306838641711026</v>
      </c>
      <c r="Y64" s="834">
        <f>SUM($N64:Q64)</f>
        <v>70.455520000000007</v>
      </c>
      <c r="Z64" s="834">
        <f>SUM($J64:M64)</f>
        <v>63.120990000000006</v>
      </c>
      <c r="AA64" s="175">
        <f>Y64/Z64-1</f>
        <v>0.11619795570379998</v>
      </c>
      <c r="AC64" s="831"/>
      <c r="AD64" s="831"/>
      <c r="AE64" s="831"/>
      <c r="AF64" s="831"/>
      <c r="AG64" s="831"/>
      <c r="AH64" s="831"/>
      <c r="AI64" s="831"/>
      <c r="AJ64" s="831"/>
      <c r="AK64" s="831"/>
      <c r="AL64" s="831"/>
      <c r="AM64" s="831"/>
      <c r="AN64" s="831"/>
      <c r="AO64" s="831"/>
      <c r="AP64" s="831"/>
      <c r="AQ64" s="831"/>
      <c r="AR64" s="831"/>
      <c r="AS64" s="831"/>
      <c r="AT64" s="831"/>
      <c r="AU64" s="831"/>
      <c r="AV64" s="831"/>
      <c r="AW64" s="831"/>
      <c r="AX64" s="831"/>
      <c r="AY64" s="831"/>
      <c r="AZ64" s="831"/>
      <c r="BA64" s="831"/>
      <c r="BB64" s="831"/>
      <c r="BC64" s="831"/>
      <c r="BE64" s="831"/>
      <c r="BF64" s="831"/>
      <c r="BG64" s="831"/>
      <c r="BH64" s="831"/>
      <c r="BI64" s="831"/>
      <c r="BJ64" s="831"/>
      <c r="BK64" s="831"/>
    </row>
    <row r="65" spans="1:63">
      <c r="A65" s="5"/>
      <c r="B65" s="779"/>
      <c r="C65" s="779"/>
      <c r="D65" s="779"/>
      <c r="E65" s="780"/>
      <c r="F65" s="779"/>
      <c r="G65" s="779"/>
      <c r="H65" s="779"/>
      <c r="I65" s="780"/>
      <c r="J65" s="779"/>
      <c r="K65" s="779"/>
      <c r="L65" s="779"/>
      <c r="M65" s="780"/>
      <c r="N65" s="779"/>
      <c r="O65" s="779"/>
      <c r="P65" s="779"/>
      <c r="Q65" s="780"/>
      <c r="R65" s="779"/>
      <c r="S65" s="779"/>
      <c r="T65" s="779"/>
      <c r="U65" s="781"/>
      <c r="W65" s="473"/>
      <c r="X65" s="173"/>
      <c r="Y65" s="834"/>
      <c r="Z65" s="834"/>
      <c r="AA65" s="175"/>
      <c r="AC65" s="831"/>
      <c r="AD65" s="831"/>
      <c r="AE65" s="831"/>
      <c r="AF65" s="831"/>
      <c r="AG65" s="831"/>
      <c r="AH65" s="831"/>
      <c r="AI65" s="831"/>
      <c r="AJ65" s="831"/>
      <c r="AK65" s="831"/>
      <c r="AL65" s="831"/>
      <c r="AM65" s="831"/>
      <c r="AN65" s="831"/>
      <c r="AO65" s="831"/>
      <c r="AP65" s="831"/>
      <c r="AQ65" s="831"/>
      <c r="AR65" s="831"/>
      <c r="AS65" s="831"/>
      <c r="AT65" s="831"/>
      <c r="AU65" s="831"/>
      <c r="AV65" s="831"/>
      <c r="AW65" s="831"/>
      <c r="AX65" s="831"/>
      <c r="AY65" s="831"/>
      <c r="AZ65" s="831"/>
      <c r="BA65" s="831"/>
      <c r="BB65" s="831"/>
      <c r="BC65" s="831"/>
      <c r="BE65" s="831"/>
      <c r="BF65" s="831"/>
      <c r="BG65" s="831"/>
      <c r="BH65" s="831"/>
      <c r="BI65" s="831"/>
      <c r="BJ65" s="831"/>
      <c r="BK65" s="831"/>
    </row>
    <row r="66" spans="1:63">
      <c r="A66" s="653" t="s">
        <v>787</v>
      </c>
      <c r="B66" s="776">
        <f>SUM(B61:B64)</f>
        <v>27.762116191397901</v>
      </c>
      <c r="C66" s="776">
        <f t="shared" ref="C66:L66" si="52">SUM(C61:C64)</f>
        <v>21.443930000000002</v>
      </c>
      <c r="D66" s="776">
        <f t="shared" si="52"/>
        <v>22.928840000000001</v>
      </c>
      <c r="E66" s="777">
        <f t="shared" si="52"/>
        <v>28.417800000000003</v>
      </c>
      <c r="F66" s="776">
        <f t="shared" si="52"/>
        <v>26.255600000000001</v>
      </c>
      <c r="G66" s="776">
        <f t="shared" si="52"/>
        <v>29.518360000000001</v>
      </c>
      <c r="H66" s="776">
        <f t="shared" si="52"/>
        <v>25.861370000000001</v>
      </c>
      <c r="I66" s="777">
        <f t="shared" si="52"/>
        <v>33.991410000000002</v>
      </c>
      <c r="J66" s="776">
        <f t="shared" si="52"/>
        <v>30.521599999999999</v>
      </c>
      <c r="K66" s="776">
        <f t="shared" si="52"/>
        <v>32.905909999999999</v>
      </c>
      <c r="L66" s="776">
        <f t="shared" si="52"/>
        <v>27.614509999999996</v>
      </c>
      <c r="M66" s="777">
        <f t="shared" ref="M66:N66" si="53">SUM(M61:M64)</f>
        <v>35.955690000000004</v>
      </c>
      <c r="N66" s="776">
        <f t="shared" si="53"/>
        <v>32.8215</v>
      </c>
      <c r="O66" s="776">
        <f t="shared" ref="O66" si="54">SUM(O61:O64)</f>
        <v>34.622479999999996</v>
      </c>
      <c r="P66" s="776">
        <f t="shared" ref="P66:U66" si="55">SUM(P61:P64)</f>
        <v>30.237859999999998</v>
      </c>
      <c r="Q66" s="777">
        <f t="shared" si="55"/>
        <v>38.155230000000003</v>
      </c>
      <c r="R66" s="776">
        <f t="shared" si="55"/>
        <v>0</v>
      </c>
      <c r="S66" s="776">
        <f t="shared" si="55"/>
        <v>0</v>
      </c>
      <c r="T66" s="776">
        <f t="shared" si="55"/>
        <v>0</v>
      </c>
      <c r="U66" s="778">
        <f t="shared" si="55"/>
        <v>0</v>
      </c>
      <c r="W66" s="835">
        <f>Q66/M66-1</f>
        <v>6.1173627873641001E-2</v>
      </c>
      <c r="X66" s="832">
        <f>Q66/P66-1</f>
        <v>0.26183632042743787</v>
      </c>
      <c r="Y66" s="833">
        <f>SUM($N66:Q66)</f>
        <v>135.83706999999998</v>
      </c>
      <c r="Z66" s="833">
        <f>SUM($J66:M66)</f>
        <v>126.99771</v>
      </c>
      <c r="AA66" s="836">
        <f>Y66/Z66-1</f>
        <v>6.9602514879992583E-2</v>
      </c>
      <c r="AC66" s="831"/>
      <c r="AD66" s="831"/>
      <c r="AE66" s="831"/>
      <c r="AF66" s="831"/>
      <c r="AG66" s="831"/>
      <c r="AH66" s="831"/>
      <c r="AI66" s="831"/>
      <c r="AJ66" s="831"/>
      <c r="AK66" s="831"/>
      <c r="AL66" s="831"/>
      <c r="AM66" s="831"/>
      <c r="AN66" s="831"/>
      <c r="AO66" s="831"/>
      <c r="AP66" s="831"/>
      <c r="AQ66" s="831"/>
      <c r="AR66" s="831"/>
      <c r="AS66" s="831"/>
      <c r="AT66" s="831"/>
      <c r="AU66" s="831"/>
      <c r="AV66" s="831"/>
      <c r="AW66" s="831"/>
      <c r="AX66" s="831"/>
      <c r="AY66" s="831"/>
      <c r="AZ66" s="831"/>
      <c r="BA66" s="831"/>
      <c r="BB66" s="831"/>
      <c r="BC66" s="831"/>
      <c r="BE66" s="831"/>
      <c r="BF66" s="831"/>
      <c r="BG66" s="831"/>
      <c r="BH66" s="831"/>
      <c r="BI66" s="831"/>
      <c r="BJ66" s="831"/>
      <c r="BK66" s="831"/>
    </row>
    <row r="67" spans="1:63" ht="16" thickBot="1">
      <c r="A67" s="217"/>
      <c r="B67" s="612"/>
      <c r="C67" s="612"/>
      <c r="D67" s="612"/>
      <c r="E67" s="782"/>
      <c r="F67" s="612"/>
      <c r="G67" s="612"/>
      <c r="H67" s="612"/>
      <c r="I67" s="782"/>
      <c r="J67" s="612"/>
      <c r="K67" s="612"/>
      <c r="L67" s="612"/>
      <c r="M67" s="782"/>
      <c r="N67" s="612"/>
      <c r="O67" s="612"/>
      <c r="P67" s="612"/>
      <c r="Q67" s="782"/>
      <c r="R67" s="612"/>
      <c r="S67" s="612"/>
      <c r="T67" s="612"/>
      <c r="U67" s="613"/>
      <c r="W67" s="837"/>
      <c r="X67" s="715"/>
      <c r="Y67" s="838"/>
      <c r="Z67" s="838"/>
      <c r="AA67" s="784"/>
      <c r="AC67" s="831"/>
      <c r="AD67" s="831"/>
      <c r="AE67" s="831"/>
      <c r="AF67" s="831"/>
      <c r="AG67" s="831"/>
      <c r="AH67" s="831"/>
      <c r="AI67" s="831"/>
      <c r="AJ67" s="831"/>
      <c r="AK67" s="831"/>
      <c r="AL67" s="831"/>
      <c r="AM67" s="831"/>
      <c r="AN67" s="831"/>
      <c r="AO67" s="831"/>
      <c r="AP67" s="831"/>
      <c r="AQ67" s="831"/>
      <c r="AR67" s="831"/>
      <c r="AS67" s="831"/>
      <c r="AT67" s="831"/>
      <c r="AU67" s="831"/>
      <c r="AV67" s="831"/>
      <c r="AW67" s="831"/>
      <c r="AX67" s="831"/>
      <c r="AY67" s="831"/>
      <c r="AZ67" s="831"/>
      <c r="BA67" s="831"/>
      <c r="BB67" s="831"/>
      <c r="BC67" s="831"/>
      <c r="BE67" s="831"/>
      <c r="BF67" s="831"/>
      <c r="BG67" s="831"/>
      <c r="BH67" s="831"/>
      <c r="BI67" s="831"/>
      <c r="BJ67" s="831"/>
      <c r="BK67" s="831"/>
    </row>
    <row r="68" spans="1:63">
      <c r="AC68" s="831"/>
      <c r="AD68" s="831"/>
      <c r="AE68" s="831"/>
      <c r="AF68" s="831"/>
      <c r="AG68" s="831"/>
      <c r="AH68" s="831"/>
      <c r="AI68" s="831"/>
      <c r="AJ68" s="831"/>
      <c r="AK68" s="831"/>
      <c r="AL68" s="831"/>
      <c r="AM68" s="831"/>
      <c r="AN68" s="831"/>
      <c r="AO68" s="831"/>
      <c r="AP68" s="831"/>
      <c r="AQ68" s="831"/>
      <c r="AR68" s="831"/>
      <c r="AS68" s="831"/>
      <c r="AT68" s="831"/>
      <c r="AU68" s="831"/>
      <c r="AV68" s="831"/>
      <c r="AW68" s="831"/>
      <c r="AX68" s="831"/>
      <c r="AY68" s="831"/>
      <c r="AZ68" s="831"/>
      <c r="BA68" s="831"/>
      <c r="BB68" s="831"/>
      <c r="BC68" s="831"/>
      <c r="BE68" s="831"/>
      <c r="BF68" s="831"/>
      <c r="BG68" s="831"/>
      <c r="BH68" s="831"/>
      <c r="BI68" s="831"/>
      <c r="BJ68" s="831"/>
      <c r="BK68" s="831"/>
    </row>
    <row r="69" spans="1:63">
      <c r="AC69" s="831"/>
      <c r="AD69" s="831"/>
      <c r="AE69" s="831"/>
      <c r="AF69" s="831"/>
      <c r="AG69" s="831"/>
      <c r="AH69" s="831"/>
      <c r="AI69" s="831"/>
      <c r="AJ69" s="831"/>
      <c r="AK69" s="831"/>
      <c r="AL69" s="831"/>
      <c r="AM69" s="831"/>
      <c r="AN69" s="831"/>
      <c r="AO69" s="831"/>
      <c r="AP69" s="831"/>
      <c r="AQ69" s="831"/>
      <c r="AR69" s="831"/>
      <c r="AS69" s="831"/>
      <c r="AT69" s="831"/>
      <c r="AU69" s="831"/>
      <c r="AV69" s="831"/>
      <c r="AW69" s="831"/>
      <c r="AX69" s="831"/>
      <c r="AY69" s="831"/>
      <c r="AZ69" s="831"/>
      <c r="BA69" s="831"/>
      <c r="BB69" s="831"/>
      <c r="BC69" s="831"/>
      <c r="BE69" s="831"/>
      <c r="BF69" s="831"/>
      <c r="BG69" s="831"/>
      <c r="BH69" s="831"/>
      <c r="BI69" s="831"/>
      <c r="BJ69" s="831"/>
      <c r="BK69" s="831"/>
    </row>
    <row r="70" spans="1:63">
      <c r="AC70" s="831"/>
      <c r="AD70" s="831"/>
      <c r="AE70" s="831"/>
      <c r="AF70" s="831"/>
      <c r="AG70" s="831"/>
      <c r="AH70" s="831"/>
      <c r="AI70" s="831"/>
      <c r="AJ70" s="831"/>
      <c r="AK70" s="831"/>
      <c r="AL70" s="831"/>
      <c r="AM70" s="831"/>
      <c r="AN70" s="831"/>
      <c r="AO70" s="831"/>
      <c r="AP70" s="831"/>
      <c r="AQ70" s="831"/>
      <c r="AR70" s="831"/>
      <c r="AS70" s="831"/>
      <c r="AT70" s="831"/>
      <c r="AU70" s="831"/>
      <c r="AV70" s="831"/>
      <c r="AW70" s="831"/>
      <c r="AX70" s="831"/>
      <c r="AY70" s="831"/>
      <c r="AZ70" s="831"/>
      <c r="BA70" s="831"/>
      <c r="BB70" s="831"/>
      <c r="BC70" s="831"/>
      <c r="BE70" s="831"/>
      <c r="BF70" s="831"/>
      <c r="BG70" s="831"/>
      <c r="BH70" s="831"/>
      <c r="BI70" s="831"/>
      <c r="BJ70" s="831"/>
      <c r="BK70" s="831"/>
    </row>
    <row r="71" spans="1:63" ht="19">
      <c r="A71" s="435" t="s">
        <v>814</v>
      </c>
      <c r="AC71" s="831"/>
      <c r="AD71" s="831"/>
      <c r="AE71" s="831"/>
      <c r="AF71" s="831"/>
      <c r="AG71" s="831"/>
      <c r="AH71" s="831"/>
      <c r="AI71" s="831"/>
      <c r="AJ71" s="831"/>
      <c r="AK71" s="831"/>
      <c r="AL71" s="831"/>
      <c r="AM71" s="831"/>
      <c r="AN71" s="831"/>
      <c r="AO71" s="831"/>
      <c r="AP71" s="831"/>
      <c r="AQ71" s="831"/>
      <c r="AR71" s="831"/>
      <c r="AS71" s="831"/>
      <c r="AT71" s="831"/>
      <c r="AU71" s="831"/>
      <c r="AV71" s="831"/>
      <c r="AW71" s="831"/>
      <c r="AX71" s="831"/>
      <c r="AY71" s="831"/>
      <c r="AZ71" s="831"/>
      <c r="BA71" s="831"/>
      <c r="BB71" s="831"/>
      <c r="BC71" s="831"/>
      <c r="BE71" s="831"/>
      <c r="BF71" s="831"/>
      <c r="BG71" s="831"/>
      <c r="BH71" s="831"/>
      <c r="BI71" s="831"/>
      <c r="BJ71" s="831"/>
      <c r="BK71" s="831"/>
    </row>
    <row r="72" spans="1:63" ht="16" thickBot="1">
      <c r="AC72" s="831"/>
      <c r="AD72" s="831"/>
      <c r="AE72" s="831"/>
      <c r="AF72" s="831"/>
      <c r="AG72" s="831"/>
      <c r="AH72" s="831"/>
      <c r="AI72" s="831"/>
      <c r="AJ72" s="831"/>
      <c r="AK72" s="831"/>
      <c r="AL72" s="831"/>
      <c r="AM72" s="831"/>
      <c r="AN72" s="831"/>
      <c r="AO72" s="831"/>
      <c r="AP72" s="831"/>
      <c r="AQ72" s="831"/>
      <c r="AR72" s="831"/>
      <c r="AS72" s="831"/>
      <c r="AT72" s="831"/>
      <c r="AU72" s="831"/>
      <c r="AV72" s="831"/>
      <c r="AW72" s="831"/>
      <c r="AX72" s="831"/>
      <c r="AY72" s="831"/>
      <c r="AZ72" s="831"/>
      <c r="BA72" s="831"/>
      <c r="BB72" s="831"/>
      <c r="BC72" s="831"/>
      <c r="BE72" s="831"/>
      <c r="BF72" s="831"/>
      <c r="BG72" s="831"/>
      <c r="BH72" s="831"/>
      <c r="BI72" s="831"/>
      <c r="BJ72" s="831"/>
      <c r="BK72" s="831"/>
    </row>
    <row r="73" spans="1:63" ht="19" customHeight="1">
      <c r="A73" s="792" t="s">
        <v>792</v>
      </c>
      <c r="B73" s="770" t="s">
        <v>793</v>
      </c>
      <c r="C73" s="770" t="s">
        <v>794</v>
      </c>
      <c r="D73" s="770" t="s">
        <v>795</v>
      </c>
      <c r="E73" s="771" t="s">
        <v>796</v>
      </c>
      <c r="F73" s="770" t="s">
        <v>797</v>
      </c>
      <c r="G73" s="770" t="s">
        <v>798</v>
      </c>
      <c r="H73" s="770" t="s">
        <v>799</v>
      </c>
      <c r="I73" s="771" t="s">
        <v>800</v>
      </c>
      <c r="J73" s="770" t="s">
        <v>801</v>
      </c>
      <c r="K73" s="770" t="s">
        <v>802</v>
      </c>
      <c r="L73" s="770" t="s">
        <v>803</v>
      </c>
      <c r="M73" s="771" t="s">
        <v>804</v>
      </c>
      <c r="N73" s="770" t="s">
        <v>851</v>
      </c>
      <c r="O73" s="770" t="s">
        <v>852</v>
      </c>
      <c r="P73" s="770" t="s">
        <v>853</v>
      </c>
      <c r="Q73" s="771" t="s">
        <v>854</v>
      </c>
      <c r="R73" s="770" t="s">
        <v>884</v>
      </c>
      <c r="S73" s="770" t="s">
        <v>885</v>
      </c>
      <c r="T73" s="770" t="s">
        <v>886</v>
      </c>
      <c r="U73" s="646" t="s">
        <v>887</v>
      </c>
      <c r="W73" s="769" t="str">
        <f>W12</f>
        <v>YoY</v>
      </c>
      <c r="X73" s="770" t="str">
        <f>X12</f>
        <v>QoQ</v>
      </c>
      <c r="Y73" s="770" t="str">
        <f>Y12</f>
        <v>YTD24</v>
      </c>
      <c r="Z73" s="770" t="str">
        <f>Z12</f>
        <v>YTD23</v>
      </c>
      <c r="AA73" s="646" t="str">
        <f>AA12</f>
        <v>YTD %</v>
      </c>
      <c r="AC73" s="831"/>
      <c r="AD73" s="831"/>
      <c r="AE73" s="831"/>
      <c r="AF73" s="831"/>
      <c r="AG73" s="831"/>
      <c r="AH73" s="831"/>
      <c r="AI73" s="831"/>
      <c r="AJ73" s="831"/>
      <c r="AK73" s="831"/>
      <c r="AL73" s="831"/>
      <c r="AM73" s="831"/>
      <c r="AN73" s="831"/>
      <c r="AO73" s="831"/>
      <c r="AP73" s="831"/>
      <c r="AQ73" s="831"/>
      <c r="AR73" s="831"/>
      <c r="AS73" s="831"/>
      <c r="AT73" s="831"/>
      <c r="AU73" s="831"/>
      <c r="AV73" s="831"/>
      <c r="AW73" s="831"/>
      <c r="AX73" s="831"/>
      <c r="AY73" s="831"/>
      <c r="AZ73" s="831"/>
      <c r="BA73" s="831"/>
      <c r="BB73" s="831"/>
      <c r="BC73" s="831"/>
      <c r="BE73" s="831"/>
      <c r="BF73" s="831"/>
      <c r="BG73" s="831"/>
      <c r="BH73" s="831"/>
      <c r="BI73" s="831"/>
      <c r="BJ73" s="831"/>
      <c r="BK73" s="831"/>
    </row>
    <row r="74" spans="1:63">
      <c r="A74" s="5"/>
      <c r="E74" s="115"/>
      <c r="I74" s="115"/>
      <c r="M74" s="115"/>
      <c r="Q74" s="115"/>
      <c r="U74" s="116"/>
      <c r="W74" s="6"/>
      <c r="AA74" s="116"/>
      <c r="AC74" s="831"/>
      <c r="AD74" s="831"/>
      <c r="AE74" s="831"/>
      <c r="AF74" s="831"/>
      <c r="AG74" s="831"/>
      <c r="AH74" s="831"/>
      <c r="AI74" s="831"/>
      <c r="AJ74" s="831"/>
      <c r="AK74" s="831"/>
      <c r="AL74" s="831"/>
      <c r="AM74" s="831"/>
      <c r="AN74" s="831"/>
      <c r="AO74" s="831"/>
      <c r="AP74" s="831"/>
      <c r="AQ74" s="831"/>
      <c r="AR74" s="831"/>
      <c r="AS74" s="831"/>
      <c r="AT74" s="831"/>
      <c r="AU74" s="831"/>
      <c r="AV74" s="831"/>
      <c r="AW74" s="831"/>
      <c r="AX74" s="831"/>
      <c r="AY74" s="831"/>
      <c r="AZ74" s="831"/>
      <c r="BA74" s="831"/>
      <c r="BB74" s="831"/>
      <c r="BC74" s="831"/>
      <c r="BE74" s="831"/>
      <c r="BF74" s="831"/>
      <c r="BG74" s="831"/>
      <c r="BH74" s="831"/>
      <c r="BI74" s="831"/>
      <c r="BJ74" s="831"/>
      <c r="BK74" s="831"/>
    </row>
    <row r="75" spans="1:63" ht="16" customHeight="1">
      <c r="A75" s="5" t="s">
        <v>805</v>
      </c>
      <c r="B75" s="779">
        <v>0.1140260968348735</v>
      </c>
      <c r="C75" s="779">
        <v>0.10506</v>
      </c>
      <c r="D75" s="779">
        <v>0.11555</v>
      </c>
      <c r="E75" s="780">
        <v>0.15780000000000002</v>
      </c>
      <c r="F75" s="779">
        <v>0.16916999999999999</v>
      </c>
      <c r="G75" s="779">
        <v>0.13871</v>
      </c>
      <c r="H75" s="779">
        <v>0.15140999999999999</v>
      </c>
      <c r="I75" s="780">
        <v>0.16056999999999999</v>
      </c>
      <c r="J75" s="779">
        <v>0.20329</v>
      </c>
      <c r="K75" s="779">
        <v>0.17402999999999999</v>
      </c>
      <c r="L75" s="779">
        <v>0.14116000000000001</v>
      </c>
      <c r="M75" s="780">
        <v>0.16649</v>
      </c>
      <c r="N75" s="779">
        <v>0.17832000000000001</v>
      </c>
      <c r="O75" s="779">
        <v>0.19040000000000001</v>
      </c>
      <c r="P75" s="779">
        <v>0.16108</v>
      </c>
      <c r="Q75" s="780">
        <v>0.21712000000000001</v>
      </c>
      <c r="R75" s="779"/>
      <c r="S75" s="779"/>
      <c r="T75" s="779"/>
      <c r="U75" s="781"/>
      <c r="W75" s="473">
        <f>Q75/M75-1</f>
        <v>0.30410234848939877</v>
      </c>
      <c r="X75" s="173">
        <f>Q75/P75-1</f>
        <v>0.34790166376955556</v>
      </c>
      <c r="Y75" s="834">
        <f>SUM($N75:Q75)</f>
        <v>0.74692000000000003</v>
      </c>
      <c r="Z75" s="834">
        <f>SUM($J75:M75)</f>
        <v>0.68497000000000008</v>
      </c>
      <c r="AA75" s="175">
        <f>Y75/Z75-1</f>
        <v>9.0441917164255203E-2</v>
      </c>
      <c r="AC75" s="831"/>
      <c r="AD75" s="831"/>
      <c r="AE75" s="831"/>
      <c r="AF75" s="831"/>
      <c r="AG75" s="831"/>
      <c r="AH75" s="831"/>
      <c r="AI75" s="831"/>
      <c r="AJ75" s="831"/>
      <c r="AK75" s="831"/>
      <c r="AL75" s="831"/>
      <c r="AM75" s="831"/>
      <c r="AN75" s="831"/>
      <c r="AO75" s="831"/>
      <c r="AP75" s="831"/>
      <c r="AQ75" s="831"/>
      <c r="AR75" s="831"/>
      <c r="AS75" s="831"/>
      <c r="AT75" s="831"/>
      <c r="AU75" s="831"/>
      <c r="AV75" s="831"/>
      <c r="AW75" s="831"/>
      <c r="AX75" s="831"/>
      <c r="AY75" s="831"/>
      <c r="AZ75" s="831"/>
      <c r="BA75" s="831"/>
      <c r="BB75" s="831"/>
      <c r="BC75" s="831"/>
      <c r="BE75" s="831"/>
      <c r="BF75" s="831"/>
      <c r="BG75" s="831"/>
      <c r="BH75" s="831"/>
      <c r="BI75" s="831"/>
      <c r="BJ75" s="831"/>
      <c r="BK75" s="831"/>
    </row>
    <row r="76" spans="1:63">
      <c r="A76" s="5" t="s">
        <v>806</v>
      </c>
      <c r="B76" s="779">
        <v>0.39359869565648836</v>
      </c>
      <c r="C76" s="779">
        <v>0.23211999999999999</v>
      </c>
      <c r="D76" s="779">
        <v>0.89016999999999991</v>
      </c>
      <c r="E76" s="780">
        <v>1.49075</v>
      </c>
      <c r="F76" s="779">
        <v>0.89096000000000009</v>
      </c>
      <c r="G76" s="779">
        <v>1.83589</v>
      </c>
      <c r="H76" s="779">
        <v>0.90771000000000002</v>
      </c>
      <c r="I76" s="780">
        <v>1.9599300000000002</v>
      </c>
      <c r="J76" s="779">
        <v>0.94254000000000004</v>
      </c>
      <c r="K76" s="779">
        <v>1.85358</v>
      </c>
      <c r="L76" s="779">
        <v>0.86253999999999997</v>
      </c>
      <c r="M76" s="780">
        <v>1.86239</v>
      </c>
      <c r="N76" s="779">
        <v>0.90868000000000004</v>
      </c>
      <c r="O76" s="779">
        <v>1.7706599999999999</v>
      </c>
      <c r="P76" s="779">
        <v>0.81074999999999997</v>
      </c>
      <c r="Q76" s="780">
        <v>1.77763</v>
      </c>
      <c r="R76" s="779"/>
      <c r="S76" s="779"/>
      <c r="T76" s="779"/>
      <c r="U76" s="781"/>
      <c r="W76" s="473">
        <f>Q76/M76-1</f>
        <v>-4.5511412754578817E-2</v>
      </c>
      <c r="X76" s="173">
        <f>Q76/P76-1</f>
        <v>1.1925747764415666</v>
      </c>
      <c r="Y76" s="834">
        <f>SUM($N76:Q76)</f>
        <v>5.2677199999999997</v>
      </c>
      <c r="Z76" s="834">
        <f>SUM($J76:M76)</f>
        <v>5.5210500000000007</v>
      </c>
      <c r="AA76" s="175">
        <f>Y76/Z76-1</f>
        <v>-4.588438793345484E-2</v>
      </c>
      <c r="AC76" s="831"/>
      <c r="AD76" s="831"/>
      <c r="AE76" s="831"/>
      <c r="AF76" s="831"/>
      <c r="AG76" s="831"/>
      <c r="AH76" s="831"/>
      <c r="AI76" s="831"/>
      <c r="AJ76" s="831"/>
      <c r="AK76" s="831"/>
      <c r="AL76" s="831"/>
      <c r="AM76" s="831"/>
      <c r="AN76" s="831"/>
      <c r="AO76" s="831"/>
      <c r="AP76" s="831"/>
      <c r="AQ76" s="831"/>
      <c r="AR76" s="831"/>
      <c r="AS76" s="831"/>
      <c r="AT76" s="831"/>
      <c r="AU76" s="831"/>
      <c r="AV76" s="831"/>
      <c r="AW76" s="831"/>
      <c r="AX76" s="831"/>
      <c r="AY76" s="831"/>
      <c r="AZ76" s="831"/>
      <c r="BA76" s="831"/>
      <c r="BB76" s="831"/>
      <c r="BC76" s="831"/>
      <c r="BE76" s="831"/>
      <c r="BF76" s="831"/>
      <c r="BG76" s="831"/>
      <c r="BH76" s="831"/>
      <c r="BI76" s="831"/>
      <c r="BJ76" s="831"/>
      <c r="BK76" s="831"/>
    </row>
    <row r="77" spans="1:63">
      <c r="A77" s="5" t="s">
        <v>807</v>
      </c>
      <c r="B77" s="779">
        <v>0.93232462772050384</v>
      </c>
      <c r="C77" s="779">
        <v>0.86488999999999994</v>
      </c>
      <c r="D77" s="779">
        <v>0.73448000000000002</v>
      </c>
      <c r="E77" s="780">
        <v>0.80758000000000008</v>
      </c>
      <c r="F77" s="779">
        <v>0.8374299999999999</v>
      </c>
      <c r="G77" s="779">
        <v>0.77464</v>
      </c>
      <c r="H77" s="779">
        <v>0.80279</v>
      </c>
      <c r="I77" s="780">
        <v>0.85099000000000002</v>
      </c>
      <c r="J77" s="779">
        <v>0.98882999999999999</v>
      </c>
      <c r="K77" s="779">
        <v>0.82620000000000005</v>
      </c>
      <c r="L77" s="779">
        <v>0.77209000000000005</v>
      </c>
      <c r="M77" s="780">
        <v>0.84879000000000004</v>
      </c>
      <c r="N77" s="779">
        <v>0.97984000000000004</v>
      </c>
      <c r="O77" s="779">
        <v>0.83930000000000005</v>
      </c>
      <c r="P77" s="779">
        <v>0.77090999999999998</v>
      </c>
      <c r="Q77" s="780">
        <v>0.92501999999999995</v>
      </c>
      <c r="R77" s="779"/>
      <c r="S77" s="779"/>
      <c r="T77" s="779"/>
      <c r="U77" s="781"/>
      <c r="W77" s="473">
        <f>Q77/M77-1</f>
        <v>8.9810200402926421E-2</v>
      </c>
      <c r="X77" s="173">
        <f>Q77/P77-1</f>
        <v>0.19990660388372183</v>
      </c>
      <c r="Y77" s="834">
        <f>SUM($N77:Q77)</f>
        <v>3.5150699999999997</v>
      </c>
      <c r="Z77" s="834">
        <f>SUM($J77:M77)</f>
        <v>3.4359100000000002</v>
      </c>
      <c r="AA77" s="175">
        <f>Y77/Z77-1</f>
        <v>2.3039020230448237E-2</v>
      </c>
      <c r="AC77" s="831"/>
      <c r="AD77" s="831"/>
      <c r="AE77" s="831"/>
      <c r="AF77" s="831"/>
      <c r="AG77" s="831"/>
      <c r="AH77" s="831"/>
      <c r="AI77" s="831"/>
      <c r="AJ77" s="831"/>
      <c r="AK77" s="831"/>
      <c r="AL77" s="831"/>
      <c r="AM77" s="831"/>
      <c r="AN77" s="831"/>
      <c r="AO77" s="831"/>
      <c r="AP77" s="831"/>
      <c r="AQ77" s="831"/>
      <c r="AR77" s="831"/>
      <c r="AS77" s="831"/>
      <c r="AT77" s="831"/>
      <c r="AU77" s="831"/>
      <c r="AV77" s="831"/>
      <c r="AW77" s="831"/>
      <c r="AX77" s="831"/>
      <c r="AY77" s="831"/>
      <c r="AZ77" s="831"/>
      <c r="BA77" s="831"/>
      <c r="BB77" s="831"/>
      <c r="BC77" s="831"/>
      <c r="BE77" s="831"/>
      <c r="BF77" s="831"/>
      <c r="BG77" s="831"/>
      <c r="BH77" s="831"/>
      <c r="BI77" s="831"/>
      <c r="BJ77" s="831"/>
      <c r="BK77" s="831"/>
    </row>
    <row r="78" spans="1:63">
      <c r="A78" s="5" t="s">
        <v>808</v>
      </c>
      <c r="B78" s="779">
        <v>0.15751677435568534</v>
      </c>
      <c r="C78" s="779">
        <v>0.13356999999999999</v>
      </c>
      <c r="D78" s="779">
        <v>0.14906</v>
      </c>
      <c r="E78" s="780">
        <v>0.17155000000000001</v>
      </c>
      <c r="F78" s="779">
        <v>0.1749</v>
      </c>
      <c r="G78" s="779">
        <v>0.17294999999999999</v>
      </c>
      <c r="H78" s="779">
        <v>0.17999000000000001</v>
      </c>
      <c r="I78" s="780">
        <v>0.20537</v>
      </c>
      <c r="J78" s="779">
        <v>0.20665</v>
      </c>
      <c r="K78" s="779">
        <v>0.19736000000000001</v>
      </c>
      <c r="L78" s="779">
        <v>0.19877</v>
      </c>
      <c r="M78" s="780">
        <v>0.22658</v>
      </c>
      <c r="N78" s="779">
        <v>0.23272999999999999</v>
      </c>
      <c r="O78" s="779">
        <v>0.22040000000000001</v>
      </c>
      <c r="P78" s="779">
        <v>0.22966</v>
      </c>
      <c r="Q78" s="780">
        <v>0.26005</v>
      </c>
      <c r="R78" s="779"/>
      <c r="S78" s="779"/>
      <c r="T78" s="779"/>
      <c r="U78" s="781"/>
      <c r="W78" s="473">
        <f>Q78/M78-1</f>
        <v>0.14771824521140431</v>
      </c>
      <c r="X78" s="173">
        <f>Q78/P78-1</f>
        <v>0.13232604720020902</v>
      </c>
      <c r="Y78" s="834">
        <f>SUM($N78:Q78)</f>
        <v>0.94284000000000001</v>
      </c>
      <c r="Z78" s="834">
        <f>SUM($J78:M78)</f>
        <v>0.82935999999999999</v>
      </c>
      <c r="AA78" s="175">
        <f>Y78/Z78-1</f>
        <v>0.13682839780071387</v>
      </c>
      <c r="AC78" s="831"/>
      <c r="AD78" s="831"/>
      <c r="AE78" s="831"/>
      <c r="AF78" s="831"/>
      <c r="AG78" s="831"/>
      <c r="AH78" s="831"/>
      <c r="AI78" s="831"/>
      <c r="AJ78" s="831"/>
      <c r="AK78" s="831"/>
      <c r="AL78" s="831"/>
      <c r="AM78" s="831"/>
      <c r="AN78" s="831"/>
      <c r="AO78" s="831"/>
      <c r="AP78" s="831"/>
      <c r="AQ78" s="831"/>
      <c r="AR78" s="831"/>
      <c r="AS78" s="831"/>
      <c r="AT78" s="831"/>
      <c r="AU78" s="831"/>
      <c r="AV78" s="831"/>
      <c r="AW78" s="831"/>
      <c r="AX78" s="831"/>
      <c r="AY78" s="831"/>
      <c r="AZ78" s="831"/>
      <c r="BA78" s="831"/>
      <c r="BB78" s="831"/>
      <c r="BC78" s="831"/>
      <c r="BE78" s="831"/>
      <c r="BF78" s="831"/>
      <c r="BG78" s="831"/>
      <c r="BH78" s="831"/>
      <c r="BI78" s="831"/>
      <c r="BJ78" s="831"/>
      <c r="BK78" s="831"/>
    </row>
    <row r="79" spans="1:63">
      <c r="A79" s="5"/>
      <c r="B79" s="779"/>
      <c r="C79" s="779"/>
      <c r="D79" s="779"/>
      <c r="E79" s="780"/>
      <c r="F79" s="779"/>
      <c r="G79" s="779"/>
      <c r="H79" s="779"/>
      <c r="I79" s="780"/>
      <c r="J79" s="779"/>
      <c r="K79" s="779"/>
      <c r="L79" s="779"/>
      <c r="M79" s="780"/>
      <c r="N79" s="779"/>
      <c r="O79" s="779"/>
      <c r="P79" s="779"/>
      <c r="Q79" s="780"/>
      <c r="R79" s="779"/>
      <c r="S79" s="779"/>
      <c r="T79" s="779"/>
      <c r="U79" s="781"/>
      <c r="W79" s="473"/>
      <c r="X79" s="173"/>
      <c r="Y79" s="834"/>
      <c r="Z79" s="834"/>
      <c r="AA79" s="175"/>
      <c r="AC79" s="831"/>
      <c r="AD79" s="831"/>
      <c r="AE79" s="831"/>
      <c r="AF79" s="831"/>
      <c r="AG79" s="831"/>
      <c r="AH79" s="831"/>
      <c r="AI79" s="831"/>
      <c r="AJ79" s="831"/>
      <c r="AK79" s="831"/>
      <c r="AL79" s="831"/>
      <c r="AM79" s="831"/>
      <c r="AN79" s="831"/>
      <c r="AO79" s="831"/>
      <c r="AP79" s="831"/>
      <c r="AQ79" s="831"/>
      <c r="AR79" s="831"/>
      <c r="AS79" s="831"/>
      <c r="AT79" s="831"/>
      <c r="AU79" s="831"/>
      <c r="AV79" s="831"/>
      <c r="AW79" s="831"/>
      <c r="AX79" s="831"/>
      <c r="AY79" s="831"/>
      <c r="AZ79" s="831"/>
      <c r="BA79" s="831"/>
      <c r="BB79" s="831"/>
      <c r="BC79" s="831"/>
      <c r="BE79" s="831"/>
      <c r="BF79" s="831"/>
      <c r="BG79" s="831"/>
      <c r="BH79" s="831"/>
      <c r="BI79" s="831"/>
      <c r="BJ79" s="831"/>
      <c r="BK79" s="831"/>
    </row>
    <row r="80" spans="1:63">
      <c r="A80" s="653" t="s">
        <v>787</v>
      </c>
      <c r="B80" s="776">
        <f>SUM(B75:B78)</f>
        <v>1.597466194567551</v>
      </c>
      <c r="C80" s="776">
        <f t="shared" ref="C80:M80" si="56">SUM(C75:C78)</f>
        <v>1.3356399999999999</v>
      </c>
      <c r="D80" s="776">
        <f t="shared" si="56"/>
        <v>1.8892599999999999</v>
      </c>
      <c r="E80" s="777">
        <f t="shared" si="56"/>
        <v>2.6276799999999998</v>
      </c>
      <c r="F80" s="776">
        <f t="shared" si="56"/>
        <v>2.07246</v>
      </c>
      <c r="G80" s="776">
        <f t="shared" si="56"/>
        <v>2.9221900000000005</v>
      </c>
      <c r="H80" s="776">
        <f t="shared" si="56"/>
        <v>2.0419</v>
      </c>
      <c r="I80" s="777">
        <f t="shared" si="56"/>
        <v>3.17686</v>
      </c>
      <c r="J80" s="776">
        <f t="shared" si="56"/>
        <v>2.34131</v>
      </c>
      <c r="K80" s="776">
        <f t="shared" si="56"/>
        <v>3.0511700000000004</v>
      </c>
      <c r="L80" s="776">
        <f t="shared" si="56"/>
        <v>1.9745600000000003</v>
      </c>
      <c r="M80" s="777">
        <f t="shared" si="56"/>
        <v>3.1042500000000004</v>
      </c>
      <c r="N80" s="776">
        <f t="shared" ref="N80:U80" si="57">SUM(N75:N78)</f>
        <v>2.2995700000000001</v>
      </c>
      <c r="O80" s="776">
        <f t="shared" si="57"/>
        <v>3.0207600000000001</v>
      </c>
      <c r="P80" s="776">
        <f t="shared" si="57"/>
        <v>1.9723999999999999</v>
      </c>
      <c r="Q80" s="777">
        <f t="shared" si="57"/>
        <v>3.1798199999999999</v>
      </c>
      <c r="R80" s="776">
        <f t="shared" si="57"/>
        <v>0</v>
      </c>
      <c r="S80" s="776">
        <f t="shared" si="57"/>
        <v>0</v>
      </c>
      <c r="T80" s="776">
        <f t="shared" si="57"/>
        <v>0</v>
      </c>
      <c r="U80" s="778">
        <f t="shared" si="57"/>
        <v>0</v>
      </c>
      <c r="W80" s="835">
        <f>Q80/M80-1</f>
        <v>2.4344044455182345E-2</v>
      </c>
      <c r="X80" s="832">
        <f>Q80/P80-1</f>
        <v>0.61215777732711407</v>
      </c>
      <c r="Y80" s="833">
        <f>SUM($N80:Q80)</f>
        <v>10.47255</v>
      </c>
      <c r="Z80" s="833">
        <f>SUM($J80:M80)</f>
        <v>10.471290000000002</v>
      </c>
      <c r="AA80" s="836">
        <f>Y80/Z80-1</f>
        <v>1.2032901390357509E-4</v>
      </c>
      <c r="AC80" s="831"/>
      <c r="AD80" s="831"/>
      <c r="AE80" s="831"/>
      <c r="AF80" s="831"/>
      <c r="AG80" s="831"/>
      <c r="AH80" s="831"/>
      <c r="AI80" s="831"/>
      <c r="AJ80" s="831"/>
      <c r="AK80" s="831"/>
      <c r="AL80" s="831"/>
      <c r="AM80" s="831"/>
      <c r="AN80" s="831"/>
      <c r="AO80" s="831"/>
      <c r="AP80" s="831"/>
      <c r="AQ80" s="831"/>
      <c r="AR80" s="831"/>
      <c r="AS80" s="831"/>
      <c r="AT80" s="831"/>
      <c r="AU80" s="831"/>
      <c r="AV80" s="831"/>
      <c r="AW80" s="831"/>
      <c r="AX80" s="831"/>
      <c r="AY80" s="831"/>
      <c r="AZ80" s="831"/>
      <c r="BA80" s="831"/>
      <c r="BB80" s="831"/>
      <c r="BC80" s="831"/>
      <c r="BE80" s="831"/>
      <c r="BF80" s="831"/>
      <c r="BG80" s="831"/>
      <c r="BH80" s="831"/>
      <c r="BI80" s="831"/>
      <c r="BJ80" s="831"/>
      <c r="BK80" s="831"/>
    </row>
    <row r="81" spans="1:78" ht="16" thickBot="1">
      <c r="A81" s="217"/>
      <c r="B81" s="218"/>
      <c r="C81" s="218"/>
      <c r="D81" s="218"/>
      <c r="E81" s="219"/>
      <c r="F81" s="218"/>
      <c r="G81" s="218"/>
      <c r="H81" s="218"/>
      <c r="I81" s="219"/>
      <c r="J81" s="218"/>
      <c r="K81" s="218"/>
      <c r="L81" s="218"/>
      <c r="M81" s="219"/>
      <c r="N81" s="218"/>
      <c r="O81" s="218"/>
      <c r="P81" s="218"/>
      <c r="Q81" s="219"/>
      <c r="R81" s="218"/>
      <c r="S81" s="218"/>
      <c r="T81" s="218"/>
      <c r="U81" s="220"/>
      <c r="W81" s="837"/>
      <c r="X81" s="715"/>
      <c r="Y81" s="838"/>
      <c r="Z81" s="838"/>
      <c r="AA81" s="784"/>
      <c r="AC81" s="831"/>
      <c r="AD81" s="831"/>
      <c r="AE81" s="831"/>
      <c r="AF81" s="831"/>
      <c r="AG81" s="831"/>
      <c r="AH81" s="831"/>
      <c r="AI81" s="831"/>
      <c r="AJ81" s="831"/>
      <c r="AK81" s="831"/>
      <c r="AL81" s="831"/>
      <c r="AM81" s="831"/>
      <c r="AN81" s="831"/>
      <c r="AO81" s="831"/>
      <c r="AP81" s="831"/>
      <c r="AQ81" s="831"/>
      <c r="AR81" s="831"/>
      <c r="AS81" s="831"/>
      <c r="AT81" s="831"/>
      <c r="AU81" s="831"/>
      <c r="AV81" s="831"/>
      <c r="AW81" s="831"/>
      <c r="AX81" s="831"/>
      <c r="AY81" s="831"/>
      <c r="AZ81" s="831"/>
      <c r="BA81" s="831"/>
      <c r="BB81" s="831"/>
      <c r="BC81" s="831"/>
      <c r="BE81" s="831"/>
      <c r="BF81" s="831"/>
      <c r="BG81" s="831"/>
      <c r="BH81" s="831"/>
      <c r="BI81" s="831"/>
      <c r="BJ81" s="831"/>
      <c r="BK81" s="831"/>
    </row>
    <row r="82" spans="1:78">
      <c r="AC82" s="831"/>
      <c r="AD82" s="831"/>
      <c r="AE82" s="831"/>
      <c r="AF82" s="831"/>
      <c r="AG82" s="831"/>
      <c r="AH82" s="831"/>
      <c r="AI82" s="831"/>
      <c r="AJ82" s="831"/>
      <c r="AK82" s="831"/>
      <c r="AL82" s="831"/>
      <c r="AM82" s="831"/>
      <c r="AN82" s="831"/>
      <c r="AO82" s="831"/>
      <c r="AP82" s="831"/>
      <c r="AQ82" s="831"/>
      <c r="AR82" s="831"/>
      <c r="AS82" s="831"/>
      <c r="AT82" s="831"/>
      <c r="AU82" s="831"/>
      <c r="AV82" s="831"/>
      <c r="AW82" s="831"/>
      <c r="AX82" s="831"/>
      <c r="AY82" s="831"/>
      <c r="AZ82" s="831"/>
      <c r="BA82" s="831"/>
      <c r="BB82" s="831"/>
      <c r="BC82" s="831"/>
      <c r="BD82" s="831"/>
      <c r="BE82" s="831"/>
      <c r="BF82" s="831"/>
      <c r="BG82" s="831"/>
      <c r="BH82" s="831"/>
      <c r="BI82" s="831"/>
      <c r="BJ82" s="831"/>
      <c r="BK82" s="831"/>
    </row>
    <row r="83" spans="1:78">
      <c r="A83" s="99" t="s">
        <v>834</v>
      </c>
      <c r="AC83" s="831"/>
      <c r="AD83" s="831"/>
      <c r="AE83" s="831"/>
      <c r="AF83" s="831"/>
      <c r="AG83" s="831"/>
      <c r="AH83" s="831"/>
      <c r="AI83" s="831"/>
      <c r="AJ83" s="831"/>
      <c r="AK83" s="831"/>
      <c r="AL83" s="831"/>
      <c r="AM83" s="831"/>
      <c r="AN83" s="831"/>
      <c r="AO83" s="831"/>
      <c r="AP83" s="831"/>
      <c r="AQ83" s="831"/>
      <c r="AR83" s="831"/>
      <c r="AS83" s="831"/>
      <c r="AT83" s="831"/>
      <c r="AU83" s="831"/>
      <c r="AV83" s="831"/>
      <c r="AW83" s="831"/>
      <c r="AX83" s="831"/>
      <c r="AY83" s="831"/>
      <c r="AZ83" s="831"/>
      <c r="BA83" s="831"/>
      <c r="BB83" s="831"/>
      <c r="BC83" s="831"/>
      <c r="BD83" s="831"/>
      <c r="BE83" s="831"/>
      <c r="BF83" s="831"/>
      <c r="BG83" s="831"/>
      <c r="BH83" s="831"/>
      <c r="BI83" s="831"/>
      <c r="BJ83" s="831"/>
      <c r="BK83" s="831"/>
      <c r="BL83" s="831"/>
      <c r="BM83" s="831"/>
      <c r="BN83" s="831"/>
      <c r="BO83" s="831"/>
    </row>
    <row r="84" spans="1:78">
      <c r="A84" s="99" t="s">
        <v>827</v>
      </c>
      <c r="B84" s="361">
        <f t="shared" ref="B84:M84" si="58">B39</f>
        <v>3.4697013236300007</v>
      </c>
      <c r="C84" s="361">
        <f t="shared" si="58"/>
        <v>2.8892099999999994</v>
      </c>
      <c r="D84" s="361">
        <f t="shared" si="58"/>
        <v>3.8909399999999996</v>
      </c>
      <c r="E84" s="361">
        <f t="shared" si="58"/>
        <v>5.1956400000000009</v>
      </c>
      <c r="F84" s="361">
        <f t="shared" si="58"/>
        <v>4.3513500000000001</v>
      </c>
      <c r="G84" s="361">
        <f t="shared" si="58"/>
        <v>5.5906600000000006</v>
      </c>
      <c r="H84" s="361">
        <f t="shared" si="58"/>
        <v>4.2588799999999996</v>
      </c>
      <c r="I84" s="361">
        <f t="shared" si="58"/>
        <v>6.1069199999999997</v>
      </c>
      <c r="J84" s="361">
        <f t="shared" si="58"/>
        <v>4.5064500000000001</v>
      </c>
      <c r="K84" s="361">
        <f t="shared" si="58"/>
        <v>5.9125200000000007</v>
      </c>
      <c r="L84" s="361">
        <f t="shared" si="58"/>
        <v>4.2144499999999994</v>
      </c>
      <c r="M84" s="361">
        <f t="shared" si="58"/>
        <v>6.0437099999999999</v>
      </c>
      <c r="N84" s="361">
        <f t="shared" ref="N84:Q84" si="59">N39</f>
        <v>4.8980899999999998</v>
      </c>
      <c r="O84" s="361">
        <f t="shared" si="59"/>
        <v>5.9183799999999991</v>
      </c>
      <c r="P84" s="361">
        <f t="shared" si="59"/>
        <v>4.3518600000000003</v>
      </c>
      <c r="Q84" s="361">
        <f t="shared" si="59"/>
        <v>6.40435</v>
      </c>
      <c r="R84" s="260"/>
      <c r="Y84" s="831" t="s">
        <v>829</v>
      </c>
      <c r="Z84" s="831" t="s">
        <v>829</v>
      </c>
      <c r="AA84" s="831" t="s">
        <v>829</v>
      </c>
      <c r="AB84" s="831" t="s">
        <v>829</v>
      </c>
      <c r="AC84" s="831" t="s">
        <v>829</v>
      </c>
      <c r="AD84" s="831" t="s">
        <v>829</v>
      </c>
      <c r="AE84" s="831" t="s">
        <v>829</v>
      </c>
      <c r="AF84" s="831" t="s">
        <v>829</v>
      </c>
      <c r="AG84" s="831" t="s">
        <v>829</v>
      </c>
      <c r="AH84" s="831" t="s">
        <v>829</v>
      </c>
      <c r="AI84" s="831" t="s">
        <v>829</v>
      </c>
      <c r="AJ84" s="831" t="s">
        <v>829</v>
      </c>
      <c r="AK84" s="831" t="s">
        <v>829</v>
      </c>
      <c r="AL84" s="831" t="s">
        <v>829</v>
      </c>
      <c r="AM84" s="831" t="s">
        <v>829</v>
      </c>
      <c r="AN84" s="831" t="s">
        <v>829</v>
      </c>
      <c r="AO84" s="831" t="s">
        <v>829</v>
      </c>
      <c r="AP84" s="831" t="s">
        <v>829</v>
      </c>
      <c r="AQ84" s="831" t="s">
        <v>829</v>
      </c>
      <c r="AR84" s="831" t="s">
        <v>829</v>
      </c>
      <c r="AS84" s="831" t="s">
        <v>829</v>
      </c>
      <c r="AT84" s="831" t="s">
        <v>829</v>
      </c>
      <c r="AU84" s="831" t="s">
        <v>829</v>
      </c>
      <c r="AV84" s="831" t="s">
        <v>829</v>
      </c>
      <c r="AW84" s="831" t="s">
        <v>829</v>
      </c>
      <c r="AX84" s="831" t="s">
        <v>829</v>
      </c>
      <c r="AY84" s="831" t="s">
        <v>829</v>
      </c>
      <c r="AZ84" s="831" t="s">
        <v>829</v>
      </c>
      <c r="BA84" s="831" t="s">
        <v>829</v>
      </c>
      <c r="BB84" s="831" t="s">
        <v>829</v>
      </c>
      <c r="BC84" s="831"/>
      <c r="BD84" s="831"/>
      <c r="BE84" s="831"/>
      <c r="BF84" s="831"/>
      <c r="BG84" s="831"/>
      <c r="BH84" s="831"/>
      <c r="BI84" s="831"/>
      <c r="BJ84" s="831"/>
      <c r="BK84" s="831"/>
      <c r="BY84" s="99" t="s">
        <v>829</v>
      </c>
    </row>
    <row r="85" spans="1:78">
      <c r="A85" s="815" t="s">
        <v>828</v>
      </c>
      <c r="B85" s="816">
        <v>100</v>
      </c>
      <c r="C85" s="816">
        <v>100.95969289827255</v>
      </c>
      <c r="D85" s="816">
        <v>101.43953934740884</v>
      </c>
      <c r="E85" s="816">
        <v>103.45489443378119</v>
      </c>
      <c r="F85" s="816">
        <v>106.81381957773512</v>
      </c>
      <c r="G85" s="816">
        <v>109.50095969289825</v>
      </c>
      <c r="H85" s="816">
        <v>110.94049904030707</v>
      </c>
      <c r="I85" s="816">
        <v>116.21880998080611</v>
      </c>
      <c r="J85" s="816">
        <v>115.45105566218808</v>
      </c>
      <c r="K85" s="816">
        <v>116.89059500959691</v>
      </c>
      <c r="L85" s="816">
        <v>117.17850287907868</v>
      </c>
      <c r="M85" s="816">
        <v>116.79462571977</v>
      </c>
      <c r="N85" s="816">
        <v>116.89059500959725</v>
      </c>
      <c r="O85" s="816">
        <v>117.94625719769707</v>
      </c>
      <c r="P85" s="816">
        <v>118.13819577735156</v>
      </c>
      <c r="Q85" s="816">
        <v>118.42610364683333</v>
      </c>
      <c r="W85" s="831"/>
      <c r="X85" s="831"/>
      <c r="Y85" s="831"/>
      <c r="Z85" s="831"/>
      <c r="AA85" s="831"/>
      <c r="AB85" s="831"/>
      <c r="AC85" s="831"/>
      <c r="AD85" s="831"/>
      <c r="AE85" s="831" t="s">
        <v>829</v>
      </c>
      <c r="AF85" s="831" t="s">
        <v>829</v>
      </c>
      <c r="AG85" s="831" t="s">
        <v>829</v>
      </c>
      <c r="AH85" s="831" t="s">
        <v>829</v>
      </c>
      <c r="AI85" s="831" t="s">
        <v>829</v>
      </c>
      <c r="AJ85" s="831" t="s">
        <v>829</v>
      </c>
      <c r="AK85" s="831" t="s">
        <v>829</v>
      </c>
      <c r="AL85" s="831" t="s">
        <v>829</v>
      </c>
      <c r="AM85" s="831" t="s">
        <v>829</v>
      </c>
      <c r="AN85" s="831" t="s">
        <v>829</v>
      </c>
      <c r="AO85" s="831" t="s">
        <v>829</v>
      </c>
      <c r="AP85" s="831" t="s">
        <v>829</v>
      </c>
      <c r="AQ85" s="831" t="s">
        <v>829</v>
      </c>
      <c r="AR85" s="831" t="s">
        <v>829</v>
      </c>
      <c r="AS85" s="831" t="s">
        <v>829</v>
      </c>
      <c r="AT85" s="831" t="s">
        <v>829</v>
      </c>
      <c r="AU85" s="831" t="s">
        <v>829</v>
      </c>
      <c r="AV85" s="831" t="s">
        <v>829</v>
      </c>
      <c r="AW85" s="831" t="s">
        <v>829</v>
      </c>
      <c r="AX85" s="831" t="s">
        <v>829</v>
      </c>
      <c r="AY85" s="831" t="s">
        <v>829</v>
      </c>
      <c r="AZ85" s="831" t="s">
        <v>829</v>
      </c>
      <c r="BA85" s="831"/>
      <c r="BB85" s="831"/>
      <c r="BC85" s="831"/>
      <c r="BD85" s="831"/>
      <c r="BE85" s="831"/>
      <c r="BF85" s="831"/>
      <c r="BG85" s="831"/>
      <c r="BH85" s="831"/>
      <c r="BI85" s="831"/>
    </row>
    <row r="86" spans="1:78">
      <c r="A86" s="8" t="s">
        <v>830</v>
      </c>
      <c r="B86" s="361">
        <f>B84*$B85/B85</f>
        <v>3.4697013236300007</v>
      </c>
      <c r="C86" s="361">
        <f t="shared" ref="C86:L86" si="60">C84*$B85/C85</f>
        <v>2.8617460266159691</v>
      </c>
      <c r="D86" s="361">
        <f t="shared" si="60"/>
        <v>3.8357232544938493</v>
      </c>
      <c r="E86" s="361">
        <f t="shared" si="60"/>
        <v>5.0221306864564017</v>
      </c>
      <c r="F86" s="361">
        <f t="shared" si="60"/>
        <v>4.0737706199460915</v>
      </c>
      <c r="G86" s="361">
        <f t="shared" si="60"/>
        <v>5.1055808238387392</v>
      </c>
      <c r="H86" s="361">
        <f t="shared" si="60"/>
        <v>3.8388866435986166</v>
      </c>
      <c r="I86" s="361">
        <f t="shared" si="60"/>
        <v>5.2546743517753933</v>
      </c>
      <c r="J86" s="361">
        <f t="shared" si="60"/>
        <v>3.9033423940149632</v>
      </c>
      <c r="K86" s="361">
        <f t="shared" si="60"/>
        <v>5.0581657142857157</v>
      </c>
      <c r="L86" s="361">
        <f t="shared" si="60"/>
        <v>3.5966067977067975</v>
      </c>
      <c r="M86" s="361">
        <f t="shared" ref="M86:N86" si="61">M84*$B85/M85</f>
        <v>5.1746473459326063</v>
      </c>
      <c r="N86" s="361">
        <f t="shared" si="61"/>
        <v>4.1903200164203493</v>
      </c>
      <c r="O86" s="361">
        <f t="shared" ref="O86:P86" si="62">O84*$B85/O85</f>
        <v>5.0178616436126786</v>
      </c>
      <c r="P86" s="361">
        <f t="shared" si="62"/>
        <v>3.6837027782290725</v>
      </c>
      <c r="Q86" s="361">
        <f t="shared" ref="Q86" si="63">Q84*$B85/Q85</f>
        <v>5.4078871150729189</v>
      </c>
      <c r="R86" s="260"/>
    </row>
    <row r="87" spans="1:78">
      <c r="B87" s="361">
        <f>B84-B86</f>
        <v>0</v>
      </c>
      <c r="C87" s="361">
        <f t="shared" ref="C87:L87" si="64">C84-C86</f>
        <v>2.7463973384030282E-2</v>
      </c>
      <c r="D87" s="361">
        <f t="shared" si="64"/>
        <v>5.52167455061503E-2</v>
      </c>
      <c r="E87" s="361">
        <f t="shared" si="64"/>
        <v>0.17350931354359922</v>
      </c>
      <c r="F87" s="361">
        <f t="shared" si="64"/>
        <v>0.27757938005390859</v>
      </c>
      <c r="G87" s="361">
        <f t="shared" si="64"/>
        <v>0.48507917616126139</v>
      </c>
      <c r="H87" s="361">
        <f t="shared" si="64"/>
        <v>0.41999335640138291</v>
      </c>
      <c r="I87" s="361">
        <f t="shared" si="64"/>
        <v>0.85224564822460636</v>
      </c>
      <c r="J87" s="361">
        <f t="shared" si="64"/>
        <v>0.60310760598503688</v>
      </c>
      <c r="K87" s="361">
        <f t="shared" si="64"/>
        <v>0.85435428571428496</v>
      </c>
      <c r="L87" s="361">
        <f t="shared" si="64"/>
        <v>0.61784320229320189</v>
      </c>
      <c r="M87" s="361">
        <f t="shared" ref="M87:N87" si="65">M84-M86</f>
        <v>0.86906265406739358</v>
      </c>
      <c r="N87" s="361">
        <f t="shared" si="65"/>
        <v>0.70776998357965049</v>
      </c>
      <c r="O87" s="361">
        <f t="shared" ref="O87:P87" si="66">O84-O86</f>
        <v>0.90051835638732047</v>
      </c>
      <c r="P87" s="361">
        <f t="shared" si="66"/>
        <v>0.66815722177092773</v>
      </c>
      <c r="Q87" s="361">
        <f t="shared" ref="Q87" si="67">Q84-Q86</f>
        <v>0.99646288492708113</v>
      </c>
    </row>
    <row r="88" spans="1:78" ht="16" thickBo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</row>
    <row r="89" spans="1:78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</row>
    <row r="90" spans="1:78" ht="16" thickBo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</row>
    <row r="91" spans="1:78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</row>
    <row r="92" spans="1:78" ht="19">
      <c r="A92" s="435" t="s">
        <v>815</v>
      </c>
      <c r="I92" s="435" t="s">
        <v>847</v>
      </c>
      <c r="AA92" s="435" t="s">
        <v>848</v>
      </c>
    </row>
    <row r="93" spans="1:78" ht="16" thickBot="1">
      <c r="A93" s="8"/>
    </row>
    <row r="94" spans="1:78" ht="19" customHeight="1">
      <c r="A94" s="792" t="s">
        <v>792</v>
      </c>
      <c r="B94" s="770">
        <v>2021</v>
      </c>
      <c r="C94" s="770">
        <v>2022</v>
      </c>
      <c r="D94" s="770">
        <v>2023</v>
      </c>
      <c r="E94" s="770">
        <v>2024</v>
      </c>
      <c r="F94" s="771" t="s">
        <v>879</v>
      </c>
      <c r="G94" s="646" t="s">
        <v>791</v>
      </c>
    </row>
    <row r="95" spans="1:78">
      <c r="A95" s="5"/>
      <c r="F95" s="115"/>
      <c r="G95" s="116"/>
    </row>
    <row r="96" spans="1:78">
      <c r="A96" s="5" t="s">
        <v>805</v>
      </c>
      <c r="B96" s="361">
        <f>Annual!Y24/1000</f>
        <v>18.867799999999999</v>
      </c>
      <c r="C96" s="361">
        <f>SUM(F14:I14)</f>
        <v>22.581299999999999</v>
      </c>
      <c r="D96" s="361">
        <f>SUM(J14:M14)</f>
        <v>25.74455</v>
      </c>
      <c r="E96" s="361">
        <f>SUM(N14:Q14)</f>
        <v>28.131500000000003</v>
      </c>
      <c r="F96" s="424">
        <f>SUM(R14:U14)</f>
        <v>0</v>
      </c>
      <c r="G96" s="785">
        <f>SUM(B96:F96)</f>
        <v>95.325150000000008</v>
      </c>
    </row>
    <row r="97" spans="1:8">
      <c r="A97" s="5" t="s">
        <v>806</v>
      </c>
      <c r="B97" s="361">
        <f>Annual!Y32/1000</f>
        <v>20.728395065789474</v>
      </c>
      <c r="C97" s="361">
        <f>SUM(F15:I15)</f>
        <v>33.676589999999997</v>
      </c>
      <c r="D97" s="361">
        <f>SUM(J15:M15)</f>
        <v>33.760549999999995</v>
      </c>
      <c r="E97" s="361">
        <f t="shared" ref="E97:E99" si="68">SUM(N15:Q15)</f>
        <v>32.64725</v>
      </c>
      <c r="F97" s="424">
        <f t="shared" ref="F97:F99" si="69">SUM(R15:U15)</f>
        <v>0</v>
      </c>
      <c r="G97" s="785">
        <f t="shared" ref="G97:G99" si="70">SUM(B97:F97)</f>
        <v>120.81278506578947</v>
      </c>
    </row>
    <row r="98" spans="1:8">
      <c r="A98" s="5" t="s">
        <v>807</v>
      </c>
      <c r="B98" s="361">
        <f>Annual!Y40/1000</f>
        <v>22.098879999999998</v>
      </c>
      <c r="C98" s="361">
        <f>SUM(F16:I16)</f>
        <v>20.865670000000001</v>
      </c>
      <c r="D98" s="361">
        <f>SUM(J16:M16)</f>
        <v>22.016829999999999</v>
      </c>
      <c r="E98" s="361">
        <f t="shared" si="68"/>
        <v>22.679389999999998</v>
      </c>
      <c r="F98" s="424">
        <f t="shared" si="69"/>
        <v>0</v>
      </c>
      <c r="G98" s="785">
        <f t="shared" si="70"/>
        <v>87.660769999999999</v>
      </c>
    </row>
    <row r="99" spans="1:8">
      <c r="A99" s="5" t="s">
        <v>808</v>
      </c>
      <c r="B99" s="361">
        <f>(Annual!Y35-Annual!Y32)/1000</f>
        <v>53.93043806189521</v>
      </c>
      <c r="C99" s="361">
        <f>SUM(F17:I17)</f>
        <v>58.810990000000004</v>
      </c>
      <c r="D99" s="361">
        <f>SUM(J17:M17)</f>
        <v>66.152909999999991</v>
      </c>
      <c r="E99" s="361">
        <f t="shared" si="68"/>
        <v>73.951610000000002</v>
      </c>
      <c r="F99" s="424">
        <f t="shared" si="69"/>
        <v>0</v>
      </c>
      <c r="G99" s="785">
        <f t="shared" si="70"/>
        <v>252.84594806189523</v>
      </c>
    </row>
    <row r="100" spans="1:8">
      <c r="A100" s="5"/>
      <c r="B100" s="361"/>
      <c r="C100" s="361"/>
      <c r="D100" s="361"/>
      <c r="E100" s="361"/>
      <c r="F100" s="424"/>
      <c r="G100" s="785"/>
    </row>
    <row r="101" spans="1:8">
      <c r="A101" s="653" t="s">
        <v>787</v>
      </c>
      <c r="B101" s="786">
        <f>SUM(B96:B99)</f>
        <v>115.62551312768468</v>
      </c>
      <c r="C101" s="786">
        <f t="shared" ref="C101:D101" si="71">SUM(C96:C99)</f>
        <v>135.93455</v>
      </c>
      <c r="D101" s="786">
        <f t="shared" si="71"/>
        <v>147.67483999999999</v>
      </c>
      <c r="E101" s="786">
        <f t="shared" ref="E101:F101" si="72">SUM(E96:E99)</f>
        <v>157.40975</v>
      </c>
      <c r="F101" s="787">
        <f t="shared" si="72"/>
        <v>0</v>
      </c>
      <c r="G101" s="788">
        <f>SUM(G96:G99)</f>
        <v>556.64465312768471</v>
      </c>
    </row>
    <row r="102" spans="1:8" ht="16" thickBot="1">
      <c r="A102" s="217"/>
      <c r="B102" s="657"/>
      <c r="C102" s="657"/>
      <c r="D102" s="657"/>
      <c r="E102" s="657"/>
      <c r="F102" s="658"/>
      <c r="G102" s="789"/>
    </row>
    <row r="106" spans="1:8" ht="19">
      <c r="A106" s="435" t="s">
        <v>816</v>
      </c>
    </row>
    <row r="107" spans="1:8" ht="16" thickBot="1"/>
    <row r="108" spans="1:8" ht="18" customHeight="1">
      <c r="A108" s="792" t="s">
        <v>792</v>
      </c>
      <c r="B108" s="770">
        <v>2021</v>
      </c>
      <c r="C108" s="770">
        <v>2022</v>
      </c>
      <c r="D108" s="770">
        <v>2023</v>
      </c>
      <c r="E108" s="770">
        <v>2024</v>
      </c>
      <c r="F108" s="771" t="s">
        <v>879</v>
      </c>
      <c r="G108" s="646" t="s">
        <v>791</v>
      </c>
    </row>
    <row r="109" spans="1:8">
      <c r="A109" s="5"/>
      <c r="F109" s="115"/>
      <c r="G109" s="116"/>
    </row>
    <row r="110" spans="1:8">
      <c r="A110" s="5" t="s">
        <v>805</v>
      </c>
      <c r="B110" s="361">
        <f>Annual!BY24/1000</f>
        <v>2.1977023236300002</v>
      </c>
      <c r="C110" s="361">
        <f>SUM(F29:I29)</f>
        <v>2.8123900000000002</v>
      </c>
      <c r="D110" s="361">
        <f>SUM(J29:M29)</f>
        <v>3.0978500000000002</v>
      </c>
      <c r="E110" s="361">
        <f>SUM(N29:Q29)</f>
        <v>3.3730100000000003</v>
      </c>
      <c r="F110" s="424">
        <f>SUM(R29:U29)</f>
        <v>0</v>
      </c>
      <c r="G110" s="785">
        <f>SUM(B110:F110)</f>
        <v>11.480952323630001</v>
      </c>
      <c r="H110" s="361"/>
    </row>
    <row r="111" spans="1:8">
      <c r="A111" s="5" t="s">
        <v>806</v>
      </c>
      <c r="B111" s="361">
        <f>Annual!BY32/1000</f>
        <v>4.7469999999999999</v>
      </c>
      <c r="C111" s="361">
        <f>SUM(F30:I30)</f>
        <v>8.618640000000001</v>
      </c>
      <c r="D111" s="361">
        <f>SUM(J30:M30)</f>
        <v>8.57944</v>
      </c>
      <c r="E111" s="361">
        <f t="shared" ref="E111:E113" si="73">SUM(N30:Q30)</f>
        <v>8.2184799999999996</v>
      </c>
      <c r="F111" s="424">
        <f t="shared" ref="F111:F113" si="74">SUM(R30:U30)</f>
        <v>0</v>
      </c>
      <c r="G111" s="785">
        <f t="shared" ref="G111:G113" si="75">SUM(B111:F111)</f>
        <v>30.16356</v>
      </c>
    </row>
    <row r="112" spans="1:8">
      <c r="A112" s="5" t="s">
        <v>807</v>
      </c>
      <c r="B112" s="361">
        <f>Annual!BY40/1000</f>
        <v>6.3160699999999999</v>
      </c>
      <c r="C112" s="361">
        <f>SUM(F31:I31)</f>
        <v>6.1976399999999998</v>
      </c>
      <c r="D112" s="361">
        <f>SUM(J31:M31)</f>
        <v>5.9679200000000003</v>
      </c>
      <c r="E112" s="361">
        <f t="shared" si="73"/>
        <v>6.4851000000000001</v>
      </c>
      <c r="F112" s="424">
        <f t="shared" si="74"/>
        <v>0</v>
      </c>
      <c r="G112" s="785">
        <f t="shared" si="75"/>
        <v>24.966729999999998</v>
      </c>
    </row>
    <row r="113" spans="1:7">
      <c r="A113" s="5" t="s">
        <v>808</v>
      </c>
      <c r="B113" s="361">
        <f>(Annual!BY35-Annual!BY32)/1000</f>
        <v>2.2976186825799996</v>
      </c>
      <c r="C113" s="361">
        <f>SUM(F32:I32)</f>
        <v>2.6791399999999999</v>
      </c>
      <c r="D113" s="361">
        <f>SUM(J32:M32)</f>
        <v>3.0319199999999999</v>
      </c>
      <c r="E113" s="361">
        <f t="shared" si="73"/>
        <v>3.4960900000000001</v>
      </c>
      <c r="F113" s="424">
        <f t="shared" si="74"/>
        <v>0</v>
      </c>
      <c r="G113" s="785">
        <f t="shared" si="75"/>
        <v>11.50476868258</v>
      </c>
    </row>
    <row r="114" spans="1:7">
      <c r="A114" s="5"/>
      <c r="B114" s="361"/>
      <c r="C114" s="361"/>
      <c r="D114" s="361"/>
      <c r="E114" s="361"/>
      <c r="F114" s="424"/>
      <c r="G114" s="785"/>
    </row>
    <row r="115" spans="1:7">
      <c r="A115" s="653" t="s">
        <v>787</v>
      </c>
      <c r="B115" s="786">
        <f t="shared" ref="B115:G115" si="76">SUM(B110:B113)</f>
        <v>15.55839100621</v>
      </c>
      <c r="C115" s="786">
        <f t="shared" si="76"/>
        <v>20.30781</v>
      </c>
      <c r="D115" s="786">
        <f t="shared" si="76"/>
        <v>20.677129999999998</v>
      </c>
      <c r="E115" s="786">
        <f t="shared" si="76"/>
        <v>21.572679999999998</v>
      </c>
      <c r="F115" s="786">
        <f t="shared" si="76"/>
        <v>0</v>
      </c>
      <c r="G115" s="788">
        <f t="shared" si="76"/>
        <v>78.116011006209987</v>
      </c>
    </row>
    <row r="116" spans="1:7" ht="16" thickBot="1">
      <c r="A116" s="217"/>
      <c r="B116" s="218"/>
      <c r="C116" s="218"/>
      <c r="D116" s="218"/>
      <c r="E116" s="218"/>
      <c r="F116" s="219"/>
      <c r="G116" s="220"/>
    </row>
    <row r="120" spans="1:7" ht="19">
      <c r="A120" s="435" t="s">
        <v>817</v>
      </c>
    </row>
    <row r="121" spans="1:7" ht="16" thickBot="1"/>
    <row r="122" spans="1:7" ht="20" customHeight="1">
      <c r="A122" s="792" t="s">
        <v>89</v>
      </c>
      <c r="B122" s="770">
        <v>2021</v>
      </c>
      <c r="C122" s="770">
        <v>2022</v>
      </c>
      <c r="D122" s="770">
        <v>2023</v>
      </c>
      <c r="E122" s="770">
        <v>2024</v>
      </c>
      <c r="F122" s="771" t="s">
        <v>879</v>
      </c>
      <c r="G122" s="646" t="s">
        <v>791</v>
      </c>
    </row>
    <row r="123" spans="1:7">
      <c r="A123" s="5"/>
      <c r="F123" s="115"/>
      <c r="G123" s="116"/>
    </row>
    <row r="124" spans="1:7">
      <c r="A124" s="5" t="s">
        <v>805</v>
      </c>
      <c r="B124" s="260">
        <f>B110/B96</f>
        <v>0.11647899191373665</v>
      </c>
      <c r="C124" s="260">
        <f t="shared" ref="C124" si="77">C110/C96</f>
        <v>0.12454508819244244</v>
      </c>
      <c r="D124" s="260">
        <f t="shared" ref="D124" si="78">D110/D96</f>
        <v>0.1203303223400681</v>
      </c>
      <c r="E124" s="173">
        <f>E110/E96</f>
        <v>0.11990153386772835</v>
      </c>
      <c r="F124" s="205" t="e">
        <f>F110/F96</f>
        <v>#DIV/0!</v>
      </c>
      <c r="G124" s="175">
        <f>G110/G96</f>
        <v>0.12043990828894578</v>
      </c>
    </row>
    <row r="125" spans="1:7">
      <c r="A125" s="5" t="s">
        <v>806</v>
      </c>
      <c r="B125" s="260">
        <f t="shared" ref="B125:C125" si="79">B111/B97</f>
        <v>0.22900952943696717</v>
      </c>
      <c r="C125" s="260">
        <f t="shared" si="79"/>
        <v>0.25592377375500314</v>
      </c>
      <c r="D125" s="260">
        <f t="shared" ref="D125:E125" si="80">D111/D97</f>
        <v>0.25412619166453154</v>
      </c>
      <c r="E125" s="173">
        <f t="shared" si="80"/>
        <v>0.25173575109695301</v>
      </c>
      <c r="F125" s="205" t="e">
        <f t="shared" ref="F125" si="81">F111/F97</f>
        <v>#DIV/0!</v>
      </c>
      <c r="G125" s="175">
        <f>G111/G97</f>
        <v>0.24967191993441934</v>
      </c>
    </row>
    <row r="126" spans="1:7">
      <c r="A126" s="5" t="s">
        <v>807</v>
      </c>
      <c r="B126" s="260">
        <f t="shared" ref="B126:C126" si="82">B112/B98</f>
        <v>0.28580950708814207</v>
      </c>
      <c r="C126" s="260">
        <f t="shared" si="82"/>
        <v>0.29702568860717149</v>
      </c>
      <c r="D126" s="260">
        <f t="shared" ref="D126:E126" si="83">D112/D98</f>
        <v>0.27106172868664563</v>
      </c>
      <c r="E126" s="173">
        <f t="shared" si="83"/>
        <v>0.28594684424933831</v>
      </c>
      <c r="F126" s="205" t="e">
        <f t="shared" ref="F126" si="84">F112/F98</f>
        <v>#DIV/0!</v>
      </c>
      <c r="G126" s="175">
        <f>G112/G98</f>
        <v>0.284810754000906</v>
      </c>
    </row>
    <row r="127" spans="1:7">
      <c r="A127" s="5" t="s">
        <v>808</v>
      </c>
      <c r="B127" s="260">
        <f t="shared" ref="B127:C129" si="85">B113/B99</f>
        <v>4.2603375109674706E-2</v>
      </c>
      <c r="C127" s="260">
        <f t="shared" si="85"/>
        <v>4.5555090978743933E-2</v>
      </c>
      <c r="D127" s="260">
        <f t="shared" ref="D127:E127" si="86">D113/D99</f>
        <v>4.5831997413265727E-2</v>
      </c>
      <c r="E127" s="173">
        <f t="shared" si="86"/>
        <v>4.7275373720734412E-2</v>
      </c>
      <c r="F127" s="205" t="e">
        <f t="shared" ref="F127" si="87">F113/F99</f>
        <v>#DIV/0!</v>
      </c>
      <c r="G127" s="175">
        <f>G113/G99</f>
        <v>4.5501099664700576E-2</v>
      </c>
    </row>
    <row r="128" spans="1:7">
      <c r="A128" s="5"/>
      <c r="B128" s="260"/>
      <c r="C128" s="260"/>
      <c r="D128" s="260"/>
      <c r="E128" s="173"/>
      <c r="F128" s="205"/>
      <c r="G128" s="175"/>
    </row>
    <row r="129" spans="1:7">
      <c r="A129" s="653" t="s">
        <v>787</v>
      </c>
      <c r="B129" s="790">
        <f t="shared" si="85"/>
        <v>0.13455846019925502</v>
      </c>
      <c r="C129" s="790">
        <f t="shared" si="85"/>
        <v>0.14939402822902639</v>
      </c>
      <c r="D129" s="790">
        <f t="shared" ref="D129" si="88">D115/D101</f>
        <v>0.14001796108260553</v>
      </c>
      <c r="E129" s="790">
        <f>E115/E101</f>
        <v>0.13704792746319716</v>
      </c>
      <c r="F129" s="264" t="e">
        <f>F115/F101</f>
        <v>#DIV/0!</v>
      </c>
      <c r="G129" s="216">
        <f>G115/G101</f>
        <v>0.14033371302012942</v>
      </c>
    </row>
    <row r="130" spans="1:7" ht="16" thickBot="1">
      <c r="A130" s="217"/>
      <c r="B130" s="218"/>
      <c r="C130" s="218"/>
      <c r="D130" s="218"/>
      <c r="E130" s="218"/>
      <c r="F130" s="219"/>
      <c r="G130" s="220"/>
    </row>
    <row r="134" spans="1:7" ht="19">
      <c r="A134" s="435" t="s">
        <v>818</v>
      </c>
    </row>
    <row r="135" spans="1:7" ht="16" thickBot="1"/>
    <row r="136" spans="1:7" ht="20" customHeight="1">
      <c r="A136" s="792" t="s">
        <v>792</v>
      </c>
      <c r="B136" s="770">
        <v>2021</v>
      </c>
      <c r="C136" s="770">
        <v>2022</v>
      </c>
      <c r="D136" s="770">
        <v>2023</v>
      </c>
      <c r="E136" s="770">
        <v>2024</v>
      </c>
      <c r="F136" s="771" t="s">
        <v>879</v>
      </c>
      <c r="G136" s="646" t="s">
        <v>791</v>
      </c>
    </row>
    <row r="137" spans="1:7">
      <c r="A137" s="5"/>
      <c r="F137" s="115"/>
      <c r="G137" s="116"/>
    </row>
    <row r="138" spans="1:7">
      <c r="A138" s="5" t="s">
        <v>805</v>
      </c>
      <c r="B138" s="361">
        <f>SUM(B61:E61)</f>
        <v>17.044697676369999</v>
      </c>
      <c r="C138" s="361">
        <f>SUM(F61:I61)</f>
        <v>19.768909999999998</v>
      </c>
      <c r="D138" s="361">
        <f>SUM(J61:M61)</f>
        <v>22.646700000000003</v>
      </c>
      <c r="E138" s="361">
        <f>SUM(N61:Q61)</f>
        <v>24.758490000000002</v>
      </c>
      <c r="F138" s="424">
        <f>SUM(R61:U61)</f>
        <v>0</v>
      </c>
      <c r="G138" s="785">
        <f>SUM(B138:F138)</f>
        <v>84.218797676370002</v>
      </c>
    </row>
    <row r="139" spans="1:7">
      <c r="A139" s="5" t="s">
        <v>806</v>
      </c>
      <c r="B139" s="361">
        <f>SUM(B62:E62)</f>
        <v>15.746515065789481</v>
      </c>
      <c r="C139" s="361">
        <f>SUM(F62:I62)</f>
        <v>25.057949999999998</v>
      </c>
      <c r="D139" s="361">
        <f>SUM(J62:M62)</f>
        <v>25.181109999999997</v>
      </c>
      <c r="E139" s="361">
        <f t="shared" ref="E139:E141" si="89">SUM(N62:Q62)</f>
        <v>24.42877</v>
      </c>
      <c r="F139" s="424">
        <f t="shared" ref="F139:F141" si="90">SUM(R62:U62)</f>
        <v>0</v>
      </c>
      <c r="G139" s="785">
        <f t="shared" ref="G139:G141" si="91">SUM(B139:F139)</f>
        <v>90.414345065789476</v>
      </c>
    </row>
    <row r="140" spans="1:7">
      <c r="A140" s="5" t="s">
        <v>807</v>
      </c>
      <c r="B140" s="361">
        <f>SUM(B63:E63)</f>
        <v>15.706099999999999</v>
      </c>
      <c r="C140" s="361">
        <f>SUM(F63:I63)</f>
        <v>14.668030000000002</v>
      </c>
      <c r="D140" s="361">
        <f>SUM(J63:M63)</f>
        <v>16.048909999999999</v>
      </c>
      <c r="E140" s="361">
        <f t="shared" si="89"/>
        <v>16.194290000000002</v>
      </c>
      <c r="F140" s="424">
        <f t="shared" si="90"/>
        <v>0</v>
      </c>
      <c r="G140" s="785">
        <f t="shared" si="91"/>
        <v>62.617330000000003</v>
      </c>
    </row>
    <row r="141" spans="1:7">
      <c r="A141" s="5" t="s">
        <v>808</v>
      </c>
      <c r="B141" s="361">
        <f>SUM(B64:E64)</f>
        <v>52.055373449238424</v>
      </c>
      <c r="C141" s="361">
        <f>SUM(F64:I64)</f>
        <v>56.13185</v>
      </c>
      <c r="D141" s="361">
        <f>SUM(J64:M64)</f>
        <v>63.120990000000006</v>
      </c>
      <c r="E141" s="361">
        <f t="shared" si="89"/>
        <v>70.455520000000007</v>
      </c>
      <c r="F141" s="424">
        <f t="shared" si="90"/>
        <v>0</v>
      </c>
      <c r="G141" s="785">
        <f t="shared" si="91"/>
        <v>241.76373344923843</v>
      </c>
    </row>
    <row r="142" spans="1:7">
      <c r="A142" s="5"/>
      <c r="B142" s="361"/>
      <c r="C142" s="361"/>
      <c r="D142" s="361"/>
      <c r="E142" s="361"/>
      <c r="F142" s="424"/>
      <c r="G142" s="785"/>
    </row>
    <row r="143" spans="1:7">
      <c r="A143" s="653" t="s">
        <v>787</v>
      </c>
      <c r="B143" s="786">
        <f t="shared" ref="B143:G143" si="92">SUM(B138:B141)</f>
        <v>100.5526861913979</v>
      </c>
      <c r="C143" s="786">
        <f t="shared" si="92"/>
        <v>115.62674</v>
      </c>
      <c r="D143" s="786">
        <f t="shared" si="92"/>
        <v>126.99771000000001</v>
      </c>
      <c r="E143" s="786">
        <f t="shared" si="92"/>
        <v>135.83707000000001</v>
      </c>
      <c r="F143" s="787">
        <f t="shared" si="92"/>
        <v>0</v>
      </c>
      <c r="G143" s="788">
        <f t="shared" si="92"/>
        <v>479.01420619139788</v>
      </c>
    </row>
    <row r="144" spans="1:7" ht="16" thickBot="1">
      <c r="A144" s="217"/>
      <c r="B144" s="218"/>
      <c r="C144" s="218"/>
      <c r="D144" s="218"/>
      <c r="E144" s="218"/>
      <c r="F144" s="219"/>
      <c r="G144" s="220"/>
    </row>
    <row r="145" spans="1:67">
      <c r="B145" s="791"/>
    </row>
    <row r="148" spans="1:67" ht="19">
      <c r="A148" s="435" t="s">
        <v>819</v>
      </c>
    </row>
    <row r="149" spans="1:67" ht="16" thickBot="1"/>
    <row r="150" spans="1:67" ht="18" customHeight="1">
      <c r="A150" s="769" t="s">
        <v>792</v>
      </c>
      <c r="B150" s="770">
        <v>2021</v>
      </c>
      <c r="C150" s="770">
        <v>2022</v>
      </c>
      <c r="D150" s="770">
        <v>2023</v>
      </c>
      <c r="E150" s="770">
        <v>2024</v>
      </c>
      <c r="F150" s="771" t="s">
        <v>879</v>
      </c>
      <c r="G150" s="646" t="s">
        <v>791</v>
      </c>
    </row>
    <row r="151" spans="1:67">
      <c r="A151" s="6"/>
      <c r="F151" s="115"/>
      <c r="G151" s="116"/>
    </row>
    <row r="152" spans="1:67">
      <c r="A152" s="6" t="s">
        <v>785</v>
      </c>
      <c r="B152" s="361">
        <f>SUM(B75:E75)</f>
        <v>0.49243609683487355</v>
      </c>
      <c r="C152" s="361">
        <f>SUM(F75:I75)</f>
        <v>0.61985999999999997</v>
      </c>
      <c r="D152" s="361">
        <f>SUM(J75:M75)</f>
        <v>0.68497000000000008</v>
      </c>
      <c r="E152" s="361">
        <f>SUM(N75:Q75)</f>
        <v>0.74692000000000003</v>
      </c>
      <c r="F152" s="424">
        <f>SUM(R75:U75)</f>
        <v>0</v>
      </c>
      <c r="G152" s="785">
        <f>SUM(B152:F152)</f>
        <v>2.5441860968348737</v>
      </c>
    </row>
    <row r="153" spans="1:67">
      <c r="A153" s="6" t="s">
        <v>789</v>
      </c>
      <c r="B153" s="361">
        <f>SUM(B76:E76)</f>
        <v>3.0066386956564886</v>
      </c>
      <c r="C153" s="361">
        <f>SUM(F76:I76)</f>
        <v>5.5944900000000004</v>
      </c>
      <c r="D153" s="361">
        <f>SUM(J76:M76)</f>
        <v>5.5210500000000007</v>
      </c>
      <c r="E153" s="361">
        <f t="shared" ref="E153:E155" si="93">SUM(N76:Q76)</f>
        <v>5.2677199999999997</v>
      </c>
      <c r="F153" s="424">
        <f t="shared" ref="F153:F155" si="94">SUM(R76:U76)</f>
        <v>0</v>
      </c>
      <c r="G153" s="785">
        <f t="shared" ref="G153:G155" si="95">SUM(B153:F153)</f>
        <v>19.389898695656488</v>
      </c>
    </row>
    <row r="154" spans="1:67">
      <c r="A154" s="6" t="s">
        <v>786</v>
      </c>
      <c r="B154" s="361">
        <f>SUM(B77:E77)</f>
        <v>3.3392746277205041</v>
      </c>
      <c r="C154" s="361">
        <f>SUM(F77:I77)</f>
        <v>3.2658499999999999</v>
      </c>
      <c r="D154" s="361">
        <f>SUM(J77:M77)</f>
        <v>3.4359100000000002</v>
      </c>
      <c r="E154" s="361">
        <f t="shared" si="93"/>
        <v>3.5150699999999997</v>
      </c>
      <c r="F154" s="424">
        <f t="shared" si="94"/>
        <v>0</v>
      </c>
      <c r="G154" s="785">
        <f t="shared" si="95"/>
        <v>13.556104627720504</v>
      </c>
    </row>
    <row r="155" spans="1:67">
      <c r="A155" s="6" t="s">
        <v>790</v>
      </c>
      <c r="B155" s="361">
        <f>SUM(B78:E78)</f>
        <v>0.61169677435568526</v>
      </c>
      <c r="C155" s="361">
        <f>SUM(F78:I78)</f>
        <v>0.73320999999999992</v>
      </c>
      <c r="D155" s="361">
        <f>SUM(J78:M78)</f>
        <v>0.82935999999999999</v>
      </c>
      <c r="E155" s="361">
        <f t="shared" si="93"/>
        <v>0.94284000000000001</v>
      </c>
      <c r="F155" s="424">
        <f t="shared" si="94"/>
        <v>0</v>
      </c>
      <c r="G155" s="785">
        <f t="shared" si="95"/>
        <v>3.1171067743556851</v>
      </c>
    </row>
    <row r="156" spans="1:67">
      <c r="A156" s="6"/>
      <c r="B156" s="361"/>
      <c r="C156" s="361"/>
      <c r="D156" s="361"/>
      <c r="E156" s="361"/>
      <c r="F156" s="424"/>
      <c r="G156" s="785"/>
    </row>
    <row r="157" spans="1:67">
      <c r="A157" s="772" t="s">
        <v>787</v>
      </c>
      <c r="B157" s="786">
        <f>SUM(B152:B155)</f>
        <v>7.4500461945675518</v>
      </c>
      <c r="C157" s="786">
        <f t="shared" ref="C157:F157" si="96">SUM(C152:C155)</f>
        <v>10.21341</v>
      </c>
      <c r="D157" s="786">
        <f t="shared" si="96"/>
        <v>10.47129</v>
      </c>
      <c r="E157" s="786">
        <f t="shared" si="96"/>
        <v>10.47255</v>
      </c>
      <c r="F157" s="787">
        <f t="shared" si="96"/>
        <v>0</v>
      </c>
      <c r="G157" s="788">
        <f>SUM(G152:G155)</f>
        <v>38.607296194567546</v>
      </c>
    </row>
    <row r="158" spans="1:67" ht="16" thickBot="1">
      <c r="A158" s="481"/>
      <c r="B158" s="218"/>
      <c r="C158" s="218"/>
      <c r="D158" s="218"/>
      <c r="E158" s="218"/>
      <c r="F158" s="219"/>
      <c r="G158" s="220"/>
    </row>
    <row r="160" spans="1:67" ht="16" thickBo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839"/>
      <c r="AS160" s="839"/>
      <c r="AT160" s="839"/>
      <c r="AU160" s="839"/>
      <c r="AV160" s="839"/>
      <c r="AW160" s="839"/>
      <c r="AX160" s="839"/>
      <c r="AY160" s="839"/>
      <c r="AZ160" s="839"/>
      <c r="BA160" s="839"/>
      <c r="BB160" s="839"/>
      <c r="BC160" s="839"/>
      <c r="BD160" s="839"/>
      <c r="BE160" s="839"/>
      <c r="BF160" s="839"/>
      <c r="BG160" s="839"/>
      <c r="BH160" s="839"/>
      <c r="BI160" s="839"/>
      <c r="BJ160" s="839"/>
      <c r="BK160" s="839"/>
      <c r="BL160" s="839"/>
      <c r="BM160" s="839"/>
      <c r="BN160" s="839"/>
      <c r="BO160" s="839"/>
    </row>
    <row r="161" spans="1:67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840"/>
      <c r="AS161" s="840"/>
      <c r="AT161" s="840"/>
      <c r="AU161" s="840"/>
      <c r="AV161" s="840"/>
      <c r="AW161" s="840"/>
      <c r="AX161" s="840"/>
      <c r="AY161" s="840"/>
      <c r="AZ161" s="840"/>
      <c r="BA161" s="840"/>
      <c r="BB161" s="840"/>
      <c r="BC161" s="840"/>
      <c r="BD161" s="840"/>
      <c r="BE161" s="840"/>
      <c r="BF161" s="840"/>
      <c r="BG161" s="840"/>
      <c r="BH161" s="840"/>
      <c r="BI161" s="840"/>
      <c r="BJ161" s="840"/>
      <c r="BK161" s="840"/>
      <c r="BL161" s="840"/>
      <c r="BM161" s="840"/>
      <c r="BN161" s="840"/>
      <c r="BO161" s="840"/>
    </row>
    <row r="162" spans="1:67" ht="16" thickBo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841"/>
      <c r="AS162" s="841"/>
      <c r="AT162" s="841"/>
      <c r="AU162" s="841"/>
      <c r="AV162" s="841"/>
      <c r="AW162" s="841"/>
      <c r="AX162" s="841"/>
      <c r="AY162" s="841"/>
      <c r="AZ162" s="841"/>
      <c r="BA162" s="841"/>
      <c r="BB162" s="841"/>
      <c r="BC162" s="841"/>
      <c r="BD162" s="841"/>
      <c r="BE162" s="841"/>
      <c r="BF162" s="841"/>
      <c r="BG162" s="841"/>
      <c r="BH162" s="841"/>
      <c r="BI162" s="841"/>
      <c r="BJ162" s="841"/>
      <c r="BK162" s="841"/>
      <c r="BL162" s="841"/>
      <c r="BM162" s="841"/>
      <c r="BN162" s="841"/>
      <c r="BO162" s="841"/>
    </row>
    <row r="163" spans="1:67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842"/>
      <c r="AS163" s="842"/>
      <c r="AT163" s="842"/>
      <c r="AU163" s="842"/>
      <c r="AV163" s="842"/>
      <c r="AW163" s="842"/>
      <c r="AX163" s="842"/>
      <c r="AY163" s="842"/>
      <c r="AZ163" s="842"/>
      <c r="BA163" s="842"/>
      <c r="BB163" s="842"/>
      <c r="BC163" s="842"/>
      <c r="BD163" s="842"/>
      <c r="BE163" s="842"/>
      <c r="BF163" s="842"/>
      <c r="BG163" s="842"/>
      <c r="BH163" s="842"/>
      <c r="BI163" s="842"/>
      <c r="BJ163" s="842"/>
      <c r="BK163" s="842"/>
      <c r="BL163" s="842"/>
      <c r="BM163" s="842"/>
      <c r="BN163" s="842"/>
      <c r="BO163" s="842"/>
    </row>
  </sheetData>
  <sortState xmlns:xlrd2="http://schemas.microsoft.com/office/spreadsheetml/2017/richdata2" columnSort="1" ref="AT84:BX85">
    <sortCondition ref="AT84:BX84"/>
  </sortState>
  <phoneticPr fontId="85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Y597"/>
  <sheetViews>
    <sheetView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N45" sqref="N45:Y45"/>
    </sheetView>
  </sheetViews>
  <sheetFormatPr baseColWidth="10" defaultRowHeight="15"/>
  <cols>
    <col min="1" max="1" width="36.83203125" style="99" customWidth="1"/>
    <col min="2" max="2" width="12.83203125" style="99" bestFit="1" customWidth="1"/>
    <col min="3" max="30" width="10.83203125" style="99"/>
    <col min="31" max="31" width="11.33203125" style="99" bestFit="1" customWidth="1"/>
    <col min="32" max="48" width="10.83203125" style="99"/>
    <col min="49" max="49" width="10.6640625" style="99" customWidth="1"/>
    <col min="50" max="53" width="10.83203125" style="99"/>
    <col min="54" max="64" width="10.83203125" style="99" customWidth="1"/>
    <col min="65" max="65" width="10.83203125" customWidth="1"/>
    <col min="66" max="66" width="16.1640625" style="99" customWidth="1"/>
    <col min="67" max="67" width="18.33203125" style="99" customWidth="1"/>
    <col min="68" max="74" width="16.1640625" style="99" customWidth="1"/>
    <col min="75" max="82" width="14.33203125" style="99" customWidth="1"/>
    <col min="83" max="83" width="10.83203125" style="99"/>
    <col min="84" max="84" width="15" style="99" customWidth="1"/>
    <col min="85" max="85" width="18.33203125" style="99" customWidth="1"/>
    <col min="86" max="86" width="0" style="99" hidden="1" customWidth="1"/>
    <col min="87" max="88" width="10.83203125" style="99"/>
    <col min="89" max="89" width="14.5" style="99" customWidth="1"/>
    <col min="90" max="111" width="0" style="99" hidden="1" customWidth="1"/>
    <col min="112" max="120" width="10.83203125" style="99"/>
    <col min="121" max="121" width="24.6640625" style="99" customWidth="1"/>
    <col min="122" max="123" width="10.83203125" style="99"/>
    <col min="124" max="126" width="11.83203125" style="99" customWidth="1"/>
    <col min="127" max="142" width="10.83203125" style="99"/>
    <col min="143" max="143" width="22.1640625" style="99" customWidth="1"/>
    <col min="144" max="144" width="13.5" style="99" customWidth="1"/>
    <col min="145" max="151" width="10.83203125" style="99"/>
    <col min="152" max="152" width="11.6640625" style="99" customWidth="1"/>
    <col min="153" max="16384" width="10.83203125" style="99"/>
  </cols>
  <sheetData>
    <row r="2" spans="1:156" ht="19">
      <c r="A2" s="435" t="s">
        <v>220</v>
      </c>
      <c r="B2" s="456">
        <f>Annual!B5</f>
        <v>45818</v>
      </c>
      <c r="AE2" s="209"/>
      <c r="AG2" s="209"/>
      <c r="EQ2" s="291" t="s">
        <v>115</v>
      </c>
    </row>
    <row r="3" spans="1:156" ht="20" thickBot="1">
      <c r="A3" s="436"/>
      <c r="AE3" s="126"/>
      <c r="AG3" s="260"/>
      <c r="AH3" s="260"/>
      <c r="AI3" s="260"/>
      <c r="AJ3" s="260"/>
      <c r="AK3" s="260"/>
    </row>
    <row r="4" spans="1:156" ht="34" customHeight="1" thickBot="1">
      <c r="A4" s="435" t="s">
        <v>141</v>
      </c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M4" s="991" t="s">
        <v>180</v>
      </c>
      <c r="AN4" s="991"/>
      <c r="AO4" s="991"/>
      <c r="AP4" s="991"/>
      <c r="AQ4" s="991"/>
      <c r="AR4" s="99" t="s">
        <v>392</v>
      </c>
      <c r="AW4" s="581"/>
      <c r="AY4" s="415"/>
      <c r="AZ4" s="415"/>
      <c r="BA4" s="415"/>
      <c r="BB4" s="415"/>
      <c r="BC4" s="415"/>
      <c r="BD4" s="415"/>
      <c r="BE4" s="415"/>
      <c r="BF4" s="415"/>
      <c r="BG4" s="415"/>
      <c r="BH4" s="415"/>
      <c r="BI4" s="415"/>
      <c r="BJ4" s="415"/>
      <c r="BK4" s="415"/>
      <c r="BL4" s="415"/>
      <c r="BN4" s="991"/>
      <c r="BO4" s="991"/>
      <c r="BP4" s="991"/>
      <c r="BQ4" s="991"/>
      <c r="BR4" s="991"/>
      <c r="EQ4" s="513" t="s">
        <v>112</v>
      </c>
      <c r="ER4" s="508" t="s">
        <v>110</v>
      </c>
      <c r="ES4" s="508" t="s">
        <v>109</v>
      </c>
      <c r="ET4" s="508" t="s">
        <v>88</v>
      </c>
      <c r="EU4" s="510" t="s">
        <v>242</v>
      </c>
      <c r="EV4" s="508" t="s">
        <v>111</v>
      </c>
      <c r="EW4" s="509" t="s">
        <v>355</v>
      </c>
      <c r="EZ4" s="291" t="s">
        <v>115</v>
      </c>
    </row>
    <row r="5" spans="1:156" ht="16" thickBot="1">
      <c r="D5" s="126"/>
      <c r="G5" s="126"/>
      <c r="J5" s="126"/>
      <c r="M5" s="126"/>
      <c r="P5" s="126"/>
      <c r="S5" s="126"/>
      <c r="V5" s="126"/>
      <c r="Y5" s="126"/>
      <c r="AB5" s="126"/>
      <c r="AE5" s="126"/>
      <c r="AH5" s="126"/>
      <c r="AK5" s="126"/>
      <c r="AN5" s="126"/>
      <c r="AQ5" s="126"/>
      <c r="AR5" s="126"/>
      <c r="AS5" s="126"/>
      <c r="AT5" s="126"/>
      <c r="AU5" s="126"/>
      <c r="AV5" s="126"/>
      <c r="AW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EQ5" s="514" t="s">
        <v>247</v>
      </c>
      <c r="ER5" s="361">
        <f>EE117*AT$171</f>
        <v>3.6097689906347554</v>
      </c>
      <c r="ES5" s="361">
        <f>ET37</f>
        <v>6.197000000000001</v>
      </c>
      <c r="ET5" s="361">
        <f>DZ10*AT$176</f>
        <v>3.2908887199999999</v>
      </c>
      <c r="EU5" s="424">
        <f>EB11*AT$178</f>
        <v>0.74137388400000004</v>
      </c>
      <c r="EV5" s="361">
        <f>SUM(ER5:EU5)</f>
        <v>13.839031594634756</v>
      </c>
      <c r="EW5" s="175">
        <f t="shared" ref="EW5:EW16" si="0">EV5/EV$17</f>
        <v>0.19433740780672121</v>
      </c>
      <c r="EX5" s="458" t="str">
        <f>EQ5</f>
        <v>Lottomatica</v>
      </c>
      <c r="EY5" s="519">
        <f>EW5</f>
        <v>0.19433740780672121</v>
      </c>
    </row>
    <row r="6" spans="1:156" ht="18" customHeight="1">
      <c r="A6" s="100" t="s">
        <v>286</v>
      </c>
      <c r="B6" s="101">
        <v>39448</v>
      </c>
      <c r="C6" s="101">
        <v>39479</v>
      </c>
      <c r="D6" s="101">
        <v>39508</v>
      </c>
      <c r="E6" s="101">
        <v>39539</v>
      </c>
      <c r="F6" s="101">
        <v>39569</v>
      </c>
      <c r="G6" s="101">
        <v>39600</v>
      </c>
      <c r="H6" s="101">
        <v>39630</v>
      </c>
      <c r="I6" s="101">
        <v>39661</v>
      </c>
      <c r="J6" s="101">
        <v>39692</v>
      </c>
      <c r="K6" s="101">
        <v>39722</v>
      </c>
      <c r="L6" s="101">
        <v>39753</v>
      </c>
      <c r="M6" s="102">
        <v>39783</v>
      </c>
      <c r="N6" s="101">
        <v>39814</v>
      </c>
      <c r="O6" s="101">
        <v>39845</v>
      </c>
      <c r="P6" s="101">
        <v>39873</v>
      </c>
      <c r="Q6" s="101">
        <v>39904</v>
      </c>
      <c r="R6" s="101">
        <v>39934</v>
      </c>
      <c r="S6" s="101">
        <v>39965</v>
      </c>
      <c r="T6" s="101">
        <v>39995</v>
      </c>
      <c r="U6" s="101">
        <v>40026</v>
      </c>
      <c r="V6" s="101">
        <v>40057</v>
      </c>
      <c r="W6" s="101">
        <v>40087</v>
      </c>
      <c r="X6" s="101">
        <v>40118</v>
      </c>
      <c r="Y6" s="102">
        <v>40148</v>
      </c>
      <c r="Z6" s="101">
        <v>40179</v>
      </c>
      <c r="AA6" s="101">
        <v>40210</v>
      </c>
      <c r="AB6" s="101">
        <v>40238</v>
      </c>
      <c r="AC6" s="101">
        <v>40269</v>
      </c>
      <c r="AD6" s="101">
        <v>40299</v>
      </c>
      <c r="AE6" s="101">
        <v>40330</v>
      </c>
      <c r="AF6" s="101">
        <v>40360</v>
      </c>
      <c r="AG6" s="101">
        <v>40391</v>
      </c>
      <c r="AH6" s="101">
        <v>40422</v>
      </c>
      <c r="AI6" s="101">
        <v>40452</v>
      </c>
      <c r="AJ6" s="101">
        <v>40483</v>
      </c>
      <c r="AK6" s="102">
        <v>40513</v>
      </c>
      <c r="AL6" s="101">
        <v>40544</v>
      </c>
      <c r="AM6" s="101">
        <v>40575</v>
      </c>
      <c r="AN6" s="101">
        <v>40603</v>
      </c>
      <c r="AO6" s="101">
        <v>40634</v>
      </c>
      <c r="AP6" s="101">
        <v>40664</v>
      </c>
      <c r="AQ6" s="101">
        <v>40695</v>
      </c>
      <c r="AR6" s="101">
        <v>40725</v>
      </c>
      <c r="AS6" s="101">
        <v>40756</v>
      </c>
      <c r="AT6" s="101">
        <v>40787</v>
      </c>
      <c r="AU6" s="101">
        <v>40817</v>
      </c>
      <c r="AV6" s="101">
        <v>40848</v>
      </c>
      <c r="AW6" s="102">
        <v>40878</v>
      </c>
      <c r="AX6" s="101">
        <v>40909</v>
      </c>
      <c r="AY6" s="101">
        <v>40940</v>
      </c>
      <c r="AZ6" s="101">
        <v>40969</v>
      </c>
      <c r="BA6" s="101">
        <v>41000</v>
      </c>
      <c r="BB6" s="101">
        <v>41030</v>
      </c>
      <c r="BC6" s="101">
        <v>41061</v>
      </c>
      <c r="BD6" s="101">
        <v>41091</v>
      </c>
      <c r="BE6" s="101">
        <v>41122</v>
      </c>
      <c r="BF6" s="101">
        <v>41153</v>
      </c>
      <c r="BG6" s="101">
        <v>41183</v>
      </c>
      <c r="BH6" s="101">
        <v>41214</v>
      </c>
      <c r="BI6" s="102">
        <v>41244</v>
      </c>
      <c r="BJ6" s="101">
        <v>41275</v>
      </c>
      <c r="BK6" s="101">
        <v>41306</v>
      </c>
      <c r="BL6" s="101">
        <v>41334</v>
      </c>
      <c r="BO6" s="104" t="s">
        <v>155</v>
      </c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6"/>
      <c r="CG6" s="107"/>
      <c r="CH6" s="108"/>
      <c r="CI6" s="108"/>
      <c r="CJ6" s="108"/>
      <c r="CK6" s="109"/>
      <c r="CL6" s="109"/>
      <c r="CQ6" s="110"/>
      <c r="CR6" s="105"/>
      <c r="CS6" s="105"/>
      <c r="CT6" s="105"/>
      <c r="CU6" s="105"/>
      <c r="CV6" s="105"/>
      <c r="CW6" s="106"/>
      <c r="CY6" s="111" t="s">
        <v>187</v>
      </c>
      <c r="DJ6" s="107"/>
      <c r="DK6" s="108"/>
      <c r="DL6" s="108"/>
      <c r="DM6" s="108"/>
      <c r="DN6" s="108"/>
      <c r="DO6" s="109"/>
      <c r="DQ6" s="112"/>
      <c r="DR6" s="113"/>
      <c r="DS6" s="113"/>
      <c r="DT6" s="113"/>
      <c r="DU6" s="113"/>
      <c r="DV6" s="113"/>
      <c r="DW6" s="114"/>
      <c r="DY6" s="374"/>
      <c r="DZ6" s="375"/>
      <c r="EA6" s="375"/>
      <c r="EB6" s="376"/>
      <c r="EQ6" s="514" t="s">
        <v>170</v>
      </c>
      <c r="ER6" s="361">
        <f>EE120*AT$171</f>
        <v>3.2536482830385021</v>
      </c>
      <c r="ES6" s="361">
        <f>ET34</f>
        <v>8.6285000000000007</v>
      </c>
      <c r="ET6" s="361">
        <v>0</v>
      </c>
      <c r="EU6" s="424">
        <f>EB12*AT$178</f>
        <v>0.60111395999999995</v>
      </c>
      <c r="EV6" s="361">
        <f t="shared" ref="EV6" si="1">SUM(ER6:EU6)</f>
        <v>12.483262243038503</v>
      </c>
      <c r="EW6" s="175">
        <f t="shared" si="0"/>
        <v>0.17529874172873047</v>
      </c>
      <c r="EX6" s="6" t="str">
        <f t="shared" ref="EX6:EX7" si="2">EQ6</f>
        <v>Microgame</v>
      </c>
      <c r="EY6" s="520">
        <f t="shared" ref="EY6:EY7" si="3">EW6</f>
        <v>0.17529874172873047</v>
      </c>
    </row>
    <row r="7" spans="1:156">
      <c r="A7" s="5"/>
      <c r="M7" s="115"/>
      <c r="Y7" s="115"/>
      <c r="AK7" s="115"/>
      <c r="AW7" s="115"/>
      <c r="BI7" s="115"/>
      <c r="BO7" s="117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9"/>
      <c r="CG7" s="120" t="s">
        <v>207</v>
      </c>
      <c r="CH7" s="121"/>
      <c r="CI7" s="121"/>
      <c r="CJ7" s="121"/>
      <c r="CK7" s="122"/>
      <c r="CL7" s="122"/>
      <c r="CQ7" s="117"/>
      <c r="CR7" s="118"/>
      <c r="CS7" s="118"/>
      <c r="CT7" s="118"/>
      <c r="CU7" s="118"/>
      <c r="CV7" s="118"/>
      <c r="CW7" s="119"/>
      <c r="DJ7" s="120" t="s">
        <v>244</v>
      </c>
      <c r="DK7" s="121"/>
      <c r="DL7" s="121"/>
      <c r="DM7" s="121"/>
      <c r="DN7" s="121"/>
      <c r="DO7" s="122"/>
      <c r="DQ7" s="123" t="s">
        <v>209</v>
      </c>
      <c r="DR7" s="124"/>
      <c r="DS7" s="124"/>
      <c r="DT7" s="124"/>
      <c r="DU7" s="124"/>
      <c r="DV7" s="124"/>
      <c r="DW7" s="125"/>
      <c r="DY7" s="377" t="s">
        <v>87</v>
      </c>
      <c r="DZ7" s="378"/>
      <c r="EA7" s="378"/>
      <c r="EB7" s="379"/>
      <c r="EQ7" s="514" t="s">
        <v>113</v>
      </c>
      <c r="ER7" s="361">
        <f>EE119*AT$171</f>
        <v>2.0719750260145684</v>
      </c>
      <c r="ES7" s="361">
        <f>ET35+ET40</f>
        <v>7.1158205000000017</v>
      </c>
      <c r="ET7" s="361">
        <f>DZ11*AT$176</f>
        <v>1.2595854399999997</v>
      </c>
      <c r="EU7" s="424">
        <f>EB10*AT$178</f>
        <v>1.362524976</v>
      </c>
      <c r="EV7" s="361">
        <f t="shared" ref="EV7:EV13" si="4">SUM(ER7:EU7)</f>
        <v>11.80990594201457</v>
      </c>
      <c r="EW7" s="175">
        <f t="shared" si="0"/>
        <v>0.16584299931088342</v>
      </c>
      <c r="EX7" s="6" t="str">
        <f t="shared" si="2"/>
        <v>bwin.party</v>
      </c>
      <c r="EY7" s="520">
        <f t="shared" si="3"/>
        <v>0.16584299931088342</v>
      </c>
    </row>
    <row r="8" spans="1:156">
      <c r="A8" s="5" t="s">
        <v>442</v>
      </c>
      <c r="H8" s="126"/>
      <c r="I8" s="126"/>
      <c r="J8" s="126"/>
      <c r="K8" s="126"/>
      <c r="L8" s="126"/>
      <c r="M8" s="127"/>
      <c r="N8" s="126">
        <v>193.37</v>
      </c>
      <c r="O8" s="126">
        <v>173</v>
      </c>
      <c r="P8" s="126">
        <v>194</v>
      </c>
      <c r="Q8" s="126">
        <v>183</v>
      </c>
      <c r="R8" s="126">
        <v>172</v>
      </c>
      <c r="S8" s="126">
        <v>164</v>
      </c>
      <c r="T8" s="126">
        <v>154</v>
      </c>
      <c r="U8" s="126">
        <v>128</v>
      </c>
      <c r="V8" s="126">
        <v>143</v>
      </c>
      <c r="W8" s="126">
        <v>157</v>
      </c>
      <c r="X8" s="126">
        <v>151</v>
      </c>
      <c r="Y8" s="127">
        <v>166</v>
      </c>
      <c r="Z8" s="126">
        <v>173</v>
      </c>
      <c r="AA8" s="126">
        <v>147</v>
      </c>
      <c r="AB8" s="126">
        <v>160</v>
      </c>
      <c r="AC8" s="126">
        <v>155</v>
      </c>
      <c r="AD8" s="126">
        <v>159</v>
      </c>
      <c r="AE8" s="126">
        <v>141</v>
      </c>
      <c r="AF8" s="126">
        <v>134</v>
      </c>
      <c r="AG8" s="126">
        <v>121</v>
      </c>
      <c r="AH8" s="126">
        <v>128</v>
      </c>
      <c r="AI8" s="126">
        <v>142</v>
      </c>
      <c r="AJ8" s="126">
        <v>132</v>
      </c>
      <c r="AK8" s="127">
        <v>137</v>
      </c>
      <c r="AL8" s="126">
        <v>138</v>
      </c>
      <c r="AM8" s="126">
        <v>124</v>
      </c>
      <c r="AN8" s="126">
        <v>136</v>
      </c>
      <c r="AO8" s="126">
        <v>131</v>
      </c>
      <c r="AP8" s="126">
        <v>124</v>
      </c>
      <c r="AQ8" s="126">
        <v>116</v>
      </c>
      <c r="AR8" s="126">
        <v>103</v>
      </c>
      <c r="AS8" s="126">
        <v>87</v>
      </c>
      <c r="AT8" s="126">
        <v>90</v>
      </c>
      <c r="AU8" s="126">
        <v>105</v>
      </c>
      <c r="AV8" s="126">
        <v>102</v>
      </c>
      <c r="AW8" s="576">
        <v>113</v>
      </c>
      <c r="AX8" s="126">
        <v>61</v>
      </c>
      <c r="AY8" s="126">
        <v>72</v>
      </c>
      <c r="AZ8" s="126">
        <f>230-AY8-AX8</f>
        <v>97</v>
      </c>
      <c r="BA8" s="126">
        <v>98</v>
      </c>
      <c r="BB8" s="126">
        <v>104</v>
      </c>
      <c r="BC8" s="126">
        <v>90</v>
      </c>
      <c r="BD8" s="126">
        <v>84</v>
      </c>
      <c r="BE8" s="126">
        <v>72</v>
      </c>
      <c r="BF8" s="126">
        <v>81</v>
      </c>
      <c r="BG8" s="126">
        <v>85</v>
      </c>
      <c r="BH8" s="126"/>
      <c r="BI8" s="127"/>
      <c r="BJ8" s="126"/>
      <c r="BK8" s="126"/>
      <c r="BL8" s="126"/>
      <c r="BM8" s="578"/>
      <c r="BN8" s="578"/>
      <c r="BO8" s="117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9"/>
      <c r="CG8" s="128"/>
      <c r="CH8" s="121"/>
      <c r="CI8" s="121"/>
      <c r="CJ8" s="121"/>
      <c r="CK8" s="122"/>
      <c r="CL8" s="122"/>
      <c r="CQ8" s="117"/>
      <c r="CR8" s="118"/>
      <c r="CS8" s="118"/>
      <c r="CT8" s="118"/>
      <c r="CU8" s="118"/>
      <c r="CV8" s="118"/>
      <c r="CW8" s="119"/>
      <c r="CY8" s="129"/>
      <c r="CZ8" s="130" t="s">
        <v>300</v>
      </c>
      <c r="DA8" s="130" t="s">
        <v>77</v>
      </c>
      <c r="DB8" s="130" t="s">
        <v>365</v>
      </c>
      <c r="DC8" s="130" t="s">
        <v>366</v>
      </c>
      <c r="DJ8" s="128"/>
      <c r="DK8" s="121"/>
      <c r="DL8" s="121"/>
      <c r="DM8" s="121"/>
      <c r="DN8" s="121"/>
      <c r="DO8" s="122"/>
      <c r="DQ8" s="131"/>
      <c r="DR8" s="124"/>
      <c r="DS8" s="124"/>
      <c r="DT8" s="124"/>
      <c r="DU8" s="124"/>
      <c r="DV8" s="124"/>
      <c r="DW8" s="125"/>
      <c r="DY8" s="380"/>
      <c r="DZ8" s="378"/>
      <c r="EA8" s="378"/>
      <c r="EB8" s="379"/>
      <c r="EQ8" s="514" t="s">
        <v>287</v>
      </c>
      <c r="ER8" s="361">
        <f>EE118*AT$171</f>
        <v>2.0234131113423519</v>
      </c>
      <c r="ES8" s="361">
        <f>ET39</f>
        <v>1.5361875</v>
      </c>
      <c r="ET8" s="361">
        <f>DZ13*AT$176</f>
        <v>0.99347584</v>
      </c>
      <c r="EU8" s="424">
        <f>EB13*AT$178</f>
        <v>0.30055697999999997</v>
      </c>
      <c r="EV8" s="361">
        <f t="shared" si="4"/>
        <v>4.8536334313423515</v>
      </c>
      <c r="EW8" s="175">
        <f t="shared" si="0"/>
        <v>6.8158131805754321E-2</v>
      </c>
      <c r="EX8" s="6" t="str">
        <f>EQ9</f>
        <v>Poker Stars</v>
      </c>
      <c r="EY8" s="520">
        <f>EW9</f>
        <v>0.16234066578911477</v>
      </c>
    </row>
    <row r="9" spans="1:156">
      <c r="A9" s="5" t="s">
        <v>443</v>
      </c>
      <c r="B9" s="126">
        <v>278.23296568439355</v>
      </c>
      <c r="C9" s="126">
        <v>351.19491028779464</v>
      </c>
      <c r="D9" s="126">
        <v>414.08601502781175</v>
      </c>
      <c r="E9" s="126">
        <v>340.51546391752578</v>
      </c>
      <c r="F9" s="126">
        <v>279.38461538461536</v>
      </c>
      <c r="G9" s="126">
        <v>312.58</v>
      </c>
      <c r="H9" s="126">
        <v>126.1</v>
      </c>
      <c r="I9" s="126">
        <v>274.5</v>
      </c>
      <c r="J9" s="126">
        <v>348.90000000000003</v>
      </c>
      <c r="K9" s="126">
        <v>414</v>
      </c>
      <c r="L9" s="126">
        <v>477.5</v>
      </c>
      <c r="M9" s="127">
        <v>392.86532419077548</v>
      </c>
      <c r="N9" s="126">
        <v>358.23</v>
      </c>
      <c r="O9" s="126">
        <v>398</v>
      </c>
      <c r="P9" s="126">
        <v>411</v>
      </c>
      <c r="Q9" s="126">
        <v>418</v>
      </c>
      <c r="R9" s="126">
        <v>420</v>
      </c>
      <c r="S9" s="126">
        <v>197</v>
      </c>
      <c r="T9" s="126">
        <v>142</v>
      </c>
      <c r="U9" s="126">
        <v>273</v>
      </c>
      <c r="V9" s="126">
        <v>413</v>
      </c>
      <c r="W9" s="126">
        <v>406</v>
      </c>
      <c r="X9" s="126">
        <v>397</v>
      </c>
      <c r="Y9" s="127">
        <v>334</v>
      </c>
      <c r="Z9" s="126">
        <v>450</v>
      </c>
      <c r="AA9" s="126">
        <v>432</v>
      </c>
      <c r="AB9" s="126">
        <v>456</v>
      </c>
      <c r="AC9" s="126">
        <v>436</v>
      </c>
      <c r="AD9" s="126">
        <v>329</v>
      </c>
      <c r="AE9" s="126">
        <v>346</v>
      </c>
      <c r="AF9" s="126">
        <v>216</v>
      </c>
      <c r="AG9" s="126">
        <v>220.678349</v>
      </c>
      <c r="AH9" s="126">
        <v>350</v>
      </c>
      <c r="AI9" s="126">
        <v>439</v>
      </c>
      <c r="AJ9" s="126">
        <v>460</v>
      </c>
      <c r="AK9" s="127">
        <f>AK345</f>
        <v>353.35053499999998</v>
      </c>
      <c r="AL9" s="126">
        <f>AL345</f>
        <v>437.68739399999998</v>
      </c>
      <c r="AM9" s="126">
        <f t="shared" ref="AM9:AW9" si="5">AM345</f>
        <v>430.02821</v>
      </c>
      <c r="AN9" s="126">
        <f t="shared" si="5"/>
        <v>350.41627899999997</v>
      </c>
      <c r="AO9" s="126">
        <f t="shared" si="5"/>
        <v>364.517967</v>
      </c>
      <c r="AP9" s="126">
        <f t="shared" si="5"/>
        <v>337.91232924999997</v>
      </c>
      <c r="AQ9" s="126">
        <f t="shared" si="5"/>
        <v>164.68177270000001</v>
      </c>
      <c r="AR9" s="126">
        <f t="shared" si="5"/>
        <v>158.92780000000005</v>
      </c>
      <c r="AS9" s="126">
        <f t="shared" si="5"/>
        <v>192.85607900000002</v>
      </c>
      <c r="AT9" s="126">
        <f t="shared" si="5"/>
        <v>341.13899759999998</v>
      </c>
      <c r="AU9" s="126">
        <f t="shared" si="5"/>
        <v>402.06846000000002</v>
      </c>
      <c r="AV9" s="126">
        <f t="shared" si="5"/>
        <v>347.55455900000004</v>
      </c>
      <c r="AW9" s="576">
        <f t="shared" si="5"/>
        <v>321.12065000000001</v>
      </c>
      <c r="AX9" s="126">
        <f>AX261</f>
        <v>347.31802360000006</v>
      </c>
      <c r="AY9" s="126">
        <f t="shared" ref="AY9:BA9" si="6">AY261</f>
        <v>340.71964200000002</v>
      </c>
      <c r="AZ9" s="126">
        <f t="shared" si="6"/>
        <v>376.25071199999991</v>
      </c>
      <c r="BA9" s="126">
        <f t="shared" si="6"/>
        <v>369.35689599999995</v>
      </c>
      <c r="BB9" s="126">
        <v>299.83268399999997</v>
      </c>
      <c r="BC9" s="126">
        <v>260.57940000000002</v>
      </c>
      <c r="BD9" s="126">
        <v>167.6613274</v>
      </c>
      <c r="BE9" s="126">
        <v>208.91955799999999</v>
      </c>
      <c r="BF9" s="126">
        <v>383.03990299999998</v>
      </c>
      <c r="BG9" s="126">
        <v>403.961321</v>
      </c>
      <c r="BH9" s="126">
        <v>414.135582</v>
      </c>
      <c r="BI9" s="127">
        <v>369.95810799999998</v>
      </c>
      <c r="BJ9" s="126"/>
      <c r="BK9" s="126"/>
      <c r="BL9" s="126"/>
      <c r="BM9" s="582"/>
      <c r="BN9" s="582"/>
      <c r="BO9" s="117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8"/>
      <c r="CE9" s="119"/>
      <c r="CG9" s="132"/>
      <c r="CH9" s="133" t="s">
        <v>189</v>
      </c>
      <c r="CI9" s="133" t="s">
        <v>263</v>
      </c>
      <c r="CJ9" s="121"/>
      <c r="CK9" s="122"/>
      <c r="CL9" s="122"/>
      <c r="CQ9" s="117"/>
      <c r="CR9" s="118"/>
      <c r="CS9" s="118"/>
      <c r="CT9" s="118"/>
      <c r="CU9" s="118"/>
      <c r="CV9" s="118"/>
      <c r="CW9" s="119"/>
      <c r="CY9" s="99" t="s">
        <v>358</v>
      </c>
      <c r="CZ9" s="260">
        <v>0.188</v>
      </c>
      <c r="DA9" s="260"/>
      <c r="DB9" s="260">
        <v>1</v>
      </c>
      <c r="DC9" s="260">
        <v>0.52600000000000002</v>
      </c>
      <c r="DJ9" s="132"/>
      <c r="DK9" s="133" t="s">
        <v>242</v>
      </c>
      <c r="DL9" s="133" t="s">
        <v>263</v>
      </c>
      <c r="DM9" s="121"/>
      <c r="DN9" s="121"/>
      <c r="DO9" s="122"/>
      <c r="DQ9" s="134"/>
      <c r="DR9" s="135" t="s">
        <v>145</v>
      </c>
      <c r="DS9" s="135" t="s">
        <v>263</v>
      </c>
      <c r="DT9" s="135" t="s">
        <v>211</v>
      </c>
      <c r="DU9" s="124"/>
      <c r="DV9" s="124"/>
      <c r="DW9" s="125"/>
      <c r="DY9" s="381" t="s">
        <v>88</v>
      </c>
      <c r="DZ9" s="382" t="s">
        <v>89</v>
      </c>
      <c r="EA9" s="382" t="s">
        <v>242</v>
      </c>
      <c r="EB9" s="383" t="s">
        <v>89</v>
      </c>
      <c r="EQ9" s="514" t="s">
        <v>114</v>
      </c>
      <c r="ER9" s="361">
        <v>0</v>
      </c>
      <c r="ES9" s="361">
        <f>ET36</f>
        <v>11.560500000000001</v>
      </c>
      <c r="ET9" s="361">
        <v>0</v>
      </c>
      <c r="EU9" s="424">
        <v>0</v>
      </c>
      <c r="EV9" s="361">
        <f t="shared" si="4"/>
        <v>11.560500000000001</v>
      </c>
      <c r="EW9" s="175">
        <f t="shared" si="0"/>
        <v>0.16234066578911477</v>
      </c>
      <c r="EX9" s="6" t="str">
        <f>EQ8</f>
        <v>Sisal</v>
      </c>
      <c r="EY9" s="520">
        <f>EW8</f>
        <v>6.8158131805754321E-2</v>
      </c>
    </row>
    <row r="10" spans="1:156">
      <c r="A10" s="136" t="s">
        <v>194</v>
      </c>
      <c r="B10" s="129"/>
      <c r="C10" s="129"/>
      <c r="D10" s="129"/>
      <c r="E10" s="129"/>
      <c r="F10" s="129"/>
      <c r="G10" s="129"/>
      <c r="H10" s="137"/>
      <c r="I10" s="137"/>
      <c r="J10" s="137"/>
      <c r="K10" s="137"/>
      <c r="L10" s="137"/>
      <c r="M10" s="292"/>
      <c r="N10" s="138">
        <f t="shared" ref="N10:S10" si="7">SUM(N8:N9)</f>
        <v>551.6</v>
      </c>
      <c r="O10" s="138">
        <f t="shared" si="7"/>
        <v>571</v>
      </c>
      <c r="P10" s="138">
        <f t="shared" si="7"/>
        <v>605</v>
      </c>
      <c r="Q10" s="138">
        <f t="shared" si="7"/>
        <v>601</v>
      </c>
      <c r="R10" s="138">
        <f t="shared" si="7"/>
        <v>592</v>
      </c>
      <c r="S10" s="138">
        <f t="shared" si="7"/>
        <v>361</v>
      </c>
      <c r="T10" s="138">
        <f t="shared" ref="T10:AM10" si="8">SUM(T8:T9)</f>
        <v>296</v>
      </c>
      <c r="U10" s="138">
        <f t="shared" si="8"/>
        <v>401</v>
      </c>
      <c r="V10" s="138">
        <f t="shared" si="8"/>
        <v>556</v>
      </c>
      <c r="W10" s="138">
        <f t="shared" si="8"/>
        <v>563</v>
      </c>
      <c r="X10" s="138">
        <f t="shared" si="8"/>
        <v>548</v>
      </c>
      <c r="Y10" s="293">
        <f t="shared" si="8"/>
        <v>500</v>
      </c>
      <c r="Z10" s="138">
        <f t="shared" si="8"/>
        <v>623</v>
      </c>
      <c r="AA10" s="138">
        <f t="shared" si="8"/>
        <v>579</v>
      </c>
      <c r="AB10" s="138">
        <f t="shared" si="8"/>
        <v>616</v>
      </c>
      <c r="AC10" s="138">
        <f t="shared" si="8"/>
        <v>591</v>
      </c>
      <c r="AD10" s="138">
        <f t="shared" si="8"/>
        <v>488</v>
      </c>
      <c r="AE10" s="138">
        <f t="shared" si="8"/>
        <v>487</v>
      </c>
      <c r="AF10" s="138">
        <f t="shared" si="8"/>
        <v>350</v>
      </c>
      <c r="AG10" s="138">
        <f t="shared" si="8"/>
        <v>341.67834900000003</v>
      </c>
      <c r="AH10" s="138">
        <f t="shared" si="8"/>
        <v>478</v>
      </c>
      <c r="AI10" s="138">
        <f t="shared" si="8"/>
        <v>581</v>
      </c>
      <c r="AJ10" s="138">
        <f t="shared" si="8"/>
        <v>592</v>
      </c>
      <c r="AK10" s="293">
        <f t="shared" si="8"/>
        <v>490.35053499999998</v>
      </c>
      <c r="AL10" s="138">
        <f t="shared" si="8"/>
        <v>575.68739400000004</v>
      </c>
      <c r="AM10" s="138">
        <f t="shared" si="8"/>
        <v>554.02820999999994</v>
      </c>
      <c r="AN10" s="138">
        <f t="shared" ref="AN10:BB10" si="9">SUM(AN8:AN9)</f>
        <v>486.41627899999997</v>
      </c>
      <c r="AO10" s="138">
        <f t="shared" si="9"/>
        <v>495.517967</v>
      </c>
      <c r="AP10" s="138">
        <f t="shared" si="9"/>
        <v>461.91232924999997</v>
      </c>
      <c r="AQ10" s="138">
        <f t="shared" si="9"/>
        <v>280.68177270000001</v>
      </c>
      <c r="AR10" s="138">
        <f t="shared" si="9"/>
        <v>261.92780000000005</v>
      </c>
      <c r="AS10" s="138">
        <f t="shared" si="9"/>
        <v>279.85607900000002</v>
      </c>
      <c r="AT10" s="138">
        <f t="shared" si="9"/>
        <v>431.13899759999998</v>
      </c>
      <c r="AU10" s="138">
        <f t="shared" si="9"/>
        <v>507.06846000000002</v>
      </c>
      <c r="AV10" s="138">
        <f t="shared" si="9"/>
        <v>449.55455900000004</v>
      </c>
      <c r="AW10" s="577">
        <f t="shared" si="9"/>
        <v>434.12065000000001</v>
      </c>
      <c r="AX10" s="138">
        <f t="shared" si="9"/>
        <v>408.31802360000006</v>
      </c>
      <c r="AY10" s="138">
        <f t="shared" si="9"/>
        <v>412.71964200000002</v>
      </c>
      <c r="AZ10" s="138">
        <f t="shared" si="9"/>
        <v>473.25071199999991</v>
      </c>
      <c r="BA10" s="138">
        <f t="shared" si="9"/>
        <v>467.35689599999995</v>
      </c>
      <c r="BB10" s="138">
        <f t="shared" si="9"/>
        <v>403.83268399999997</v>
      </c>
      <c r="BC10" s="138">
        <f t="shared" ref="BC10:BL10" si="10">SUM(BC8:BC9)</f>
        <v>350.57940000000002</v>
      </c>
      <c r="BD10" s="138">
        <f t="shared" si="10"/>
        <v>251.6613274</v>
      </c>
      <c r="BE10" s="138">
        <f t="shared" si="10"/>
        <v>280.91955799999999</v>
      </c>
      <c r="BF10" s="138">
        <f t="shared" si="10"/>
        <v>464.03990299999998</v>
      </c>
      <c r="BG10" s="138">
        <f t="shared" si="10"/>
        <v>488.961321</v>
      </c>
      <c r="BH10" s="138">
        <f t="shared" si="10"/>
        <v>414.135582</v>
      </c>
      <c r="BI10" s="293">
        <f t="shared" si="10"/>
        <v>369.95810799999998</v>
      </c>
      <c r="BJ10" s="138">
        <f t="shared" si="10"/>
        <v>0</v>
      </c>
      <c r="BK10" s="138">
        <f t="shared" si="10"/>
        <v>0</v>
      </c>
      <c r="BL10" s="138">
        <f t="shared" si="10"/>
        <v>0</v>
      </c>
      <c r="BM10" s="578"/>
      <c r="BN10" s="126"/>
      <c r="BO10" s="117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9"/>
      <c r="CG10" s="128" t="s">
        <v>358</v>
      </c>
      <c r="CH10" s="139">
        <f>CI10/CI$17</f>
        <v>0.38983050847457623</v>
      </c>
      <c r="CI10" s="121">
        <v>2.2999999999999998</v>
      </c>
      <c r="CJ10" s="121"/>
      <c r="CK10" s="122"/>
      <c r="CL10" s="122"/>
      <c r="CQ10" s="117"/>
      <c r="CR10" s="118"/>
      <c r="CS10" s="118"/>
      <c r="CT10" s="118"/>
      <c r="CU10" s="118"/>
      <c r="CV10" s="118"/>
      <c r="CW10" s="119"/>
      <c r="CY10" s="99" t="s">
        <v>270</v>
      </c>
      <c r="CZ10" s="260">
        <v>0.106</v>
      </c>
      <c r="DA10" s="260">
        <v>1</v>
      </c>
      <c r="DB10" s="260"/>
      <c r="DC10" s="260">
        <v>0.30599999999999999</v>
      </c>
      <c r="DJ10" s="128" t="s">
        <v>132</v>
      </c>
      <c r="DK10" s="139">
        <v>0.33600000000000002</v>
      </c>
      <c r="DL10" s="140">
        <f t="shared" ref="DL10:DL16" si="11">DK10*DL$18</f>
        <v>4.9438620000000002</v>
      </c>
      <c r="DM10" s="121"/>
      <c r="DN10" s="121"/>
      <c r="DO10" s="122"/>
      <c r="DQ10" s="131" t="s">
        <v>360</v>
      </c>
      <c r="DR10" s="141">
        <f>DS10/DS$24</f>
        <v>0.28317659352142105</v>
      </c>
      <c r="DS10" s="142">
        <v>81.3</v>
      </c>
      <c r="DT10" s="143">
        <v>-5.6000000000000001E-2</v>
      </c>
      <c r="DU10" s="124" t="s">
        <v>210</v>
      </c>
      <c r="DV10" s="124"/>
      <c r="DW10" s="125"/>
      <c r="DY10" s="380" t="s">
        <v>247</v>
      </c>
      <c r="DZ10" s="384">
        <v>0.371</v>
      </c>
      <c r="EA10" s="378" t="s">
        <v>92</v>
      </c>
      <c r="EB10" s="385">
        <v>0.40799999999999997</v>
      </c>
      <c r="EQ10" s="514" t="s">
        <v>172</v>
      </c>
      <c r="ER10" s="361">
        <f>EE121*AT$171</f>
        <v>1.732041623309053</v>
      </c>
      <c r="ES10" s="361">
        <f>ET38</f>
        <v>1.7068750000000001</v>
      </c>
      <c r="ET10" s="361">
        <f>DZ12*AT$176</f>
        <v>1.09104936</v>
      </c>
      <c r="EU10" s="424">
        <f>EB14*AT$178</f>
        <v>0.23376654000000002</v>
      </c>
      <c r="EV10" s="361">
        <f t="shared" si="4"/>
        <v>4.7637325233090531</v>
      </c>
      <c r="EW10" s="175">
        <f t="shared" si="0"/>
        <v>6.6895680072250441E-2</v>
      </c>
      <c r="EX10" s="6" t="str">
        <f>EQ10</f>
        <v>Snai</v>
      </c>
      <c r="EY10" s="520">
        <f>EW10</f>
        <v>6.6895680072250441E-2</v>
      </c>
    </row>
    <row r="11" spans="1:156" ht="16" thickBot="1">
      <c r="A11" s="5"/>
      <c r="H11" s="126"/>
      <c r="I11" s="126"/>
      <c r="J11" s="126"/>
      <c r="K11" s="126"/>
      <c r="L11" s="126"/>
      <c r="M11" s="127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7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7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57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7"/>
      <c r="BJ11" s="126"/>
      <c r="BK11" s="126"/>
      <c r="BL11" s="126"/>
      <c r="BM11" s="578"/>
      <c r="BN11" s="578"/>
      <c r="BO11" s="117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9"/>
      <c r="CG11" s="128" t="s">
        <v>359</v>
      </c>
      <c r="CH11" s="139">
        <f>CI11/CI$17</f>
        <v>0.3728813559322034</v>
      </c>
      <c r="CI11" s="121">
        <v>2.2000000000000002</v>
      </c>
      <c r="CJ11" s="121"/>
      <c r="CK11" s="122"/>
      <c r="CL11" s="122"/>
      <c r="CQ11" s="117"/>
      <c r="CR11" s="118"/>
      <c r="CS11" s="118"/>
      <c r="CT11" s="118"/>
      <c r="CU11" s="118"/>
      <c r="CV11" s="118"/>
      <c r="CW11" s="119"/>
      <c r="CY11" s="99" t="s">
        <v>359</v>
      </c>
      <c r="CZ11" s="260">
        <v>0.441</v>
      </c>
      <c r="DA11" s="260"/>
      <c r="DB11" s="260"/>
      <c r="DC11" s="260">
        <v>0.105</v>
      </c>
      <c r="DJ11" s="128" t="s">
        <v>358</v>
      </c>
      <c r="DK11" s="139">
        <v>0.24</v>
      </c>
      <c r="DL11" s="140">
        <f t="shared" si="11"/>
        <v>3.5313299999999996</v>
      </c>
      <c r="DM11" s="121"/>
      <c r="DN11" s="121"/>
      <c r="DO11" s="122"/>
      <c r="DQ11" s="131" t="s">
        <v>304</v>
      </c>
      <c r="DR11" s="141">
        <f t="shared" ref="DR11:DR23" si="12">DS11/DS$24</f>
        <v>0.23894113549285959</v>
      </c>
      <c r="DS11" s="142">
        <v>68.599999999999994</v>
      </c>
      <c r="DT11" s="143">
        <v>0.38600000000000001</v>
      </c>
      <c r="DU11" s="124"/>
      <c r="DV11" s="124"/>
      <c r="DW11" s="125"/>
      <c r="DY11" s="380" t="s">
        <v>90</v>
      </c>
      <c r="DZ11" s="384">
        <v>0.14199999999999999</v>
      </c>
      <c r="EA11" s="378" t="s">
        <v>247</v>
      </c>
      <c r="EB11" s="385">
        <v>0.222</v>
      </c>
      <c r="EQ11" s="514" t="s">
        <v>246</v>
      </c>
      <c r="ER11" s="361">
        <f>EE122*AT$171</f>
        <v>0.92267637877211239</v>
      </c>
      <c r="ES11" s="361">
        <f>ET44</f>
        <v>1.1815</v>
      </c>
      <c r="ET11" s="361">
        <f>DZ15*AT$176</f>
        <v>0.37255344000000001</v>
      </c>
      <c r="EU11" s="424">
        <f>EB15*AT$178</f>
        <v>0.10018566</v>
      </c>
      <c r="EV11" s="361">
        <f t="shared" si="4"/>
        <v>2.5769154787721122</v>
      </c>
      <c r="EW11" s="175">
        <f t="shared" si="0"/>
        <v>3.6186858224656379E-2</v>
      </c>
      <c r="EX11" s="481" t="str">
        <f>EQ16</f>
        <v>Others</v>
      </c>
      <c r="EY11" s="484">
        <f>SUM(EW11:EW16)</f>
        <v>0.16712637348654533</v>
      </c>
    </row>
    <row r="12" spans="1:156" ht="16" thickBot="1">
      <c r="A12" s="5" t="s">
        <v>293</v>
      </c>
      <c r="H12" s="126"/>
      <c r="I12" s="126"/>
      <c r="J12" s="126"/>
      <c r="K12" s="126"/>
      <c r="L12" s="126"/>
      <c r="M12" s="127"/>
      <c r="N12" s="126">
        <v>2004.2</v>
      </c>
      <c r="O12" s="126">
        <v>1849</v>
      </c>
      <c r="P12" s="126">
        <v>2064</v>
      </c>
      <c r="Q12" s="126">
        <v>2014</v>
      </c>
      <c r="R12" s="126">
        <v>2004</v>
      </c>
      <c r="S12" s="126">
        <v>1994</v>
      </c>
      <c r="T12" s="126">
        <v>2008</v>
      </c>
      <c r="U12" s="126">
        <v>1977</v>
      </c>
      <c r="V12" s="126">
        <v>2025</v>
      </c>
      <c r="W12" s="126">
        <v>2107</v>
      </c>
      <c r="X12" s="126">
        <v>2250</v>
      </c>
      <c r="Y12" s="127">
        <v>2655</v>
      </c>
      <c r="Z12" s="126">
        <v>2559</v>
      </c>
      <c r="AA12" s="126">
        <v>2342</v>
      </c>
      <c r="AB12" s="126">
        <v>2605</v>
      </c>
      <c r="AC12" s="126">
        <v>2552</v>
      </c>
      <c r="AD12" s="126">
        <v>2643</v>
      </c>
      <c r="AE12" s="126">
        <v>2436</v>
      </c>
      <c r="AF12" s="126">
        <v>2450</v>
      </c>
      <c r="AG12" s="126">
        <v>2409</v>
      </c>
      <c r="AH12" s="126">
        <v>2510</v>
      </c>
      <c r="AI12" s="126">
        <f>2830-AI13</f>
        <v>2714</v>
      </c>
      <c r="AJ12" s="126">
        <f>2800-AJ13</f>
        <v>2567</v>
      </c>
      <c r="AK12" s="127">
        <f>3398-AK13</f>
        <v>2948</v>
      </c>
      <c r="AL12" s="579">
        <f>3243-555</f>
        <v>2688</v>
      </c>
      <c r="AM12" s="579">
        <f>3102-719</f>
        <v>2383</v>
      </c>
      <c r="AN12" s="579">
        <f>3572-924</f>
        <v>2648</v>
      </c>
      <c r="AO12" s="579">
        <f>3462-989</f>
        <v>2473</v>
      </c>
      <c r="AP12" s="579">
        <f>3539-1040</f>
        <v>2499</v>
      </c>
      <c r="AQ12" s="579">
        <f>3504-AQ13</f>
        <v>2354</v>
      </c>
      <c r="AR12" s="579">
        <f>3605-AR13</f>
        <v>2421</v>
      </c>
      <c r="AS12" s="579">
        <f>3229-AS13</f>
        <v>2178</v>
      </c>
      <c r="AT12" s="579">
        <f>3428-AT13</f>
        <v>2313</v>
      </c>
      <c r="AU12" s="579">
        <f>3620-1211</f>
        <v>2409</v>
      </c>
      <c r="AV12" s="579">
        <f>3726-1307</f>
        <v>2419</v>
      </c>
      <c r="AW12" s="580">
        <f>4421-AW13</f>
        <v>2631</v>
      </c>
      <c r="AX12" s="126">
        <f>4670-2216</f>
        <v>2454</v>
      </c>
      <c r="AY12" s="126">
        <f>3880-1651</f>
        <v>2229</v>
      </c>
      <c r="AZ12" s="126">
        <f>12790-5268-AY12-AX12</f>
        <v>2839</v>
      </c>
      <c r="BA12" s="126">
        <f>4078-BA13</f>
        <v>2379</v>
      </c>
      <c r="BB12" s="126">
        <f>4150-BB13</f>
        <v>2345</v>
      </c>
      <c r="BC12" s="126">
        <f>3823-BC13</f>
        <v>2145</v>
      </c>
      <c r="BD12" s="126">
        <f>3513-BD13</f>
        <v>2176</v>
      </c>
      <c r="BE12" s="126">
        <f>3279-BE13</f>
        <v>2056</v>
      </c>
      <c r="BF12" s="126">
        <f>3498-1289</f>
        <v>2209</v>
      </c>
      <c r="BG12" s="126">
        <f>3693-1389</f>
        <v>2304</v>
      </c>
      <c r="BH12" s="126"/>
      <c r="BI12" s="127"/>
      <c r="BJ12" s="126"/>
      <c r="BK12" s="126"/>
      <c r="BL12" s="126"/>
      <c r="BM12" s="582"/>
      <c r="BN12" s="582"/>
      <c r="BO12" s="117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9"/>
      <c r="CG12" s="128" t="s">
        <v>360</v>
      </c>
      <c r="CH12" s="139">
        <f>CI12/CI$17</f>
        <v>8.4745762711864403E-2</v>
      </c>
      <c r="CI12" s="121">
        <v>0.5</v>
      </c>
      <c r="CJ12" s="121"/>
      <c r="CK12" s="122"/>
      <c r="CL12" s="122"/>
      <c r="CQ12" s="117"/>
      <c r="CR12" s="118"/>
      <c r="CS12" s="118"/>
      <c r="CT12" s="118"/>
      <c r="CU12" s="118"/>
      <c r="CV12" s="118"/>
      <c r="CW12" s="119"/>
      <c r="CY12" s="99" t="s">
        <v>360</v>
      </c>
      <c r="CZ12" s="260">
        <v>1.2E-2</v>
      </c>
      <c r="DA12" s="260"/>
      <c r="DB12" s="260"/>
      <c r="DC12" s="260">
        <v>3.0000000000000001E-3</v>
      </c>
      <c r="DJ12" s="128" t="s">
        <v>360</v>
      </c>
      <c r="DK12" s="139">
        <v>0.16400000000000001</v>
      </c>
      <c r="DL12" s="140">
        <f t="shared" si="11"/>
        <v>2.4130755000000002</v>
      </c>
      <c r="DM12" s="121"/>
      <c r="DN12" s="121"/>
      <c r="DO12" s="122"/>
      <c r="DQ12" s="131" t="s">
        <v>132</v>
      </c>
      <c r="DR12" s="141">
        <f t="shared" si="12"/>
        <v>0.14977359804946011</v>
      </c>
      <c r="DS12" s="142">
        <v>43</v>
      </c>
      <c r="DT12" s="143">
        <v>-0.19600000000000001</v>
      </c>
      <c r="DU12" s="124"/>
      <c r="DV12" s="124"/>
      <c r="DW12" s="125"/>
      <c r="DY12" s="380" t="s">
        <v>172</v>
      </c>
      <c r="DZ12" s="384">
        <v>0.123</v>
      </c>
      <c r="EA12" s="378" t="s">
        <v>170</v>
      </c>
      <c r="EB12" s="385">
        <v>0.18</v>
      </c>
      <c r="EQ12" s="514" t="s">
        <v>200</v>
      </c>
      <c r="ER12" s="361">
        <f>EE123*AT$171</f>
        <v>0.40468262226847035</v>
      </c>
      <c r="ES12" s="361">
        <f>ET45</f>
        <v>1.1245000000000003</v>
      </c>
      <c r="ET12" s="361">
        <f>DZ17*AT$176</f>
        <v>3.5481279999999997E-2</v>
      </c>
      <c r="EU12" s="424">
        <v>0</v>
      </c>
      <c r="EV12" s="361">
        <f t="shared" si="4"/>
        <v>1.5646639022684705</v>
      </c>
      <c r="EW12" s="175">
        <f t="shared" si="0"/>
        <v>2.1972110170879969E-2</v>
      </c>
    </row>
    <row r="13" spans="1:156">
      <c r="A13" s="5" t="s">
        <v>289</v>
      </c>
      <c r="H13" s="126"/>
      <c r="I13" s="126"/>
      <c r="J13" s="126"/>
      <c r="K13" s="126"/>
      <c r="L13" s="126"/>
      <c r="M13" s="127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7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>
        <v>116</v>
      </c>
      <c r="AJ13" s="126">
        <v>233</v>
      </c>
      <c r="AK13" s="127">
        <v>450</v>
      </c>
      <c r="AL13" s="579">
        <v>555</v>
      </c>
      <c r="AM13" s="579">
        <v>719</v>
      </c>
      <c r="AN13" s="579">
        <v>924</v>
      </c>
      <c r="AO13" s="579">
        <v>989</v>
      </c>
      <c r="AP13" s="579">
        <v>1040</v>
      </c>
      <c r="AQ13" s="579">
        <v>1150</v>
      </c>
      <c r="AR13" s="579">
        <v>1184</v>
      </c>
      <c r="AS13" s="579">
        <v>1051</v>
      </c>
      <c r="AT13" s="579">
        <v>1115</v>
      </c>
      <c r="AU13" s="579">
        <v>1211</v>
      </c>
      <c r="AV13" s="579">
        <v>1307</v>
      </c>
      <c r="AW13" s="580">
        <v>1790</v>
      </c>
      <c r="AX13" s="126">
        <v>2216</v>
      </c>
      <c r="AY13" s="126">
        <v>1651</v>
      </c>
      <c r="AZ13" s="126">
        <f>5268-AY13-AX13</f>
        <v>1401</v>
      </c>
      <c r="BA13" s="126">
        <v>1699</v>
      </c>
      <c r="BB13" s="126">
        <v>1805</v>
      </c>
      <c r="BC13" s="126">
        <v>1678</v>
      </c>
      <c r="BD13" s="126">
        <v>1337</v>
      </c>
      <c r="BE13" s="126">
        <v>1223</v>
      </c>
      <c r="BF13" s="126">
        <v>1289</v>
      </c>
      <c r="BG13" s="126">
        <v>1389</v>
      </c>
      <c r="BH13" s="126"/>
      <c r="BI13" s="127"/>
      <c r="BJ13" s="126"/>
      <c r="BK13" s="126"/>
      <c r="BL13" s="126"/>
      <c r="BM13" s="582"/>
      <c r="BN13" s="582"/>
      <c r="BO13" s="117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9"/>
      <c r="CG13" s="128"/>
      <c r="CH13" s="139"/>
      <c r="CI13" s="121"/>
      <c r="CJ13" s="121"/>
      <c r="CK13" s="122"/>
      <c r="CL13" s="122"/>
      <c r="CQ13" s="117"/>
      <c r="CR13" s="118"/>
      <c r="CS13" s="118"/>
      <c r="CT13" s="118"/>
      <c r="CU13" s="118"/>
      <c r="CV13" s="118"/>
      <c r="CW13" s="119"/>
      <c r="CZ13" s="260"/>
      <c r="DA13" s="260"/>
      <c r="DB13" s="260"/>
      <c r="DC13" s="260"/>
      <c r="DJ13" s="128" t="s">
        <v>287</v>
      </c>
      <c r="DK13" s="139">
        <v>0.14399999999999999</v>
      </c>
      <c r="DL13" s="140">
        <f t="shared" si="11"/>
        <v>2.118798</v>
      </c>
      <c r="DM13" s="121"/>
      <c r="DN13" s="121"/>
      <c r="DO13" s="122"/>
      <c r="DQ13" s="112" t="s">
        <v>359</v>
      </c>
      <c r="DR13" s="144">
        <f t="shared" si="12"/>
        <v>5.3988157436433294E-2</v>
      </c>
      <c r="DS13" s="145">
        <v>15.5</v>
      </c>
      <c r="DT13" s="146">
        <v>-0.25800000000000001</v>
      </c>
      <c r="DU13" s="113"/>
      <c r="DV13" s="147" t="s">
        <v>211</v>
      </c>
      <c r="DW13" s="148" t="s">
        <v>355</v>
      </c>
      <c r="DY13" s="380" t="s">
        <v>287</v>
      </c>
      <c r="DZ13" s="384">
        <v>0.112</v>
      </c>
      <c r="EA13" s="378" t="s">
        <v>287</v>
      </c>
      <c r="EB13" s="385">
        <v>0.09</v>
      </c>
      <c r="EQ13" s="514" t="s">
        <v>91</v>
      </c>
      <c r="ER13" s="361">
        <v>0</v>
      </c>
      <c r="ES13" s="361">
        <v>0</v>
      </c>
      <c r="ET13" s="361">
        <f>DZ14*AT$176</f>
        <v>0.78058815999999986</v>
      </c>
      <c r="EU13" s="424">
        <v>0</v>
      </c>
      <c r="EV13" s="361">
        <f t="shared" si="4"/>
        <v>0.78058815999999986</v>
      </c>
      <c r="EW13" s="175">
        <f t="shared" si="0"/>
        <v>1.0961567544786126E-2</v>
      </c>
    </row>
    <row r="14" spans="1:156">
      <c r="A14" s="5" t="s">
        <v>318</v>
      </c>
      <c r="H14" s="126"/>
      <c r="I14" s="126"/>
      <c r="J14" s="126"/>
      <c r="K14" s="126"/>
      <c r="L14" s="126"/>
      <c r="M14" s="127"/>
      <c r="N14" s="126">
        <v>147.47999999999999</v>
      </c>
      <c r="O14" s="126">
        <v>114</v>
      </c>
      <c r="P14" s="126">
        <v>128</v>
      </c>
      <c r="Q14" s="126">
        <v>105</v>
      </c>
      <c r="R14" s="126">
        <v>120</v>
      </c>
      <c r="S14" s="126">
        <v>109</v>
      </c>
      <c r="T14" s="126">
        <v>108</v>
      </c>
      <c r="U14" s="126">
        <v>113</v>
      </c>
      <c r="V14" s="126">
        <v>105</v>
      </c>
      <c r="W14" s="126">
        <v>106</v>
      </c>
      <c r="X14" s="126">
        <v>132</v>
      </c>
      <c r="Y14" s="127">
        <v>167</v>
      </c>
      <c r="Z14" s="126">
        <v>177</v>
      </c>
      <c r="AA14" s="126">
        <v>144</v>
      </c>
      <c r="AB14" s="126">
        <v>161</v>
      </c>
      <c r="AC14" s="126">
        <v>159</v>
      </c>
      <c r="AD14" s="126">
        <v>163</v>
      </c>
      <c r="AE14" s="126">
        <v>144</v>
      </c>
      <c r="AF14" s="126">
        <v>135</v>
      </c>
      <c r="AG14" s="126">
        <v>155</v>
      </c>
      <c r="AH14" s="126">
        <v>159</v>
      </c>
      <c r="AI14" s="126">
        <v>166</v>
      </c>
      <c r="AJ14" s="126">
        <v>163</v>
      </c>
      <c r="AK14" s="127">
        <v>190</v>
      </c>
      <c r="AL14" s="126">
        <v>157</v>
      </c>
      <c r="AM14" s="126">
        <v>156</v>
      </c>
      <c r="AN14" s="126">
        <v>173</v>
      </c>
      <c r="AO14" s="126">
        <v>161</v>
      </c>
      <c r="AP14" s="126">
        <v>157</v>
      </c>
      <c r="AQ14" s="126">
        <v>150</v>
      </c>
      <c r="AR14" s="126">
        <v>147</v>
      </c>
      <c r="AS14" s="126">
        <v>140</v>
      </c>
      <c r="AT14" s="126">
        <v>140</v>
      </c>
      <c r="AU14" s="126">
        <v>154</v>
      </c>
      <c r="AV14" s="126">
        <v>147</v>
      </c>
      <c r="AW14" s="576">
        <v>168</v>
      </c>
      <c r="AX14" s="126">
        <v>170</v>
      </c>
      <c r="AY14" s="126">
        <v>134</v>
      </c>
      <c r="AZ14" s="126">
        <f>453-AY14-AX14</f>
        <v>149</v>
      </c>
      <c r="BA14" s="126">
        <v>152</v>
      </c>
      <c r="BB14" s="126">
        <v>142</v>
      </c>
      <c r="BC14" s="126">
        <v>125</v>
      </c>
      <c r="BD14" s="126">
        <v>126</v>
      </c>
      <c r="BE14" s="126">
        <v>126</v>
      </c>
      <c r="BF14" s="126">
        <v>126</v>
      </c>
      <c r="BG14" s="126">
        <v>128</v>
      </c>
      <c r="BH14" s="126"/>
      <c r="BI14" s="127"/>
      <c r="BJ14" s="126"/>
      <c r="BK14" s="126"/>
      <c r="BL14" s="126"/>
      <c r="BM14" s="578"/>
      <c r="BN14" s="578"/>
      <c r="BO14" s="117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9"/>
      <c r="CG14" s="128" t="s">
        <v>188</v>
      </c>
      <c r="CH14" s="139">
        <f>CI14/CI$17</f>
        <v>8.4745762711864403E-2</v>
      </c>
      <c r="CI14" s="121">
        <v>0.5</v>
      </c>
      <c r="CJ14" s="121"/>
      <c r="CK14" s="122"/>
      <c r="CL14" s="122"/>
      <c r="CQ14" s="117"/>
      <c r="CR14" s="118"/>
      <c r="CS14" s="118"/>
      <c r="CT14" s="118"/>
      <c r="CU14" s="118"/>
      <c r="CV14" s="118"/>
      <c r="CW14" s="119"/>
      <c r="CY14" s="99" t="s">
        <v>361</v>
      </c>
      <c r="CZ14" s="260">
        <v>7.9000000000000001E-2</v>
      </c>
      <c r="DA14" s="260"/>
      <c r="DB14" s="260"/>
      <c r="DC14" s="260">
        <v>1.9E-2</v>
      </c>
      <c r="DJ14" s="128" t="s">
        <v>359</v>
      </c>
      <c r="DK14" s="139">
        <v>8.2000000000000003E-2</v>
      </c>
      <c r="DL14" s="140">
        <f t="shared" si="11"/>
        <v>1.2065377500000001</v>
      </c>
      <c r="DM14" s="121"/>
      <c r="DN14" s="121"/>
      <c r="DO14" s="122"/>
      <c r="DQ14" s="131" t="s">
        <v>270</v>
      </c>
      <c r="DR14" s="141">
        <f t="shared" si="12"/>
        <v>4.2842215256008356E-2</v>
      </c>
      <c r="DS14" s="142">
        <v>12.3</v>
      </c>
      <c r="DT14" s="143">
        <v>-0.16900000000000001</v>
      </c>
      <c r="DU14" s="124" t="s">
        <v>72</v>
      </c>
      <c r="DV14" s="143">
        <v>-0.16926503340757237</v>
      </c>
      <c r="DW14" s="149">
        <f>SUM(DR13:DR16)</f>
        <v>0.12991988854057818</v>
      </c>
      <c r="DY14" s="380" t="s">
        <v>91</v>
      </c>
      <c r="DZ14" s="384">
        <v>8.7999999999999995E-2</v>
      </c>
      <c r="EA14" s="378" t="s">
        <v>172</v>
      </c>
      <c r="EB14" s="385">
        <v>7.0000000000000007E-2</v>
      </c>
      <c r="EQ14" s="514" t="s">
        <v>215</v>
      </c>
      <c r="ER14" s="361">
        <f>EE124*AT$171</f>
        <v>0.12949843912591052</v>
      </c>
      <c r="ES14" s="361">
        <f>ET43</f>
        <v>8.1000000000000016E-2</v>
      </c>
      <c r="ET14" s="361">
        <v>0</v>
      </c>
      <c r="EU14" s="424">
        <v>0</v>
      </c>
      <c r="EV14" s="361">
        <f t="shared" ref="EV14" si="13">SUM(ER14:EU14)</f>
        <v>0.21049843912591054</v>
      </c>
      <c r="EW14" s="175">
        <f t="shared" si="0"/>
        <v>2.9559670217784487E-3</v>
      </c>
    </row>
    <row r="15" spans="1:156">
      <c r="A15" s="5" t="s">
        <v>441</v>
      </c>
      <c r="H15" s="126"/>
      <c r="I15" s="126"/>
      <c r="J15" s="126"/>
      <c r="K15" s="126"/>
      <c r="L15" s="126"/>
      <c r="M15" s="127"/>
      <c r="N15" s="126">
        <f t="shared" ref="N15:S15" si="14">N55</f>
        <v>141.68683999999999</v>
      </c>
      <c r="O15" s="126">
        <f t="shared" si="14"/>
        <v>143.18586400000001</v>
      </c>
      <c r="P15" s="126">
        <f t="shared" si="14"/>
        <v>182.097094</v>
      </c>
      <c r="Q15" s="126">
        <f t="shared" si="14"/>
        <v>187.59386599999999</v>
      </c>
      <c r="R15" s="126">
        <f t="shared" si="14"/>
        <v>199.719133</v>
      </c>
      <c r="S15" s="126">
        <f t="shared" si="14"/>
        <v>188.62227100000001</v>
      </c>
      <c r="T15" s="126">
        <v>184.22383199999999</v>
      </c>
      <c r="U15" s="126">
        <v>177.429745</v>
      </c>
      <c r="V15" s="126">
        <f>V55</f>
        <v>211.22119699999999</v>
      </c>
      <c r="W15" s="126">
        <f>W55</f>
        <v>238.44527199999999</v>
      </c>
      <c r="X15" s="126">
        <f>X55</f>
        <v>241.67434499999999</v>
      </c>
      <c r="Y15" s="127">
        <f>Y55+Y54</f>
        <v>251.77217299999998</v>
      </c>
      <c r="Z15" s="126">
        <f t="shared" ref="Z15:AF15" si="15">Z55</f>
        <v>304.175206</v>
      </c>
      <c r="AA15" s="126">
        <f t="shared" si="15"/>
        <v>269.101493</v>
      </c>
      <c r="AB15" s="126">
        <f t="shared" si="15"/>
        <v>301.18052799999998</v>
      </c>
      <c r="AC15" s="126">
        <f t="shared" si="15"/>
        <v>283.14288299999998</v>
      </c>
      <c r="AD15" s="126">
        <f t="shared" si="15"/>
        <v>295.63333299999999</v>
      </c>
      <c r="AE15" s="126">
        <f t="shared" si="15"/>
        <v>256.50478399999997</v>
      </c>
      <c r="AF15" s="126">
        <f t="shared" si="15"/>
        <v>247.15077599999998</v>
      </c>
      <c r="AG15" s="126">
        <v>225.42811</v>
      </c>
      <c r="AH15" s="126">
        <v>249.217904</v>
      </c>
      <c r="AI15" s="126">
        <f t="shared" ref="AI15:AN15" si="16">AI55</f>
        <v>280.88914199999999</v>
      </c>
      <c r="AJ15" s="126">
        <f t="shared" si="16"/>
        <v>269.15164999999996</v>
      </c>
      <c r="AK15" s="127">
        <f t="shared" si="16"/>
        <v>284.83938699999999</v>
      </c>
      <c r="AL15" s="126">
        <f t="shared" si="16"/>
        <v>318.34680199999997</v>
      </c>
      <c r="AM15" s="126">
        <f t="shared" si="16"/>
        <v>270.57407000000001</v>
      </c>
      <c r="AN15" s="126">
        <f t="shared" si="16"/>
        <v>290.18870199999998</v>
      </c>
      <c r="AO15" s="126">
        <v>241.05649600000001</v>
      </c>
      <c r="AP15" s="126">
        <f t="shared" ref="AP15:AU15" si="17">AP55</f>
        <v>265.40438900000004</v>
      </c>
      <c r="AQ15" s="126">
        <f t="shared" si="17"/>
        <v>241.41706499999998</v>
      </c>
      <c r="AR15" s="126">
        <f t="shared" si="17"/>
        <v>568.34711700000003</v>
      </c>
      <c r="AS15" s="126">
        <f t="shared" si="17"/>
        <v>1222.112805</v>
      </c>
      <c r="AT15" s="126">
        <f t="shared" si="17"/>
        <v>1257.5561709999999</v>
      </c>
      <c r="AU15" s="126">
        <f t="shared" si="17"/>
        <v>1324.971235</v>
      </c>
      <c r="AV15" s="126">
        <f>117+1158</f>
        <v>1275</v>
      </c>
      <c r="AW15" s="576">
        <f>AW53</f>
        <v>1280.8489199999999</v>
      </c>
      <c r="AX15" s="126">
        <f>AX53</f>
        <v>1385.595</v>
      </c>
      <c r="AY15" s="126">
        <f t="shared" ref="AY15:BA15" si="18">AY53</f>
        <v>1254.783688</v>
      </c>
      <c r="AZ15" s="126">
        <f t="shared" si="18"/>
        <v>1233.6854290000001</v>
      </c>
      <c r="BA15" s="126">
        <f t="shared" si="18"/>
        <v>1149.4224469999999</v>
      </c>
      <c r="BB15" s="126">
        <f>109+1084</f>
        <v>1193</v>
      </c>
      <c r="BC15" s="126">
        <f>89+955</f>
        <v>1044</v>
      </c>
      <c r="BD15" s="126">
        <f>BD53</f>
        <v>1004.349332</v>
      </c>
      <c r="BE15" s="126">
        <f>BE53</f>
        <v>992.81496600000003</v>
      </c>
      <c r="BF15" s="126">
        <f>98+1073</f>
        <v>1171</v>
      </c>
      <c r="BG15" s="126">
        <f>99+1092</f>
        <v>1191</v>
      </c>
      <c r="BH15" s="126"/>
      <c r="BI15" s="127"/>
      <c r="BJ15" s="126"/>
      <c r="BK15" s="126"/>
      <c r="BL15" s="126"/>
      <c r="BM15" s="582"/>
      <c r="BN15" s="582"/>
      <c r="BO15" s="117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9"/>
      <c r="CG15" s="128" t="s">
        <v>132</v>
      </c>
      <c r="CH15" s="139">
        <f>CI15/CI$17</f>
        <v>5.084745762711864E-2</v>
      </c>
      <c r="CI15" s="121">
        <v>0.3</v>
      </c>
      <c r="CJ15" s="121"/>
      <c r="CK15" s="122"/>
      <c r="CL15" s="122"/>
      <c r="CQ15" s="117"/>
      <c r="CR15" s="118"/>
      <c r="CS15" s="118"/>
      <c r="CT15" s="118"/>
      <c r="CU15" s="118"/>
      <c r="CV15" s="118"/>
      <c r="CW15" s="119"/>
      <c r="CY15" s="99" t="s">
        <v>193</v>
      </c>
      <c r="CZ15" s="260">
        <v>5.3999999999999999E-2</v>
      </c>
      <c r="DA15" s="260"/>
      <c r="DB15" s="260"/>
      <c r="DC15" s="260">
        <v>1.2999999999999999E-2</v>
      </c>
      <c r="DJ15" s="128" t="s">
        <v>246</v>
      </c>
      <c r="DK15" s="139">
        <v>3.4000000000000002E-2</v>
      </c>
      <c r="DL15" s="140">
        <f t="shared" si="11"/>
        <v>0.50027175000000002</v>
      </c>
      <c r="DM15" s="121"/>
      <c r="DN15" s="121"/>
      <c r="DO15" s="122"/>
      <c r="DQ15" s="131" t="s">
        <v>193</v>
      </c>
      <c r="DR15" s="141">
        <f t="shared" si="12"/>
        <v>1.8460466736328802E-2</v>
      </c>
      <c r="DS15" s="142">
        <v>5.3</v>
      </c>
      <c r="DT15" s="143">
        <v>-0.14499999999999999</v>
      </c>
      <c r="DU15" s="124"/>
      <c r="DV15" s="124"/>
      <c r="DW15" s="125"/>
      <c r="DY15" s="380" t="s">
        <v>246</v>
      </c>
      <c r="DZ15" s="384">
        <v>4.2000000000000003E-2</v>
      </c>
      <c r="EA15" s="378" t="s">
        <v>246</v>
      </c>
      <c r="EB15" s="385">
        <v>0.03</v>
      </c>
      <c r="EQ15" s="515">
        <v>888</v>
      </c>
      <c r="ER15" s="361">
        <v>0</v>
      </c>
      <c r="ES15" s="361">
        <v>0</v>
      </c>
      <c r="ET15" s="361">
        <f>DZ16*AT$176</f>
        <v>0.30159088000000001</v>
      </c>
      <c r="EU15" s="424">
        <v>0</v>
      </c>
      <c r="EV15" s="361">
        <f>SUM(ER15:EU15)</f>
        <v>0.30159088000000001</v>
      </c>
      <c r="EW15" s="175">
        <f t="shared" si="0"/>
        <v>4.2351510968491862E-3</v>
      </c>
    </row>
    <row r="16" spans="1:156" ht="16" thickBot="1">
      <c r="A16" s="136" t="s">
        <v>281</v>
      </c>
      <c r="B16" s="129"/>
      <c r="C16" s="129"/>
      <c r="D16" s="129"/>
      <c r="E16" s="129"/>
      <c r="F16" s="129"/>
      <c r="G16" s="129"/>
      <c r="H16" s="137"/>
      <c r="I16" s="137"/>
      <c r="J16" s="137"/>
      <c r="K16" s="137"/>
      <c r="L16" s="137"/>
      <c r="M16" s="292"/>
      <c r="N16" s="138">
        <f t="shared" ref="N16:S16" si="19">SUM(N12:N15)</f>
        <v>2293.3668399999997</v>
      </c>
      <c r="O16" s="138">
        <f t="shared" si="19"/>
        <v>2106.185864</v>
      </c>
      <c r="P16" s="138">
        <f t="shared" si="19"/>
        <v>2374.0970940000002</v>
      </c>
      <c r="Q16" s="138">
        <f t="shared" si="19"/>
        <v>2306.5938660000002</v>
      </c>
      <c r="R16" s="138">
        <f t="shared" si="19"/>
        <v>2323.7191330000001</v>
      </c>
      <c r="S16" s="138">
        <f t="shared" si="19"/>
        <v>2291.6222710000002</v>
      </c>
      <c r="T16" s="138">
        <f t="shared" ref="T16:AM16" si="20">SUM(T12:T15)</f>
        <v>2300.2238320000001</v>
      </c>
      <c r="U16" s="138">
        <f t="shared" si="20"/>
        <v>2267.4297449999999</v>
      </c>
      <c r="V16" s="138">
        <f t="shared" si="20"/>
        <v>2341.2211969999998</v>
      </c>
      <c r="W16" s="138">
        <f t="shared" si="20"/>
        <v>2451.4452719999999</v>
      </c>
      <c r="X16" s="138">
        <f t="shared" si="20"/>
        <v>2623.6743449999999</v>
      </c>
      <c r="Y16" s="293">
        <f t="shared" si="20"/>
        <v>3073.7721729999998</v>
      </c>
      <c r="Z16" s="138">
        <f t="shared" si="20"/>
        <v>3040.1752059999999</v>
      </c>
      <c r="AA16" s="138">
        <f t="shared" si="20"/>
        <v>2755.1014930000001</v>
      </c>
      <c r="AB16" s="138">
        <f t="shared" si="20"/>
        <v>3067.1805279999999</v>
      </c>
      <c r="AC16" s="138">
        <f t="shared" si="20"/>
        <v>2994.142883</v>
      </c>
      <c r="AD16" s="138">
        <f t="shared" si="20"/>
        <v>3101.6333329999998</v>
      </c>
      <c r="AE16" s="138">
        <f t="shared" si="20"/>
        <v>2836.5047839999997</v>
      </c>
      <c r="AF16" s="138">
        <f t="shared" si="20"/>
        <v>2832.150776</v>
      </c>
      <c r="AG16" s="138">
        <f t="shared" si="20"/>
        <v>2789.4281099999998</v>
      </c>
      <c r="AH16" s="138">
        <f t="shared" si="20"/>
        <v>2918.2179040000001</v>
      </c>
      <c r="AI16" s="138">
        <f t="shared" si="20"/>
        <v>3276.889142</v>
      </c>
      <c r="AJ16" s="138">
        <f t="shared" si="20"/>
        <v>3232.1516499999998</v>
      </c>
      <c r="AK16" s="293">
        <f t="shared" si="20"/>
        <v>3872.839387</v>
      </c>
      <c r="AL16" s="138">
        <f t="shared" si="20"/>
        <v>3718.346802</v>
      </c>
      <c r="AM16" s="138">
        <f t="shared" si="20"/>
        <v>3528.5740700000001</v>
      </c>
      <c r="AN16" s="138">
        <f t="shared" ref="AN16:BA16" si="21">SUM(AN12:AN15)</f>
        <v>4035.1887019999999</v>
      </c>
      <c r="AO16" s="138">
        <f t="shared" si="21"/>
        <v>3864.0564960000002</v>
      </c>
      <c r="AP16" s="138">
        <f t="shared" si="21"/>
        <v>3961.4043890000003</v>
      </c>
      <c r="AQ16" s="138">
        <f t="shared" si="21"/>
        <v>3895.4170650000001</v>
      </c>
      <c r="AR16" s="138">
        <f t="shared" si="21"/>
        <v>4320.3471170000003</v>
      </c>
      <c r="AS16" s="138">
        <f t="shared" si="21"/>
        <v>4591.1128049999998</v>
      </c>
      <c r="AT16" s="138">
        <f t="shared" si="21"/>
        <v>4825.5561710000002</v>
      </c>
      <c r="AU16" s="138">
        <f t="shared" si="21"/>
        <v>5098.971235</v>
      </c>
      <c r="AV16" s="138">
        <f t="shared" si="21"/>
        <v>5148</v>
      </c>
      <c r="AW16" s="577">
        <f t="shared" si="21"/>
        <v>5869.8489200000004</v>
      </c>
      <c r="AX16" s="138">
        <f t="shared" si="21"/>
        <v>6225.5950000000003</v>
      </c>
      <c r="AY16" s="138">
        <f t="shared" si="21"/>
        <v>5268.7836879999995</v>
      </c>
      <c r="AZ16" s="138">
        <f t="shared" si="21"/>
        <v>5622.6854290000001</v>
      </c>
      <c r="BA16" s="138">
        <f t="shared" si="21"/>
        <v>5379.4224469999999</v>
      </c>
      <c r="BB16" s="138">
        <f t="shared" ref="BB16:BL16" si="22">SUM(BB12:BB15)</f>
        <v>5485</v>
      </c>
      <c r="BC16" s="138">
        <f t="shared" si="22"/>
        <v>4992</v>
      </c>
      <c r="BD16" s="138">
        <f t="shared" si="22"/>
        <v>4643.3493319999998</v>
      </c>
      <c r="BE16" s="138">
        <f t="shared" si="22"/>
        <v>4397.8149659999999</v>
      </c>
      <c r="BF16" s="138">
        <f t="shared" si="22"/>
        <v>4795</v>
      </c>
      <c r="BG16" s="138">
        <f t="shared" si="22"/>
        <v>5012</v>
      </c>
      <c r="BH16" s="138">
        <f t="shared" si="22"/>
        <v>0</v>
      </c>
      <c r="BI16" s="293">
        <f t="shared" si="22"/>
        <v>0</v>
      </c>
      <c r="BJ16" s="138">
        <f t="shared" si="22"/>
        <v>0</v>
      </c>
      <c r="BK16" s="138">
        <f t="shared" si="22"/>
        <v>0</v>
      </c>
      <c r="BL16" s="138">
        <f t="shared" si="22"/>
        <v>0</v>
      </c>
      <c r="BM16" s="578"/>
      <c r="BN16" s="126"/>
      <c r="BO16" s="117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9"/>
      <c r="CG16" s="128" t="s">
        <v>299</v>
      </c>
      <c r="CH16" s="139">
        <f>CI16/CI$17</f>
        <v>1.6949152542372881E-2</v>
      </c>
      <c r="CI16" s="121">
        <v>0.1</v>
      </c>
      <c r="CJ16" s="121"/>
      <c r="CK16" s="122"/>
      <c r="CL16" s="122"/>
      <c r="CQ16" s="117"/>
      <c r="CR16" s="118"/>
      <c r="CS16" s="118"/>
      <c r="CT16" s="118"/>
      <c r="CU16" s="118"/>
      <c r="CV16" s="118"/>
      <c r="CW16" s="119"/>
      <c r="CY16" s="99" t="s">
        <v>298</v>
      </c>
      <c r="CZ16" s="260">
        <v>5.6000000000000001E-2</v>
      </c>
      <c r="DA16" s="260"/>
      <c r="DB16" s="260"/>
      <c r="DC16" s="260">
        <v>1.2999999999999999E-2</v>
      </c>
      <c r="DJ16" s="128" t="s">
        <v>299</v>
      </c>
      <c r="DK16" s="139">
        <f>1-SUM(DK9:DK15)</f>
        <v>0</v>
      </c>
      <c r="DL16" s="140">
        <f t="shared" si="11"/>
        <v>0</v>
      </c>
      <c r="DM16" s="121"/>
      <c r="DN16" s="121"/>
      <c r="DO16" s="122"/>
      <c r="DQ16" s="150" t="s">
        <v>204</v>
      </c>
      <c r="DR16" s="151">
        <f t="shared" si="12"/>
        <v>1.4629049111807731E-2</v>
      </c>
      <c r="DS16" s="152">
        <v>4.2</v>
      </c>
      <c r="DT16" s="153">
        <v>0.4</v>
      </c>
      <c r="DU16" s="154"/>
      <c r="DV16" s="154"/>
      <c r="DW16" s="155"/>
      <c r="DY16" s="386">
        <v>888</v>
      </c>
      <c r="DZ16" s="384">
        <v>3.4000000000000002E-2</v>
      </c>
      <c r="EA16" s="378"/>
      <c r="EB16" s="385"/>
      <c r="EQ16" s="516" t="s">
        <v>174</v>
      </c>
      <c r="ER16" s="361">
        <f>EE127*AT$171</f>
        <v>1.4082955254942768</v>
      </c>
      <c r="ES16" s="506">
        <f>ET41+ET46+ET47+ET48</f>
        <v>4.3136374999999996</v>
      </c>
      <c r="ET16" s="506">
        <f>DZ18*AT$176</f>
        <v>0.74510688000000003</v>
      </c>
      <c r="EU16" s="511">
        <v>0</v>
      </c>
      <c r="EV16" s="506">
        <f>SUM(ER16:EU16)</f>
        <v>6.4670399054942767</v>
      </c>
      <c r="EW16" s="518">
        <f t="shared" si="0"/>
        <v>9.0814719427595225E-2</v>
      </c>
    </row>
    <row r="17" spans="1:153" ht="16" thickBot="1">
      <c r="A17" s="5"/>
      <c r="H17" s="126"/>
      <c r="I17" s="126"/>
      <c r="J17" s="126"/>
      <c r="K17" s="126"/>
      <c r="L17" s="126"/>
      <c r="M17" s="127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7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7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57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  <c r="BI17" s="127"/>
      <c r="BJ17" s="126"/>
      <c r="BK17" s="126"/>
      <c r="BL17" s="126"/>
      <c r="BM17" s="578"/>
      <c r="BN17" s="126"/>
      <c r="BO17" s="117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9"/>
      <c r="CG17" s="132"/>
      <c r="CH17" s="156"/>
      <c r="CI17" s="156">
        <v>5.9</v>
      </c>
      <c r="CJ17" s="121"/>
      <c r="CK17" s="122"/>
      <c r="CL17" s="122"/>
      <c r="CQ17" s="117"/>
      <c r="CR17" s="118"/>
      <c r="CS17" s="118"/>
      <c r="CT17" s="118"/>
      <c r="CU17" s="118"/>
      <c r="CV17" s="118"/>
      <c r="CW17" s="119"/>
      <c r="CY17" s="99" t="s">
        <v>299</v>
      </c>
      <c r="CZ17" s="260">
        <v>6.5000000000000002E-2</v>
      </c>
      <c r="DA17" s="260"/>
      <c r="DB17" s="260"/>
      <c r="DC17" s="260">
        <v>1.4999999999999999E-2</v>
      </c>
      <c r="DJ17" s="128"/>
      <c r="DK17" s="139"/>
      <c r="DL17" s="140"/>
      <c r="DM17" s="121"/>
      <c r="DN17" s="121"/>
      <c r="DO17" s="122"/>
      <c r="DQ17" s="131" t="s">
        <v>358</v>
      </c>
      <c r="DR17" s="141">
        <f t="shared" si="12"/>
        <v>0.11842563566701497</v>
      </c>
      <c r="DS17" s="142">
        <v>34</v>
      </c>
      <c r="DT17" s="143">
        <v>2.7E-2</v>
      </c>
      <c r="DU17" s="124"/>
      <c r="DV17" s="124"/>
      <c r="DW17" s="125"/>
      <c r="DY17" s="380" t="s">
        <v>200</v>
      </c>
      <c r="DZ17" s="384">
        <v>4.0000000000000001E-3</v>
      </c>
      <c r="EA17" s="378"/>
      <c r="EB17" s="385"/>
      <c r="EQ17" s="517"/>
      <c r="ER17" s="505">
        <f t="shared" ref="ER17:EW17" si="23">SUM(ER5:ER16)</f>
        <v>15.556000000000003</v>
      </c>
      <c r="ES17" s="505">
        <f t="shared" si="23"/>
        <v>43.445520500000001</v>
      </c>
      <c r="ET17" s="505">
        <f t="shared" si="23"/>
        <v>8.8703199999999995</v>
      </c>
      <c r="EU17" s="512">
        <f t="shared" si="23"/>
        <v>3.3395220000000001</v>
      </c>
      <c r="EV17" s="505">
        <f t="shared" si="23"/>
        <v>71.211362500000007</v>
      </c>
      <c r="EW17" s="507">
        <f t="shared" si="23"/>
        <v>1</v>
      </c>
    </row>
    <row r="18" spans="1:153">
      <c r="A18" s="5" t="s">
        <v>284</v>
      </c>
      <c r="H18" s="126"/>
      <c r="I18" s="126"/>
      <c r="J18" s="126"/>
      <c r="K18" s="126"/>
      <c r="L18" s="126"/>
      <c r="M18" s="127"/>
      <c r="N18" s="126">
        <v>521.46</v>
      </c>
      <c r="O18" s="126">
        <v>448</v>
      </c>
      <c r="P18" s="126">
        <v>464</v>
      </c>
      <c r="Q18" s="126">
        <v>449</v>
      </c>
      <c r="R18" s="126">
        <v>479</v>
      </c>
      <c r="S18" s="126">
        <v>492</v>
      </c>
      <c r="T18" s="126">
        <v>494</v>
      </c>
      <c r="U18" s="126">
        <v>446</v>
      </c>
      <c r="V18" s="126">
        <v>440</v>
      </c>
      <c r="W18" s="126">
        <v>453</v>
      </c>
      <c r="X18" s="126">
        <v>441</v>
      </c>
      <c r="Y18" s="127">
        <v>536</v>
      </c>
      <c r="Z18" s="126">
        <v>424</v>
      </c>
      <c r="AA18" s="126">
        <v>377</v>
      </c>
      <c r="AB18" s="126">
        <v>401</v>
      </c>
      <c r="AC18" s="126">
        <v>403</v>
      </c>
      <c r="AD18" s="126">
        <v>396</v>
      </c>
      <c r="AE18" s="126">
        <v>400</v>
      </c>
      <c r="AF18" s="126">
        <v>445</v>
      </c>
      <c r="AG18" s="126">
        <v>394</v>
      </c>
      <c r="AH18" s="126">
        <v>433</v>
      </c>
      <c r="AI18" s="126">
        <v>496</v>
      </c>
      <c r="AJ18" s="126">
        <v>553</v>
      </c>
      <c r="AK18" s="127">
        <v>509</v>
      </c>
      <c r="AL18" s="126">
        <v>530</v>
      </c>
      <c r="AM18" s="126">
        <v>561</v>
      </c>
      <c r="AN18" s="126">
        <v>660</v>
      </c>
      <c r="AO18" s="126">
        <v>528</v>
      </c>
      <c r="AP18" s="126">
        <v>542</v>
      </c>
      <c r="AQ18" s="126">
        <v>540</v>
      </c>
      <c r="AR18" s="126">
        <v>556</v>
      </c>
      <c r="AS18" s="126">
        <v>561</v>
      </c>
      <c r="AT18" s="126">
        <v>635</v>
      </c>
      <c r="AU18" s="126">
        <v>589</v>
      </c>
      <c r="AV18" s="126">
        <v>526</v>
      </c>
      <c r="AW18" s="576">
        <v>582</v>
      </c>
      <c r="AX18" s="126">
        <v>534</v>
      </c>
      <c r="AY18" s="126">
        <v>478</v>
      </c>
      <c r="AZ18" s="126">
        <f>1574-AY18-AX18</f>
        <v>562</v>
      </c>
      <c r="BA18" s="126">
        <v>482</v>
      </c>
      <c r="BB18" s="126">
        <v>566</v>
      </c>
      <c r="BC18" s="126">
        <v>505</v>
      </c>
      <c r="BD18" s="126">
        <v>491</v>
      </c>
      <c r="BE18" s="126">
        <v>465</v>
      </c>
      <c r="BF18" s="126">
        <v>511</v>
      </c>
      <c r="BG18" s="126">
        <v>538</v>
      </c>
      <c r="BH18" s="126"/>
      <c r="BI18" s="127"/>
      <c r="BJ18" s="126"/>
      <c r="BK18" s="126"/>
      <c r="BL18" s="126"/>
      <c r="BM18" s="578"/>
      <c r="BN18" s="578"/>
      <c r="BO18" s="117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9"/>
      <c r="CG18" s="128"/>
      <c r="CH18" s="139"/>
      <c r="CI18" s="121"/>
      <c r="CJ18" s="121"/>
      <c r="CK18" s="122"/>
      <c r="CL18" s="122"/>
      <c r="CQ18" s="117"/>
      <c r="CR18" s="118"/>
      <c r="CS18" s="118"/>
      <c r="CT18" s="118"/>
      <c r="CU18" s="118"/>
      <c r="CV18" s="118"/>
      <c r="CW18" s="119"/>
      <c r="CY18" s="157"/>
      <c r="CZ18" s="158">
        <f>SUM(CZ9:CZ17)</f>
        <v>1.0010000000000001</v>
      </c>
      <c r="DA18" s="158">
        <f>SUM(DA9:DA17)</f>
        <v>1</v>
      </c>
      <c r="DB18" s="158">
        <f>SUM(DB9:DB17)</f>
        <v>1</v>
      </c>
      <c r="DC18" s="158">
        <f>SUM(DC9:DC17)</f>
        <v>1</v>
      </c>
      <c r="DJ18" s="132"/>
      <c r="DK18" s="416">
        <f>DK15+DK12+DK10</f>
        <v>0.53400000000000003</v>
      </c>
      <c r="DL18" s="159">
        <f>AH54</f>
        <v>14.713875</v>
      </c>
      <c r="DM18" s="121"/>
      <c r="DN18" s="121"/>
      <c r="DO18" s="122"/>
      <c r="DQ18" s="131" t="s">
        <v>212</v>
      </c>
      <c r="DR18" s="141">
        <f t="shared" si="12"/>
        <v>3.5179380006966209E-2</v>
      </c>
      <c r="DS18" s="142">
        <v>10.1</v>
      </c>
      <c r="DT18" s="143">
        <v>-0.129</v>
      </c>
      <c r="DU18" s="124"/>
      <c r="DV18" s="124"/>
      <c r="DW18" s="125"/>
      <c r="DY18" s="380" t="s">
        <v>174</v>
      </c>
      <c r="DZ18" s="384">
        <v>8.4000000000000005E-2</v>
      </c>
      <c r="EA18" s="378"/>
      <c r="EB18" s="385"/>
    </row>
    <row r="19" spans="1:153">
      <c r="A19" s="5" t="s">
        <v>444</v>
      </c>
      <c r="H19" s="126"/>
      <c r="I19" s="126"/>
      <c r="J19" s="126"/>
      <c r="K19" s="126"/>
      <c r="L19" s="126"/>
      <c r="M19" s="127"/>
      <c r="N19" s="126">
        <v>231.21</v>
      </c>
      <c r="O19" s="126">
        <v>195</v>
      </c>
      <c r="P19" s="126">
        <v>202</v>
      </c>
      <c r="Q19" s="126">
        <v>196</v>
      </c>
      <c r="R19" s="126">
        <v>206</v>
      </c>
      <c r="S19" s="126">
        <v>233</v>
      </c>
      <c r="T19" s="126">
        <v>441</v>
      </c>
      <c r="U19" s="126">
        <v>653</v>
      </c>
      <c r="V19" s="126">
        <v>314</v>
      </c>
      <c r="W19" s="126">
        <v>460</v>
      </c>
      <c r="X19" s="126">
        <v>310</v>
      </c>
      <c r="Y19" s="127">
        <v>335</v>
      </c>
      <c r="Z19" s="126">
        <v>366</v>
      </c>
      <c r="AA19" s="126">
        <v>295</v>
      </c>
      <c r="AB19" s="126">
        <v>262</v>
      </c>
      <c r="AC19" s="126">
        <v>240</v>
      </c>
      <c r="AD19" s="126">
        <v>228</v>
      </c>
      <c r="AE19" s="126">
        <v>222</v>
      </c>
      <c r="AF19" s="126">
        <v>251</v>
      </c>
      <c r="AG19" s="126">
        <v>306</v>
      </c>
      <c r="AH19" s="126">
        <v>388</v>
      </c>
      <c r="AI19" s="126">
        <v>442</v>
      </c>
      <c r="AJ19" s="126">
        <v>278</v>
      </c>
      <c r="AK19" s="127">
        <v>245</v>
      </c>
      <c r="AL19" s="126">
        <v>218</v>
      </c>
      <c r="AM19" s="126">
        <v>197</v>
      </c>
      <c r="AN19" s="126">
        <v>220</v>
      </c>
      <c r="AO19" s="126">
        <v>245</v>
      </c>
      <c r="AP19" s="126">
        <v>187</v>
      </c>
      <c r="AQ19" s="126">
        <v>201</v>
      </c>
      <c r="AR19" s="126">
        <v>204</v>
      </c>
      <c r="AS19" s="126">
        <v>185</v>
      </c>
      <c r="AT19" s="126">
        <v>179</v>
      </c>
      <c r="AU19" s="126">
        <v>182</v>
      </c>
      <c r="AV19" s="126">
        <v>187</v>
      </c>
      <c r="AW19" s="576">
        <v>191</v>
      </c>
      <c r="AX19" s="126">
        <v>178</v>
      </c>
      <c r="AY19" s="126">
        <v>176</v>
      </c>
      <c r="AZ19" s="126">
        <f>543-AY19-AX19</f>
        <v>189</v>
      </c>
      <c r="BA19" s="126">
        <v>154</v>
      </c>
      <c r="BB19" s="126">
        <v>160</v>
      </c>
      <c r="BC19" s="126">
        <v>140</v>
      </c>
      <c r="BD19" s="126">
        <v>131</v>
      </c>
      <c r="BE19" s="126">
        <v>121</v>
      </c>
      <c r="BF19" s="126">
        <v>129</v>
      </c>
      <c r="BG19" s="126">
        <v>131</v>
      </c>
      <c r="BH19" s="126"/>
      <c r="BI19" s="127"/>
      <c r="BJ19" s="126"/>
      <c r="BK19" s="126"/>
      <c r="BL19" s="126"/>
      <c r="BM19" s="578"/>
      <c r="BN19" s="578"/>
      <c r="BO19" s="117"/>
      <c r="BP19" s="118"/>
      <c r="BQ19" s="118"/>
      <c r="BR19" s="118"/>
      <c r="BS19" s="118"/>
      <c r="BT19" s="118"/>
      <c r="BU19" s="118"/>
      <c r="BV19" s="118"/>
      <c r="BW19" s="118"/>
      <c r="BX19" s="118"/>
      <c r="BY19" s="118"/>
      <c r="BZ19" s="118"/>
      <c r="CA19" s="118"/>
      <c r="CB19" s="118"/>
      <c r="CC19" s="118"/>
      <c r="CD19" s="118"/>
      <c r="CE19" s="119"/>
      <c r="CG19" s="132"/>
      <c r="CH19" s="133" t="s">
        <v>145</v>
      </c>
      <c r="CI19" s="133" t="s">
        <v>263</v>
      </c>
      <c r="CJ19" s="121"/>
      <c r="CK19" s="122"/>
      <c r="CL19" s="122"/>
      <c r="CQ19" s="117"/>
      <c r="CR19" s="118"/>
      <c r="CS19" s="118"/>
      <c r="CT19" s="118"/>
      <c r="CU19" s="118"/>
      <c r="CV19" s="118"/>
      <c r="CW19" s="119"/>
      <c r="DJ19" s="128"/>
      <c r="DK19" s="121"/>
      <c r="DL19" s="121"/>
      <c r="DM19" s="121"/>
      <c r="DN19" s="121"/>
      <c r="DO19" s="122"/>
      <c r="DQ19" s="131" t="s">
        <v>81</v>
      </c>
      <c r="DR19" s="141">
        <f t="shared" si="12"/>
        <v>1.8808777429467086E-2</v>
      </c>
      <c r="DS19" s="142">
        <v>5.4</v>
      </c>
      <c r="DT19" s="143">
        <v>0.17399999999999999</v>
      </c>
      <c r="DU19" s="124"/>
      <c r="DV19" s="124"/>
      <c r="DW19" s="125"/>
      <c r="DY19" s="381" t="s">
        <v>266</v>
      </c>
      <c r="DZ19" s="382">
        <v>275</v>
      </c>
      <c r="EA19" s="382" t="s">
        <v>266</v>
      </c>
      <c r="EB19" s="383">
        <v>18</v>
      </c>
    </row>
    <row r="20" spans="1:153" ht="16" thickBot="1">
      <c r="A20" s="5" t="s">
        <v>445</v>
      </c>
      <c r="H20" s="126"/>
      <c r="I20" s="126"/>
      <c r="J20" s="126"/>
      <c r="K20" s="126"/>
      <c r="L20" s="126"/>
      <c r="M20" s="127"/>
      <c r="N20" s="126">
        <v>925.32</v>
      </c>
      <c r="O20" s="126">
        <v>786</v>
      </c>
      <c r="P20" s="126">
        <v>888</v>
      </c>
      <c r="Q20" s="126">
        <v>889</v>
      </c>
      <c r="R20" s="126">
        <v>741</v>
      </c>
      <c r="S20" s="126">
        <v>736</v>
      </c>
      <c r="T20" s="126">
        <v>743</v>
      </c>
      <c r="U20" s="126">
        <v>630</v>
      </c>
      <c r="V20" s="126">
        <v>750</v>
      </c>
      <c r="W20" s="126">
        <v>745</v>
      </c>
      <c r="X20" s="126">
        <v>681</v>
      </c>
      <c r="Y20" s="127">
        <v>921</v>
      </c>
      <c r="Z20" s="126">
        <v>777</v>
      </c>
      <c r="AA20" s="126">
        <v>804</v>
      </c>
      <c r="AB20" s="126">
        <v>909</v>
      </c>
      <c r="AC20" s="126">
        <v>821</v>
      </c>
      <c r="AD20" s="126">
        <v>760</v>
      </c>
      <c r="AE20" s="126">
        <v>765</v>
      </c>
      <c r="AF20" s="126">
        <v>670</v>
      </c>
      <c r="AG20" s="126">
        <v>682</v>
      </c>
      <c r="AH20" s="126">
        <v>790</v>
      </c>
      <c r="AI20" s="126">
        <v>795</v>
      </c>
      <c r="AJ20" s="126">
        <v>719</v>
      </c>
      <c r="AK20" s="127">
        <v>855</v>
      </c>
      <c r="AL20" s="126">
        <v>840</v>
      </c>
      <c r="AM20" s="126">
        <v>881</v>
      </c>
      <c r="AN20" s="126">
        <v>1012</v>
      </c>
      <c r="AO20" s="126">
        <v>861</v>
      </c>
      <c r="AP20" s="126">
        <v>901</v>
      </c>
      <c r="AQ20" s="126">
        <v>876</v>
      </c>
      <c r="AR20" s="126">
        <v>753</v>
      </c>
      <c r="AS20" s="126">
        <v>811</v>
      </c>
      <c r="AT20" s="126">
        <v>829</v>
      </c>
      <c r="AU20" s="126">
        <v>774</v>
      </c>
      <c r="AV20" s="126">
        <v>842</v>
      </c>
      <c r="AW20" s="576">
        <v>771</v>
      </c>
      <c r="AX20" s="126">
        <v>987</v>
      </c>
      <c r="AY20" s="126">
        <v>771</v>
      </c>
      <c r="AZ20" s="126">
        <f>2620-AY20-AX20</f>
        <v>862</v>
      </c>
      <c r="BA20" s="126">
        <v>773</v>
      </c>
      <c r="BB20" s="126">
        <v>860</v>
      </c>
      <c r="BC20" s="126">
        <v>801</v>
      </c>
      <c r="BD20" s="126">
        <v>696</v>
      </c>
      <c r="BE20" s="126">
        <v>737</v>
      </c>
      <c r="BF20" s="126">
        <v>811</v>
      </c>
      <c r="BG20" s="126">
        <v>870</v>
      </c>
      <c r="BH20" s="126"/>
      <c r="BI20" s="127"/>
      <c r="BJ20" s="126"/>
      <c r="BK20" s="126"/>
      <c r="BL20" s="126"/>
      <c r="BM20" s="578"/>
      <c r="BN20" s="578"/>
      <c r="BO20" s="117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9"/>
      <c r="CG20" s="128" t="s">
        <v>360</v>
      </c>
      <c r="CH20" s="139">
        <f t="shared" ref="CH20:CH29" si="24">CI20/CI$30</f>
        <v>0.29575924269880866</v>
      </c>
      <c r="CI20" s="160">
        <f>DA59+DA42+DF27</f>
        <v>247.69924361109739</v>
      </c>
      <c r="CJ20" s="121" t="s">
        <v>71</v>
      </c>
      <c r="CK20" s="122"/>
      <c r="CL20" s="122"/>
      <c r="CQ20" s="117"/>
      <c r="CR20" s="118"/>
      <c r="CS20" s="118"/>
      <c r="CT20" s="118"/>
      <c r="CU20" s="118"/>
      <c r="CV20" s="118"/>
      <c r="CW20" s="119"/>
      <c r="DJ20" s="132"/>
      <c r="DK20" s="133" t="s">
        <v>245</v>
      </c>
      <c r="DL20" s="133" t="s">
        <v>263</v>
      </c>
      <c r="DM20" s="121"/>
      <c r="DN20" s="121"/>
      <c r="DO20" s="122"/>
      <c r="DQ20" s="131" t="s">
        <v>213</v>
      </c>
      <c r="DR20" s="141">
        <f t="shared" si="12"/>
        <v>8.7077673284569838E-3</v>
      </c>
      <c r="DS20" s="142">
        <v>2.5</v>
      </c>
      <c r="DT20" s="143" t="s">
        <v>217</v>
      </c>
      <c r="DU20" s="124"/>
      <c r="DV20" s="124"/>
      <c r="DW20" s="125"/>
      <c r="DY20" s="387"/>
      <c r="DZ20" s="388"/>
      <c r="EA20" s="388"/>
      <c r="EB20" s="389"/>
    </row>
    <row r="21" spans="1:153">
      <c r="A21" s="136" t="s">
        <v>269</v>
      </c>
      <c r="B21" s="129"/>
      <c r="C21" s="129"/>
      <c r="D21" s="129"/>
      <c r="E21" s="129"/>
      <c r="F21" s="129"/>
      <c r="G21" s="129"/>
      <c r="H21" s="137"/>
      <c r="I21" s="137"/>
      <c r="J21" s="137"/>
      <c r="K21" s="137"/>
      <c r="L21" s="137"/>
      <c r="M21" s="292"/>
      <c r="N21" s="138">
        <f t="shared" ref="N21:S21" si="25">SUM(N18:N20)</f>
        <v>1677.9900000000002</v>
      </c>
      <c r="O21" s="138">
        <f t="shared" si="25"/>
        <v>1429</v>
      </c>
      <c r="P21" s="138">
        <f t="shared" si="25"/>
        <v>1554</v>
      </c>
      <c r="Q21" s="138">
        <f t="shared" si="25"/>
        <v>1534</v>
      </c>
      <c r="R21" s="138">
        <f t="shared" si="25"/>
        <v>1426</v>
      </c>
      <c r="S21" s="138">
        <f t="shared" si="25"/>
        <v>1461</v>
      </c>
      <c r="T21" s="138">
        <f t="shared" ref="T21:Y21" si="26">SUM(T18:T20)</f>
        <v>1678</v>
      </c>
      <c r="U21" s="138">
        <f t="shared" si="26"/>
        <v>1729</v>
      </c>
      <c r="V21" s="138">
        <f t="shared" si="26"/>
        <v>1504</v>
      </c>
      <c r="W21" s="138">
        <f t="shared" si="26"/>
        <v>1658</v>
      </c>
      <c r="X21" s="138">
        <f t="shared" si="26"/>
        <v>1432</v>
      </c>
      <c r="Y21" s="293">
        <f t="shared" si="26"/>
        <v>1792</v>
      </c>
      <c r="Z21" s="138">
        <f t="shared" ref="Z21:AE21" si="27">SUM(Z18:Z20)</f>
        <v>1567</v>
      </c>
      <c r="AA21" s="138">
        <f t="shared" si="27"/>
        <v>1476</v>
      </c>
      <c r="AB21" s="138">
        <f t="shared" si="27"/>
        <v>1572</v>
      </c>
      <c r="AC21" s="138">
        <f t="shared" si="27"/>
        <v>1464</v>
      </c>
      <c r="AD21" s="138">
        <f t="shared" si="27"/>
        <v>1384</v>
      </c>
      <c r="AE21" s="138">
        <f t="shared" si="27"/>
        <v>1387</v>
      </c>
      <c r="AF21" s="138">
        <f t="shared" ref="AF21:AS21" si="28">SUM(AF18:AF20)</f>
        <v>1366</v>
      </c>
      <c r="AG21" s="138">
        <f t="shared" si="28"/>
        <v>1382</v>
      </c>
      <c r="AH21" s="138">
        <f t="shared" si="28"/>
        <v>1611</v>
      </c>
      <c r="AI21" s="138">
        <f t="shared" si="28"/>
        <v>1733</v>
      </c>
      <c r="AJ21" s="138">
        <f t="shared" si="28"/>
        <v>1550</v>
      </c>
      <c r="AK21" s="293">
        <f t="shared" si="28"/>
        <v>1609</v>
      </c>
      <c r="AL21" s="138">
        <f t="shared" si="28"/>
        <v>1588</v>
      </c>
      <c r="AM21" s="138">
        <f t="shared" si="28"/>
        <v>1639</v>
      </c>
      <c r="AN21" s="138">
        <f t="shared" si="28"/>
        <v>1892</v>
      </c>
      <c r="AO21" s="138">
        <f t="shared" si="28"/>
        <v>1634</v>
      </c>
      <c r="AP21" s="138">
        <f t="shared" si="28"/>
        <v>1630</v>
      </c>
      <c r="AQ21" s="138">
        <f t="shared" si="28"/>
        <v>1617</v>
      </c>
      <c r="AR21" s="138">
        <f t="shared" si="28"/>
        <v>1513</v>
      </c>
      <c r="AS21" s="138">
        <f t="shared" si="28"/>
        <v>1557</v>
      </c>
      <c r="AT21" s="138">
        <f>SUM(AT18:AT20)</f>
        <v>1643</v>
      </c>
      <c r="AU21" s="138">
        <f>SUM(AU18:AU20)</f>
        <v>1545</v>
      </c>
      <c r="AV21" s="138">
        <f t="shared" ref="AV21:AW21" si="29">SUM(AV18:AV20)</f>
        <v>1555</v>
      </c>
      <c r="AW21" s="293">
        <f t="shared" si="29"/>
        <v>1544</v>
      </c>
      <c r="AX21" s="138">
        <f t="shared" ref="AX21:AZ21" si="30">SUM(AX18:AX20)</f>
        <v>1699</v>
      </c>
      <c r="AY21" s="138">
        <f t="shared" si="30"/>
        <v>1425</v>
      </c>
      <c r="AZ21" s="138">
        <f t="shared" si="30"/>
        <v>1613</v>
      </c>
      <c r="BA21" s="138">
        <f t="shared" ref="BA21:BB21" si="31">SUM(BA18:BA20)</f>
        <v>1409</v>
      </c>
      <c r="BB21" s="138">
        <f t="shared" si="31"/>
        <v>1586</v>
      </c>
      <c r="BC21" s="138">
        <f t="shared" ref="BC21:BE21" si="32">SUM(BC18:BC20)</f>
        <v>1446</v>
      </c>
      <c r="BD21" s="138">
        <f t="shared" si="32"/>
        <v>1318</v>
      </c>
      <c r="BE21" s="138">
        <f t="shared" si="32"/>
        <v>1323</v>
      </c>
      <c r="BF21" s="138">
        <f t="shared" ref="BF21:BG21" si="33">SUM(BF18:BF20)</f>
        <v>1451</v>
      </c>
      <c r="BG21" s="138">
        <f t="shared" si="33"/>
        <v>1539</v>
      </c>
      <c r="BH21" s="138">
        <f t="shared" ref="BH21:BL21" si="34">SUM(BH18:BH20)</f>
        <v>0</v>
      </c>
      <c r="BI21" s="293">
        <f t="shared" si="34"/>
        <v>0</v>
      </c>
      <c r="BJ21" s="138">
        <f t="shared" si="34"/>
        <v>0</v>
      </c>
      <c r="BK21" s="138">
        <f t="shared" si="34"/>
        <v>0</v>
      </c>
      <c r="BL21" s="138">
        <f t="shared" si="34"/>
        <v>0</v>
      </c>
      <c r="BN21" s="126"/>
      <c r="BO21" s="117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/>
      <c r="BZ21" s="118"/>
      <c r="CA21" s="118"/>
      <c r="CB21" s="118"/>
      <c r="CC21" s="118"/>
      <c r="CD21" s="118"/>
      <c r="CE21" s="119"/>
      <c r="CG21" s="128" t="s">
        <v>304</v>
      </c>
      <c r="CH21" s="139">
        <f t="shared" si="24"/>
        <v>0.17754547718640193</v>
      </c>
      <c r="CI21" s="160">
        <f>DA60+DA43+DF28</f>
        <v>148.69486412104698</v>
      </c>
      <c r="CJ21" s="121"/>
      <c r="CK21" s="122"/>
      <c r="CL21" s="122"/>
      <c r="CQ21" s="117"/>
      <c r="CR21" s="118"/>
      <c r="CS21" s="118"/>
      <c r="CT21" s="118"/>
      <c r="CU21" s="118"/>
      <c r="CV21" s="118"/>
      <c r="CW21" s="119"/>
      <c r="CY21" s="111" t="s">
        <v>356</v>
      </c>
      <c r="DJ21" s="128" t="s">
        <v>360</v>
      </c>
      <c r="DK21" s="139">
        <v>0.28299999999999997</v>
      </c>
      <c r="DL21" s="160">
        <f t="shared" ref="DL21:DL30" si="35">DK21*DL$31</f>
        <v>74.69269345699999</v>
      </c>
      <c r="DM21" s="121" t="s">
        <v>71</v>
      </c>
      <c r="DN21" s="121"/>
      <c r="DO21" s="122"/>
      <c r="DQ21" s="131" t="s">
        <v>214</v>
      </c>
      <c r="DR21" s="141">
        <f t="shared" si="12"/>
        <v>3.8314176245210726E-3</v>
      </c>
      <c r="DS21" s="142">
        <v>1.1000000000000001</v>
      </c>
      <c r="DT21" s="143">
        <v>1.75</v>
      </c>
      <c r="DU21" s="124"/>
      <c r="DV21" s="124"/>
      <c r="DW21" s="125"/>
    </row>
    <row r="22" spans="1:153" ht="16" thickBot="1">
      <c r="A22" s="5"/>
      <c r="H22" s="126"/>
      <c r="I22" s="126"/>
      <c r="J22" s="126"/>
      <c r="K22" s="126"/>
      <c r="L22" s="126"/>
      <c r="M22" s="127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7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7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7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7"/>
      <c r="BJ22" s="126"/>
      <c r="BK22" s="126"/>
      <c r="BL22" s="126"/>
      <c r="BN22" s="126"/>
      <c r="BO22" s="117"/>
      <c r="BP22" s="118"/>
      <c r="BQ22" s="118"/>
      <c r="BR22" s="118"/>
      <c r="BS22" s="118"/>
      <c r="BT22" s="118"/>
      <c r="BU22" s="118"/>
      <c r="BV22" s="118"/>
      <c r="BW22" s="118"/>
      <c r="BX22" s="118"/>
      <c r="BY22" s="118"/>
      <c r="BZ22" s="118"/>
      <c r="CA22" s="118"/>
      <c r="CB22" s="118"/>
      <c r="CC22" s="118"/>
      <c r="CD22" s="118"/>
      <c r="CE22" s="119"/>
      <c r="CG22" s="128" t="s">
        <v>132</v>
      </c>
      <c r="CH22" s="139">
        <f t="shared" si="24"/>
        <v>0.17015728940494984</v>
      </c>
      <c r="CI22" s="160">
        <f>DA61+DA44+DF29</f>
        <v>142.50723492500492</v>
      </c>
      <c r="CJ22" s="121"/>
      <c r="CK22" s="122"/>
      <c r="CL22" s="122"/>
      <c r="CQ22" s="117"/>
      <c r="CR22" s="118"/>
      <c r="CS22" s="118"/>
      <c r="CT22" s="118"/>
      <c r="CU22" s="118"/>
      <c r="CV22" s="118"/>
      <c r="CW22" s="119"/>
      <c r="DJ22" s="128" t="s">
        <v>304</v>
      </c>
      <c r="DK22" s="139">
        <v>0.217</v>
      </c>
      <c r="DL22" s="160">
        <f t="shared" si="35"/>
        <v>57.273196042999999</v>
      </c>
      <c r="DM22" s="121"/>
      <c r="DN22" s="121"/>
      <c r="DO22" s="122"/>
      <c r="DQ22" s="131" t="s">
        <v>215</v>
      </c>
      <c r="DR22" s="141">
        <f t="shared" si="12"/>
        <v>3.4831069313827931E-3</v>
      </c>
      <c r="DS22" s="142">
        <v>1</v>
      </c>
      <c r="DT22" s="143">
        <v>0.66700000000000004</v>
      </c>
      <c r="DU22" s="124"/>
      <c r="DV22" s="124"/>
      <c r="DW22" s="125"/>
    </row>
    <row r="23" spans="1:153" ht="16" thickBot="1">
      <c r="A23" s="161" t="s">
        <v>285</v>
      </c>
      <c r="B23" s="162"/>
      <c r="C23" s="162"/>
      <c r="D23" s="162"/>
      <c r="E23" s="162"/>
      <c r="F23" s="162"/>
      <c r="G23" s="162"/>
      <c r="H23" s="163"/>
      <c r="I23" s="163"/>
      <c r="J23" s="163"/>
      <c r="K23" s="163"/>
      <c r="L23" s="163"/>
      <c r="M23" s="261"/>
      <c r="N23" s="164">
        <f t="shared" ref="N23:S23" si="36">N21+N16+N10</f>
        <v>4522.9568399999998</v>
      </c>
      <c r="O23" s="164">
        <f t="shared" si="36"/>
        <v>4106.185864</v>
      </c>
      <c r="P23" s="164">
        <f t="shared" si="36"/>
        <v>4533.0970940000007</v>
      </c>
      <c r="Q23" s="164">
        <f t="shared" si="36"/>
        <v>4441.5938660000002</v>
      </c>
      <c r="R23" s="164">
        <f t="shared" si="36"/>
        <v>4341.7191330000005</v>
      </c>
      <c r="S23" s="164">
        <f t="shared" si="36"/>
        <v>4113.6222710000002</v>
      </c>
      <c r="T23" s="164">
        <f t="shared" ref="T23:Y23" si="37">T10+T16+T21</f>
        <v>4274.2238319999997</v>
      </c>
      <c r="U23" s="164">
        <f t="shared" si="37"/>
        <v>4397.4297449999995</v>
      </c>
      <c r="V23" s="164">
        <f t="shared" si="37"/>
        <v>4401.2211969999998</v>
      </c>
      <c r="W23" s="164">
        <f t="shared" si="37"/>
        <v>4672.4452719999999</v>
      </c>
      <c r="X23" s="164">
        <f t="shared" si="37"/>
        <v>4603.6743449999994</v>
      </c>
      <c r="Y23" s="262">
        <f t="shared" si="37"/>
        <v>5365.7721729999994</v>
      </c>
      <c r="Z23" s="164">
        <f t="shared" ref="Z23:AE23" si="38">Z10+Z16+Z21</f>
        <v>5230.1752059999999</v>
      </c>
      <c r="AA23" s="164">
        <f t="shared" si="38"/>
        <v>4810.1014930000001</v>
      </c>
      <c r="AB23" s="164">
        <f t="shared" si="38"/>
        <v>5255.1805279999999</v>
      </c>
      <c r="AC23" s="164">
        <f t="shared" si="38"/>
        <v>5049.1428830000004</v>
      </c>
      <c r="AD23" s="164">
        <f t="shared" si="38"/>
        <v>4973.6333329999998</v>
      </c>
      <c r="AE23" s="164">
        <f t="shared" si="38"/>
        <v>4710.5047839999997</v>
      </c>
      <c r="AF23" s="164">
        <f t="shared" ref="AF23:AS23" si="39">AF10+AF16+AF21</f>
        <v>4548.1507760000004</v>
      </c>
      <c r="AG23" s="164">
        <f t="shared" si="39"/>
        <v>4513.1064589999996</v>
      </c>
      <c r="AH23" s="164">
        <f t="shared" si="39"/>
        <v>5007.2179040000001</v>
      </c>
      <c r="AI23" s="164">
        <f t="shared" si="39"/>
        <v>5590.889142</v>
      </c>
      <c r="AJ23" s="164">
        <f t="shared" si="39"/>
        <v>5374.1516499999998</v>
      </c>
      <c r="AK23" s="262">
        <f t="shared" si="39"/>
        <v>5972.1899219999996</v>
      </c>
      <c r="AL23" s="164">
        <f t="shared" si="39"/>
        <v>5882.0341960000005</v>
      </c>
      <c r="AM23" s="164">
        <f t="shared" si="39"/>
        <v>5721.6022800000001</v>
      </c>
      <c r="AN23" s="164">
        <f t="shared" si="39"/>
        <v>6413.6049809999995</v>
      </c>
      <c r="AO23" s="164">
        <f t="shared" si="39"/>
        <v>5993.5744629999999</v>
      </c>
      <c r="AP23" s="164">
        <f t="shared" si="39"/>
        <v>6053.3167182500001</v>
      </c>
      <c r="AQ23" s="164">
        <f t="shared" si="39"/>
        <v>5793.0988377000003</v>
      </c>
      <c r="AR23" s="164">
        <f t="shared" si="39"/>
        <v>6095.2749170000006</v>
      </c>
      <c r="AS23" s="164">
        <f t="shared" si="39"/>
        <v>6427.9688839999999</v>
      </c>
      <c r="AT23" s="164">
        <f>AT10+AT16+AT21</f>
        <v>6899.6951686000002</v>
      </c>
      <c r="AU23" s="164">
        <f>AU10+AU16+AU21</f>
        <v>7151.0396950000004</v>
      </c>
      <c r="AV23" s="164">
        <f t="shared" ref="AV23:AW23" si="40">AV10+AV16+AV21</f>
        <v>7152.5545590000002</v>
      </c>
      <c r="AW23" s="262">
        <f t="shared" si="40"/>
        <v>7847.9695700000002</v>
      </c>
      <c r="AX23" s="164">
        <f t="shared" ref="AX23:AZ23" si="41">AX10+AX16+AX21</f>
        <v>8332.9130236000001</v>
      </c>
      <c r="AY23" s="164">
        <f t="shared" si="41"/>
        <v>7106.5033299999996</v>
      </c>
      <c r="AZ23" s="164">
        <f t="shared" si="41"/>
        <v>7708.9361410000001</v>
      </c>
      <c r="BA23" s="164">
        <f t="shared" ref="BA23:BB23" si="42">BA10+BA16+BA21</f>
        <v>7255.7793430000002</v>
      </c>
      <c r="BB23" s="164">
        <f t="shared" si="42"/>
        <v>7474.832684</v>
      </c>
      <c r="BC23" s="164">
        <f t="shared" ref="BC23:BE23" si="43">BC10+BC16+BC21</f>
        <v>6788.5793999999996</v>
      </c>
      <c r="BD23" s="164">
        <f t="shared" si="43"/>
        <v>6213.0106593999999</v>
      </c>
      <c r="BE23" s="164">
        <f t="shared" si="43"/>
        <v>6001.7345239999995</v>
      </c>
      <c r="BF23" s="164">
        <f t="shared" ref="BF23:BG23" si="44">BF10+BF16+BF21</f>
        <v>6710.0399029999999</v>
      </c>
      <c r="BG23" s="164">
        <f t="shared" si="44"/>
        <v>7039.9613209999998</v>
      </c>
      <c r="BH23" s="164">
        <f t="shared" ref="BH23:BL23" si="45">BH10+BH16+BH21</f>
        <v>414.135582</v>
      </c>
      <c r="BI23" s="262">
        <f t="shared" si="45"/>
        <v>369.95810799999998</v>
      </c>
      <c r="BJ23" s="164">
        <f t="shared" si="45"/>
        <v>0</v>
      </c>
      <c r="BK23" s="164">
        <f t="shared" si="45"/>
        <v>0</v>
      </c>
      <c r="BL23" s="164">
        <f t="shared" si="45"/>
        <v>0</v>
      </c>
      <c r="BN23" s="126"/>
      <c r="BO23" s="117"/>
      <c r="BP23" s="118"/>
      <c r="BQ23" s="118"/>
      <c r="BR23" s="118"/>
      <c r="BS23" s="118"/>
      <c r="BT23" s="118"/>
      <c r="BU23" s="118"/>
      <c r="BV23" s="118"/>
      <c r="BW23" s="118"/>
      <c r="BX23" s="118"/>
      <c r="BY23" s="118"/>
      <c r="BZ23" s="118"/>
      <c r="CA23" s="118"/>
      <c r="CB23" s="118"/>
      <c r="CC23" s="118"/>
      <c r="CD23" s="118"/>
      <c r="CE23" s="119"/>
      <c r="CG23" s="107" t="s">
        <v>359</v>
      </c>
      <c r="CH23" s="165">
        <f t="shared" si="24"/>
        <v>6.8566608275971094E-2</v>
      </c>
      <c r="CI23" s="166">
        <f>DA58+DA41+DF26</f>
        <v>57.424737945492666</v>
      </c>
      <c r="CJ23" s="108"/>
      <c r="CK23" s="109"/>
      <c r="CL23" s="122"/>
      <c r="CQ23" s="117"/>
      <c r="CR23" s="118"/>
      <c r="CS23" s="118"/>
      <c r="CT23" s="118"/>
      <c r="CU23" s="118"/>
      <c r="CV23" s="118"/>
      <c r="CW23" s="119"/>
      <c r="CY23" s="129"/>
      <c r="CZ23" s="130" t="s">
        <v>302</v>
      </c>
      <c r="DA23" s="130" t="s">
        <v>300</v>
      </c>
      <c r="DB23" s="130" t="s">
        <v>77</v>
      </c>
      <c r="DC23" s="130" t="s">
        <v>365</v>
      </c>
      <c r="DD23" s="130" t="s">
        <v>303</v>
      </c>
      <c r="DE23" s="130" t="s">
        <v>366</v>
      </c>
      <c r="DF23" s="167" t="s">
        <v>146</v>
      </c>
      <c r="DG23" s="168"/>
      <c r="DJ23" s="128" t="s">
        <v>132</v>
      </c>
      <c r="DK23" s="139">
        <v>0.157</v>
      </c>
      <c r="DL23" s="169">
        <f t="shared" si="35"/>
        <v>41.437289303</v>
      </c>
      <c r="DM23" s="121"/>
      <c r="DN23" s="121"/>
      <c r="DO23" s="122"/>
      <c r="DQ23" s="131" t="s">
        <v>216</v>
      </c>
      <c r="DR23" s="141">
        <f t="shared" si="12"/>
        <v>9.7526994078718197E-3</v>
      </c>
      <c r="DS23" s="142">
        <v>2.8</v>
      </c>
      <c r="DT23" s="143">
        <v>-0.33300000000000002</v>
      </c>
      <c r="DU23" s="124"/>
      <c r="DV23" s="124"/>
      <c r="DW23" s="125"/>
    </row>
    <row r="24" spans="1:153">
      <c r="A24" s="311" t="s">
        <v>183</v>
      </c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3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3"/>
      <c r="Z24" s="314">
        <f>Z23/N23-1</f>
        <v>0.15636195325710878</v>
      </c>
      <c r="AA24" s="314">
        <f t="shared" ref="AA24:AP24" si="46">AA23/O23-1</f>
        <v>0.17142809709891882</v>
      </c>
      <c r="AB24" s="314">
        <f t="shared" si="46"/>
        <v>0.15929141137430025</v>
      </c>
      <c r="AC24" s="314">
        <f t="shared" si="46"/>
        <v>0.13678626081748102</v>
      </c>
      <c r="AD24" s="314">
        <f t="shared" si="46"/>
        <v>0.14554469799693504</v>
      </c>
      <c r="AE24" s="314">
        <f t="shared" si="46"/>
        <v>0.14509900853266733</v>
      </c>
      <c r="AF24" s="314">
        <f t="shared" si="46"/>
        <v>6.4088113951632941E-2</v>
      </c>
      <c r="AG24" s="314">
        <f t="shared" si="46"/>
        <v>2.6305528617376561E-2</v>
      </c>
      <c r="AH24" s="314">
        <f t="shared" si="46"/>
        <v>0.13768830964757361</v>
      </c>
      <c r="AI24" s="314">
        <f t="shared" si="46"/>
        <v>0.19656599842995437</v>
      </c>
      <c r="AJ24" s="314">
        <f t="shared" si="46"/>
        <v>0.16736138294334557</v>
      </c>
      <c r="AK24" s="233">
        <f t="shared" si="46"/>
        <v>0.11301593311237301</v>
      </c>
      <c r="AL24" s="314">
        <f t="shared" si="46"/>
        <v>0.12463425493895408</v>
      </c>
      <c r="AM24" s="314">
        <f t="shared" si="46"/>
        <v>0.18949720464869202</v>
      </c>
      <c r="AN24" s="314">
        <f t="shared" si="46"/>
        <v>0.22043475896362197</v>
      </c>
      <c r="AO24" s="314">
        <f t="shared" si="46"/>
        <v>0.18704790137348137</v>
      </c>
      <c r="AP24" s="314">
        <f t="shared" si="46"/>
        <v>0.21708141975129402</v>
      </c>
      <c r="AQ24" s="314">
        <f>AQ23/AE23-1</f>
        <v>0.22982548651202062</v>
      </c>
      <c r="AR24" s="314">
        <f>AR23/AF23-1</f>
        <v>0.34016553478481248</v>
      </c>
      <c r="AS24" s="314">
        <f>AS23/AG23-1</f>
        <v>0.42428922127050583</v>
      </c>
      <c r="AT24" s="314">
        <f>AT23/AH23-1</f>
        <v>0.37794985177062101</v>
      </c>
      <c r="AU24" s="314">
        <f>AU23/AI23-1</f>
        <v>0.27905231410864562</v>
      </c>
      <c r="AV24" s="314">
        <f t="shared" ref="AV24:AX24" si="47">AV23/AJ23-1</f>
        <v>0.33091788710502801</v>
      </c>
      <c r="AW24" s="233">
        <f t="shared" si="47"/>
        <v>0.31408573278792007</v>
      </c>
      <c r="AX24" s="314">
        <f t="shared" si="47"/>
        <v>0.41667197876317807</v>
      </c>
      <c r="AY24" s="314">
        <f t="shared" ref="AY24" si="48">AY23/AM23-1</f>
        <v>0.24204776603241984</v>
      </c>
      <c r="AZ24" s="314">
        <f t="shared" ref="AZ24:BC24" si="49">AZ23/AN23-1</f>
        <v>0.20196615847676269</v>
      </c>
      <c r="BA24" s="314">
        <f t="shared" si="49"/>
        <v>0.21059300886173049</v>
      </c>
      <c r="BB24" s="314">
        <f t="shared" si="49"/>
        <v>0.23483257723229745</v>
      </c>
      <c r="BC24" s="314">
        <f t="shared" si="49"/>
        <v>0.17183904334959155</v>
      </c>
      <c r="BD24" s="314">
        <f t="shared" ref="BD24" si="50">BD23/AR23-1</f>
        <v>1.9315903548768443E-2</v>
      </c>
      <c r="BE24" s="314">
        <f t="shared" ref="BE24" si="51">BE23/AS23-1</f>
        <v>-6.6309337784902778E-2</v>
      </c>
      <c r="BF24" s="314">
        <f t="shared" ref="BF24" si="52">BF23/AT23-1</f>
        <v>-2.7487484731659961E-2</v>
      </c>
      <c r="BG24" s="314">
        <f t="shared" ref="BG24" si="53">BG23/AU23-1</f>
        <v>-1.5533178214304444E-2</v>
      </c>
      <c r="BH24" s="314">
        <f t="shared" ref="BH24" si="54">BH23/AV23-1</f>
        <v>-0.942099626282627</v>
      </c>
      <c r="BI24" s="233">
        <f t="shared" ref="BI24" si="55">BI23/AW23-1</f>
        <v>-0.95285938551364691</v>
      </c>
      <c r="BJ24" s="314">
        <f t="shared" ref="BJ24" si="56">BJ23/AX23-1</f>
        <v>-1</v>
      </c>
      <c r="BK24" s="314">
        <f t="shared" ref="BK24" si="57">BK23/AY23-1</f>
        <v>-1</v>
      </c>
      <c r="BL24" s="314">
        <f t="shared" ref="BL24" si="58">BL23/AZ23-1</f>
        <v>-1</v>
      </c>
      <c r="BN24" s="126"/>
      <c r="BO24" s="117"/>
      <c r="BP24" s="118"/>
      <c r="BQ24" s="118"/>
      <c r="BR24" s="118"/>
      <c r="BS24" s="118"/>
      <c r="BT24" s="118"/>
      <c r="BU24" s="118"/>
      <c r="BV24" s="118"/>
      <c r="BW24" s="118"/>
      <c r="BX24" s="118"/>
      <c r="BY24" s="118"/>
      <c r="BZ24" s="118"/>
      <c r="CA24" s="118"/>
      <c r="CB24" s="118"/>
      <c r="CC24" s="118"/>
      <c r="CD24" s="118"/>
      <c r="CE24" s="119"/>
      <c r="CG24" s="128" t="s">
        <v>270</v>
      </c>
      <c r="CH24" s="139">
        <f t="shared" si="24"/>
        <v>5.0783433367019327E-2</v>
      </c>
      <c r="CI24" s="160">
        <f>DA57+DA40+DF25</f>
        <v>42.531276176532899</v>
      </c>
      <c r="CJ24" s="121" t="s">
        <v>72</v>
      </c>
      <c r="CK24" s="172">
        <f>CH23+CH24+CH25+CH26</f>
        <v>0.15146900852671374</v>
      </c>
      <c r="CL24" s="122"/>
      <c r="CP24" s="173"/>
      <c r="CQ24" s="117"/>
      <c r="CR24" s="118"/>
      <c r="CS24" s="118"/>
      <c r="CT24" s="118"/>
      <c r="CU24" s="118"/>
      <c r="CV24" s="118"/>
      <c r="CW24" s="119"/>
      <c r="CY24" s="99" t="s">
        <v>358</v>
      </c>
      <c r="CZ24" s="260">
        <v>0.11600000000000001</v>
      </c>
      <c r="DA24" s="260">
        <v>0.215</v>
      </c>
      <c r="DB24" s="260"/>
      <c r="DC24" s="260">
        <v>0.26</v>
      </c>
      <c r="DD24" s="260"/>
      <c r="DE24" s="260">
        <v>0.14799999999999999</v>
      </c>
      <c r="DF24" s="174">
        <f>DA56/0.958</f>
        <v>33.089770354906058</v>
      </c>
      <c r="DG24" s="175">
        <f t="shared" ref="DG24:DG33" si="59">DF24/DF$34</f>
        <v>0.11470048780205119</v>
      </c>
      <c r="DJ24" s="107" t="s">
        <v>359</v>
      </c>
      <c r="DK24" s="165">
        <v>5.5E-2</v>
      </c>
      <c r="DL24" s="176">
        <f t="shared" si="35"/>
        <v>14.516247845000001</v>
      </c>
      <c r="DM24" s="108"/>
      <c r="DN24" s="109"/>
      <c r="DO24" s="122"/>
      <c r="DQ24" s="177" t="s">
        <v>266</v>
      </c>
      <c r="DR24" s="178"/>
      <c r="DS24" s="179">
        <v>287.10000000000002</v>
      </c>
      <c r="DT24" s="180">
        <v>-5.0000000000000001E-3</v>
      </c>
      <c r="DU24" s="124"/>
      <c r="DV24" s="124"/>
      <c r="DW24" s="125"/>
    </row>
    <row r="25" spans="1:153" ht="16" thickBot="1">
      <c r="A25" s="181" t="s">
        <v>152</v>
      </c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3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5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5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5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5"/>
      <c r="BJ25" s="184"/>
      <c r="BK25" s="184"/>
      <c r="BL25" s="184"/>
      <c r="BN25" s="126"/>
      <c r="BO25" s="117"/>
      <c r="BP25" s="118"/>
      <c r="BQ25" s="118"/>
      <c r="BR25" s="118"/>
      <c r="BS25" s="118"/>
      <c r="BT25" s="118"/>
      <c r="BU25" s="118"/>
      <c r="BV25" s="118"/>
      <c r="BW25" s="118"/>
      <c r="BX25" s="118"/>
      <c r="BY25" s="118"/>
      <c r="BZ25" s="118"/>
      <c r="CA25" s="118"/>
      <c r="CB25" s="118"/>
      <c r="CC25" s="118"/>
      <c r="CD25" s="118"/>
      <c r="CE25" s="119"/>
      <c r="CG25" s="128" t="s">
        <v>193</v>
      </c>
      <c r="CH25" s="139">
        <f t="shared" si="24"/>
        <v>2.1371692126027127E-2</v>
      </c>
      <c r="CI25" s="160">
        <f>DA62+DA45+DF30</f>
        <v>17.898855589433417</v>
      </c>
      <c r="CJ25" s="121"/>
      <c r="CK25" s="122"/>
      <c r="CL25" s="122"/>
      <c r="CP25" s="173"/>
      <c r="CQ25" s="117"/>
      <c r="CR25" s="118"/>
      <c r="CS25" s="118"/>
      <c r="CT25" s="118"/>
      <c r="CU25" s="118"/>
      <c r="CV25" s="118"/>
      <c r="CW25" s="119"/>
      <c r="CY25" s="99" t="s">
        <v>270</v>
      </c>
      <c r="CZ25" s="260">
        <v>5.1999999999999998E-2</v>
      </c>
      <c r="DA25" s="260">
        <v>9.1999999999999998E-2</v>
      </c>
      <c r="DB25" s="260">
        <v>1</v>
      </c>
      <c r="DC25" s="260">
        <v>0.13</v>
      </c>
      <c r="DD25" s="260"/>
      <c r="DE25" s="260">
        <v>6.8000000000000005E-2</v>
      </c>
      <c r="DF25" s="174">
        <f>DA57/0.979</f>
        <v>14.504596527068436</v>
      </c>
      <c r="DG25" s="175">
        <f t="shared" si="59"/>
        <v>5.0277903992162969E-2</v>
      </c>
      <c r="DJ25" s="128" t="s">
        <v>270</v>
      </c>
      <c r="DK25" s="139">
        <v>4.4999999999999998E-2</v>
      </c>
      <c r="DL25" s="169">
        <f t="shared" si="35"/>
        <v>11.876930054999999</v>
      </c>
      <c r="DM25" s="121" t="s">
        <v>72</v>
      </c>
      <c r="DN25" s="172">
        <f>DK24+DK25+DK26+DK27</f>
        <v>0.13500000000000001</v>
      </c>
      <c r="DO25" s="122"/>
      <c r="DQ25" s="150"/>
      <c r="DR25" s="154"/>
      <c r="DS25" s="154"/>
      <c r="DT25" s="154"/>
      <c r="DU25" s="154"/>
      <c r="DV25" s="154"/>
      <c r="DW25" s="155"/>
    </row>
    <row r="26" spans="1:153" ht="16" thickBot="1">
      <c r="BN26" s="126"/>
      <c r="BO26" s="117"/>
      <c r="BP26" s="118"/>
      <c r="BQ26" s="118"/>
      <c r="BR26" s="118"/>
      <c r="BS26" s="118"/>
      <c r="BT26" s="118"/>
      <c r="BU26" s="118"/>
      <c r="BV26" s="118"/>
      <c r="BW26" s="118"/>
      <c r="BX26" s="118"/>
      <c r="BY26" s="118"/>
      <c r="BZ26" s="118"/>
      <c r="CA26" s="118"/>
      <c r="CB26" s="118"/>
      <c r="CC26" s="118"/>
      <c r="CD26" s="118"/>
      <c r="CE26" s="119"/>
      <c r="CG26" s="186" t="s">
        <v>204</v>
      </c>
      <c r="CH26" s="187">
        <f t="shared" si="24"/>
        <v>1.0747274757696176E-2</v>
      </c>
      <c r="CI26" s="188">
        <f>DF32+DA47+DA64</f>
        <v>9.0008745088415321</v>
      </c>
      <c r="CJ26" s="189"/>
      <c r="CK26" s="190"/>
      <c r="CL26" s="122"/>
      <c r="CP26" s="173"/>
      <c r="CQ26" s="117"/>
      <c r="CR26" s="118"/>
      <c r="CS26" s="118"/>
      <c r="CT26" s="118"/>
      <c r="CU26" s="118"/>
      <c r="CV26" s="118"/>
      <c r="CW26" s="119"/>
      <c r="CY26" s="99" t="s">
        <v>359</v>
      </c>
      <c r="CZ26" s="260">
        <v>7.2999999999999995E-2</v>
      </c>
      <c r="DA26" s="260">
        <v>0.129</v>
      </c>
      <c r="DB26" s="260"/>
      <c r="DC26" s="260"/>
      <c r="DD26" s="260"/>
      <c r="DE26" s="260">
        <v>8.8999999999999996E-2</v>
      </c>
      <c r="DF26" s="174">
        <f>DA58/0.9</f>
        <v>20.888888888888889</v>
      </c>
      <c r="DG26" s="175">
        <f t="shared" si="59"/>
        <v>7.2408049965301882E-2</v>
      </c>
      <c r="DJ26" s="128" t="s">
        <v>193</v>
      </c>
      <c r="DK26" s="139">
        <v>0.02</v>
      </c>
      <c r="DL26" s="169">
        <f t="shared" si="35"/>
        <v>5.2786355800000004</v>
      </c>
      <c r="DM26" s="121"/>
      <c r="DN26" s="122"/>
      <c r="DO26" s="122"/>
    </row>
    <row r="27" spans="1:153" ht="16" thickBot="1">
      <c r="A27" s="98" t="s">
        <v>326</v>
      </c>
      <c r="AI27" s="99">
        <v>31</v>
      </c>
      <c r="AJ27" s="99">
        <v>30</v>
      </c>
      <c r="AK27" s="99">
        <v>31</v>
      </c>
      <c r="AL27" s="99">
        <v>31</v>
      </c>
      <c r="AM27" s="99">
        <v>28</v>
      </c>
      <c r="AN27" s="99">
        <v>31</v>
      </c>
      <c r="AO27" s="99">
        <v>30</v>
      </c>
      <c r="AP27" s="99">
        <v>31</v>
      </c>
      <c r="AQ27" s="99">
        <v>30</v>
      </c>
      <c r="AR27" s="99">
        <v>31</v>
      </c>
      <c r="AS27" s="99">
        <v>31</v>
      </c>
      <c r="AT27" s="99">
        <v>30</v>
      </c>
      <c r="AU27" s="99">
        <v>31</v>
      </c>
      <c r="AV27" s="99">
        <v>30</v>
      </c>
      <c r="AW27" s="99">
        <v>31</v>
      </c>
      <c r="AX27" s="99">
        <v>31</v>
      </c>
      <c r="AY27" s="99">
        <v>29</v>
      </c>
      <c r="AZ27" s="99">
        <v>31</v>
      </c>
      <c r="BA27" s="99">
        <v>30</v>
      </c>
      <c r="BB27" s="99">
        <v>31</v>
      </c>
      <c r="BC27" s="99">
        <v>30</v>
      </c>
      <c r="BD27" s="99">
        <v>31</v>
      </c>
      <c r="BE27" s="99">
        <v>31</v>
      </c>
      <c r="BF27" s="99">
        <v>30</v>
      </c>
      <c r="BG27" s="99">
        <v>31</v>
      </c>
      <c r="BH27" s="99">
        <v>30</v>
      </c>
      <c r="BI27" s="99">
        <v>31</v>
      </c>
      <c r="BJ27" s="99">
        <v>31</v>
      </c>
      <c r="BK27" s="99">
        <v>28</v>
      </c>
      <c r="BL27" s="99">
        <v>31</v>
      </c>
      <c r="BN27" s="126"/>
      <c r="BO27" s="117"/>
      <c r="BP27" s="118"/>
      <c r="BQ27" s="118"/>
      <c r="BR27" s="118"/>
      <c r="BS27" s="118"/>
      <c r="BT27" s="118"/>
      <c r="BU27" s="118"/>
      <c r="BV27" s="118"/>
      <c r="BW27" s="118"/>
      <c r="BX27" s="118"/>
      <c r="BY27" s="118"/>
      <c r="BZ27" s="118"/>
      <c r="CA27" s="118"/>
      <c r="CB27" s="118"/>
      <c r="CC27" s="118"/>
      <c r="CD27" s="118"/>
      <c r="CE27" s="119"/>
      <c r="CG27" s="128" t="s">
        <v>358</v>
      </c>
      <c r="CH27" s="139">
        <f t="shared" si="24"/>
        <v>0.11186439417676457</v>
      </c>
      <c r="CI27" s="160">
        <f>DA56+DA39+DF24</f>
        <v>93.686762150712809</v>
      </c>
      <c r="CJ27" s="121"/>
      <c r="CK27" s="122"/>
      <c r="CL27" s="122"/>
      <c r="CP27" s="173"/>
      <c r="CQ27" s="117"/>
      <c r="CR27" s="118"/>
      <c r="CS27" s="118"/>
      <c r="CT27" s="118"/>
      <c r="CU27" s="118"/>
      <c r="CV27" s="118"/>
      <c r="CW27" s="119"/>
      <c r="CY27" s="99" t="s">
        <v>360</v>
      </c>
      <c r="CZ27" s="260">
        <v>0.30199999999999999</v>
      </c>
      <c r="DA27" s="260">
        <v>0.29199999999999998</v>
      </c>
      <c r="DB27" s="260"/>
      <c r="DC27" s="260">
        <v>0.21</v>
      </c>
      <c r="DD27" s="260"/>
      <c r="DE27" s="260">
        <v>0.29299999999999998</v>
      </c>
      <c r="DF27" s="174">
        <f>DA59/0.986</f>
        <v>86.105476673428001</v>
      </c>
      <c r="DG27" s="175">
        <f t="shared" si="59"/>
        <v>0.29847110061330523</v>
      </c>
      <c r="DJ27" s="186" t="s">
        <v>204</v>
      </c>
      <c r="DK27" s="187">
        <v>1.4999999999999999E-2</v>
      </c>
      <c r="DL27" s="191">
        <f t="shared" si="35"/>
        <v>3.9589766850000001</v>
      </c>
      <c r="DM27" s="189"/>
      <c r="DN27" s="190"/>
      <c r="DO27" s="122"/>
    </row>
    <row r="28" spans="1:153" ht="16" thickBot="1">
      <c r="Z28" s="318"/>
      <c r="AA28" s="318"/>
      <c r="AB28" s="318"/>
      <c r="AC28" s="318"/>
      <c r="AD28" s="318"/>
      <c r="AE28" s="318"/>
      <c r="AF28" s="318"/>
      <c r="AG28" s="318"/>
      <c r="BN28" s="260"/>
      <c r="BO28" s="117"/>
      <c r="BP28" s="118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9"/>
      <c r="CG28" s="128" t="s">
        <v>81</v>
      </c>
      <c r="CH28" s="139">
        <f t="shared" si="24"/>
        <v>1.9580413316947914E-2</v>
      </c>
      <c r="CI28" s="160">
        <f>DA63+DA46+DF31</f>
        <v>16.398654270087476</v>
      </c>
      <c r="CJ28" s="121"/>
      <c r="CK28" s="122"/>
      <c r="CL28" s="122"/>
      <c r="CP28" s="173"/>
      <c r="CQ28" s="117"/>
      <c r="CR28" s="118"/>
      <c r="CS28" s="118"/>
      <c r="CT28" s="118"/>
      <c r="CU28" s="118"/>
      <c r="CV28" s="118"/>
      <c r="CW28" s="119"/>
      <c r="CY28" s="99" t="s">
        <v>304</v>
      </c>
      <c r="CZ28" s="260">
        <v>0.17399999999999999</v>
      </c>
      <c r="DA28" s="260"/>
      <c r="DB28" s="260"/>
      <c r="DC28" s="260"/>
      <c r="DD28" s="260"/>
      <c r="DE28" s="260">
        <v>0.113</v>
      </c>
      <c r="DF28" s="174">
        <f>DA60/1.087</f>
        <v>49.494020239190434</v>
      </c>
      <c r="DG28" s="175">
        <f t="shared" si="59"/>
        <v>0.17156324156471633</v>
      </c>
      <c r="DJ28" s="128" t="s">
        <v>358</v>
      </c>
      <c r="DK28" s="139">
        <v>0.11</v>
      </c>
      <c r="DL28" s="169">
        <f t="shared" si="35"/>
        <v>29.032495690000001</v>
      </c>
      <c r="DM28" s="121"/>
      <c r="DN28" s="121"/>
      <c r="DO28" s="122"/>
    </row>
    <row r="29" spans="1:153">
      <c r="A29" s="100" t="s">
        <v>286</v>
      </c>
      <c r="B29" s="101">
        <v>39448</v>
      </c>
      <c r="C29" s="101">
        <v>39479</v>
      </c>
      <c r="D29" s="101">
        <v>39508</v>
      </c>
      <c r="E29" s="101">
        <v>39539</v>
      </c>
      <c r="F29" s="101">
        <v>39569</v>
      </c>
      <c r="G29" s="101">
        <v>39600</v>
      </c>
      <c r="H29" s="101">
        <v>39630</v>
      </c>
      <c r="I29" s="101">
        <v>39661</v>
      </c>
      <c r="J29" s="101">
        <v>39692</v>
      </c>
      <c r="K29" s="101">
        <v>39722</v>
      </c>
      <c r="L29" s="101">
        <v>39753</v>
      </c>
      <c r="M29" s="102">
        <v>39783</v>
      </c>
      <c r="N29" s="101">
        <v>39814</v>
      </c>
      <c r="O29" s="101">
        <v>39845</v>
      </c>
      <c r="P29" s="101">
        <v>39873</v>
      </c>
      <c r="Q29" s="101">
        <v>39904</v>
      </c>
      <c r="R29" s="101">
        <v>39934</v>
      </c>
      <c r="S29" s="101">
        <v>39965</v>
      </c>
      <c r="T29" s="101">
        <v>39995</v>
      </c>
      <c r="U29" s="101">
        <v>40026</v>
      </c>
      <c r="V29" s="101">
        <v>40057</v>
      </c>
      <c r="W29" s="101">
        <v>40087</v>
      </c>
      <c r="X29" s="101">
        <v>40118</v>
      </c>
      <c r="Y29" s="102">
        <v>40148</v>
      </c>
      <c r="Z29" s="101">
        <v>40179</v>
      </c>
      <c r="AA29" s="101">
        <v>40210</v>
      </c>
      <c r="AB29" s="101">
        <v>40238</v>
      </c>
      <c r="AC29" s="101">
        <v>40269</v>
      </c>
      <c r="AD29" s="101">
        <v>40299</v>
      </c>
      <c r="AE29" s="101">
        <v>40330</v>
      </c>
      <c r="AF29" s="101">
        <v>40360</v>
      </c>
      <c r="AG29" s="101">
        <v>40391</v>
      </c>
      <c r="AH29" s="101">
        <v>40422</v>
      </c>
      <c r="AI29" s="101">
        <v>40452</v>
      </c>
      <c r="AJ29" s="101">
        <v>40483</v>
      </c>
      <c r="AK29" s="102">
        <v>40513</v>
      </c>
      <c r="AL29" s="101">
        <v>40544</v>
      </c>
      <c r="AM29" s="101">
        <v>40575</v>
      </c>
      <c r="AN29" s="101">
        <v>40603</v>
      </c>
      <c r="AO29" s="101">
        <v>40634</v>
      </c>
      <c r="AP29" s="101">
        <v>40664</v>
      </c>
      <c r="AQ29" s="101">
        <v>40695</v>
      </c>
      <c r="AR29" s="101">
        <v>40725</v>
      </c>
      <c r="AS29" s="101">
        <v>40756</v>
      </c>
      <c r="AT29" s="101">
        <v>40787</v>
      </c>
      <c r="AU29" s="101">
        <v>40817</v>
      </c>
      <c r="AV29" s="101">
        <v>40848</v>
      </c>
      <c r="AW29" s="102">
        <v>40878</v>
      </c>
      <c r="AX29" s="101">
        <v>40909</v>
      </c>
      <c r="AY29" s="101">
        <v>40940</v>
      </c>
      <c r="AZ29" s="101">
        <v>40969</v>
      </c>
      <c r="BA29" s="101">
        <v>41000</v>
      </c>
      <c r="BB29" s="101">
        <v>41030</v>
      </c>
      <c r="BC29" s="101">
        <v>41061</v>
      </c>
      <c r="BD29" s="101">
        <v>41091</v>
      </c>
      <c r="BE29" s="101">
        <v>41122</v>
      </c>
      <c r="BF29" s="101">
        <v>41153</v>
      </c>
      <c r="BG29" s="101">
        <v>41183</v>
      </c>
      <c r="BH29" s="101">
        <v>41214</v>
      </c>
      <c r="BI29" s="102">
        <v>41244</v>
      </c>
      <c r="BJ29" s="101">
        <v>41275</v>
      </c>
      <c r="BK29" s="101">
        <v>41306</v>
      </c>
      <c r="BL29" s="101">
        <v>41334</v>
      </c>
      <c r="BN29" s="126"/>
      <c r="BO29" s="117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9"/>
      <c r="CG29" s="128" t="s">
        <v>299</v>
      </c>
      <c r="CH29" s="139">
        <f t="shared" si="24"/>
        <v>7.362417468941343E-2</v>
      </c>
      <c r="CI29" s="160">
        <f>DA65+DA48+DF33</f>
        <v>61.660464828247505</v>
      </c>
      <c r="CJ29" s="121"/>
      <c r="CK29" s="122"/>
      <c r="CL29" s="122"/>
      <c r="CP29" s="173"/>
      <c r="CQ29" s="117"/>
      <c r="CR29" s="118"/>
      <c r="CS29" s="118"/>
      <c r="CT29" s="118"/>
      <c r="CU29" s="118"/>
      <c r="CV29" s="118"/>
      <c r="CW29" s="119"/>
      <c r="CY29" s="99" t="s">
        <v>132</v>
      </c>
      <c r="CZ29" s="260">
        <f>0.144+0.044</f>
        <v>0.188</v>
      </c>
      <c r="DA29" s="260">
        <f>0.028+0.082</f>
        <v>0.11</v>
      </c>
      <c r="DB29" s="260"/>
      <c r="DC29" s="260">
        <f>0.15+0.07</f>
        <v>0.22</v>
      </c>
      <c r="DD29" s="260">
        <v>1</v>
      </c>
      <c r="DE29" s="260">
        <f>0.119+0.056</f>
        <v>0.17499999999999999</v>
      </c>
      <c r="DF29" s="174">
        <f>DA61/0.854</f>
        <v>53.395784543325533</v>
      </c>
      <c r="DG29" s="175">
        <f t="shared" si="59"/>
        <v>0.18508809423588551</v>
      </c>
      <c r="DJ29" s="128" t="s">
        <v>81</v>
      </c>
      <c r="DK29" s="139">
        <v>2.1999999999999999E-2</v>
      </c>
      <c r="DL29" s="160">
        <f t="shared" si="35"/>
        <v>5.8064991379999995</v>
      </c>
      <c r="DM29" s="121"/>
      <c r="DN29" s="121"/>
      <c r="DO29" s="122"/>
    </row>
    <row r="30" spans="1:153" ht="16" thickBot="1">
      <c r="A30" s="5"/>
      <c r="M30" s="115"/>
      <c r="Y30" s="115"/>
      <c r="AK30" s="115"/>
      <c r="AW30" s="115"/>
      <c r="BI30" s="115"/>
      <c r="BN30" s="126"/>
      <c r="BO30" s="19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2"/>
      <c r="CA30" s="182"/>
      <c r="CB30" s="182"/>
      <c r="CC30" s="182"/>
      <c r="CD30" s="182"/>
      <c r="CE30" s="193"/>
      <c r="CG30" s="132"/>
      <c r="CH30" s="156"/>
      <c r="CI30" s="194">
        <f>DA66+DA51+DF34</f>
        <v>837.50296812649754</v>
      </c>
      <c r="CJ30" s="140"/>
      <c r="CK30" s="122"/>
      <c r="CL30" s="122"/>
      <c r="CP30" s="173"/>
      <c r="CQ30" s="117"/>
      <c r="CR30" s="118"/>
      <c r="CS30" s="118"/>
      <c r="CT30" s="118"/>
      <c r="CU30" s="118"/>
      <c r="CV30" s="118"/>
      <c r="CW30" s="119"/>
      <c r="CY30" s="99" t="s">
        <v>193</v>
      </c>
      <c r="CZ30" s="260">
        <v>2.1999999999999999E-2</v>
      </c>
      <c r="DA30" s="260">
        <v>4.2000000000000003E-2</v>
      </c>
      <c r="DB30" s="260"/>
      <c r="DC30" s="260">
        <v>0.02</v>
      </c>
      <c r="DD30" s="260"/>
      <c r="DE30" s="260">
        <v>2.8000000000000001E-2</v>
      </c>
      <c r="DF30" s="174">
        <f>DA62/0.952</f>
        <v>6.1974789915966397</v>
      </c>
      <c r="DG30" s="175">
        <f t="shared" si="59"/>
        <v>2.148258678905289E-2</v>
      </c>
      <c r="DJ30" s="128" t="s">
        <v>299</v>
      </c>
      <c r="DK30" s="139">
        <f>1-SUM(DK21:DK29)</f>
        <v>7.5999999999999845E-2</v>
      </c>
      <c r="DL30" s="160">
        <f t="shared" si="35"/>
        <v>20.058815203999959</v>
      </c>
      <c r="DM30" s="121"/>
      <c r="DN30" s="121"/>
      <c r="DO30" s="122"/>
      <c r="DQ30" s="195" t="s">
        <v>314</v>
      </c>
    </row>
    <row r="31" spans="1:153" ht="16" thickBot="1">
      <c r="A31" s="5" t="s">
        <v>327</v>
      </c>
      <c r="M31" s="115"/>
      <c r="Y31" s="115"/>
      <c r="AI31" s="126">
        <f>AI13</f>
        <v>116</v>
      </c>
      <c r="AJ31" s="126">
        <f t="shared" ref="AJ31:BE31" si="60">AJ13</f>
        <v>233</v>
      </c>
      <c r="AK31" s="127">
        <f t="shared" si="60"/>
        <v>450</v>
      </c>
      <c r="AL31" s="126">
        <f t="shared" si="60"/>
        <v>555</v>
      </c>
      <c r="AM31" s="126">
        <f t="shared" si="60"/>
        <v>719</v>
      </c>
      <c r="AN31" s="126">
        <f t="shared" si="60"/>
        <v>924</v>
      </c>
      <c r="AO31" s="126">
        <f t="shared" si="60"/>
        <v>989</v>
      </c>
      <c r="AP31" s="126">
        <f t="shared" si="60"/>
        <v>1040</v>
      </c>
      <c r="AQ31" s="126">
        <f t="shared" si="60"/>
        <v>1150</v>
      </c>
      <c r="AR31" s="126">
        <f t="shared" si="60"/>
        <v>1184</v>
      </c>
      <c r="AS31" s="126">
        <f t="shared" si="60"/>
        <v>1051</v>
      </c>
      <c r="AT31" s="126">
        <f t="shared" si="60"/>
        <v>1115</v>
      </c>
      <c r="AU31" s="126">
        <f t="shared" si="60"/>
        <v>1211</v>
      </c>
      <c r="AV31" s="126">
        <f t="shared" si="60"/>
        <v>1307</v>
      </c>
      <c r="AW31" s="127">
        <f t="shared" si="60"/>
        <v>1790</v>
      </c>
      <c r="AX31" s="126">
        <f t="shared" si="60"/>
        <v>2216</v>
      </c>
      <c r="AY31" s="126">
        <f t="shared" si="60"/>
        <v>1651</v>
      </c>
      <c r="AZ31" s="126">
        <f t="shared" si="60"/>
        <v>1401</v>
      </c>
      <c r="BA31" s="126">
        <f t="shared" si="60"/>
        <v>1699</v>
      </c>
      <c r="BB31" s="126">
        <f t="shared" si="60"/>
        <v>1805</v>
      </c>
      <c r="BC31" s="126">
        <f t="shared" si="60"/>
        <v>1678</v>
      </c>
      <c r="BD31" s="126">
        <f t="shared" si="60"/>
        <v>1337</v>
      </c>
      <c r="BE31" s="126">
        <f t="shared" si="60"/>
        <v>1223</v>
      </c>
      <c r="BF31" s="126"/>
      <c r="BG31" s="126"/>
      <c r="BH31" s="126"/>
      <c r="BI31" s="127"/>
      <c r="BJ31" s="126"/>
      <c r="BK31" s="126"/>
      <c r="BL31" s="126"/>
      <c r="BN31" s="126"/>
      <c r="CG31" s="128"/>
      <c r="CH31" s="121"/>
      <c r="CI31" s="121"/>
      <c r="CJ31" s="121"/>
      <c r="CK31" s="122"/>
      <c r="CL31" s="122"/>
      <c r="CP31" s="173"/>
      <c r="CQ31" s="117"/>
      <c r="CR31" s="118"/>
      <c r="CS31" s="118"/>
      <c r="CT31" s="118"/>
      <c r="CU31" s="118"/>
      <c r="CV31" s="118"/>
      <c r="CW31" s="119"/>
      <c r="CY31" s="99" t="s">
        <v>81</v>
      </c>
      <c r="DF31" s="174">
        <f>DA63/1.609</f>
        <v>4.5991298943443137</v>
      </c>
      <c r="DG31" s="175">
        <f t="shared" si="59"/>
        <v>1.5942160875954091E-2</v>
      </c>
      <c r="DJ31" s="132"/>
      <c r="DK31" s="156"/>
      <c r="DL31" s="194">
        <f>AH55</f>
        <v>263.93177900000001</v>
      </c>
      <c r="DM31" s="140"/>
      <c r="DN31" s="121"/>
      <c r="DO31" s="122"/>
      <c r="DR31" s="414"/>
      <c r="DS31" s="414"/>
      <c r="DT31" s="414"/>
      <c r="DU31" s="414"/>
      <c r="DV31" s="414"/>
      <c r="DW31" s="414"/>
      <c r="DX31" s="414"/>
      <c r="DY31" s="414"/>
      <c r="DZ31" s="414"/>
      <c r="EA31" s="414"/>
      <c r="EB31" s="414"/>
      <c r="EC31" s="414"/>
      <c r="ED31" s="414"/>
      <c r="EE31" s="414"/>
      <c r="EF31" s="414"/>
      <c r="EG31" s="414"/>
      <c r="EH31" s="414"/>
      <c r="EI31" s="414"/>
    </row>
    <row r="32" spans="1:153">
      <c r="A32" s="5" t="s">
        <v>333</v>
      </c>
      <c r="M32" s="205"/>
      <c r="Y32" s="205"/>
      <c r="AI32" s="318">
        <v>2000</v>
      </c>
      <c r="AJ32" s="318">
        <v>5250</v>
      </c>
      <c r="AK32" s="325">
        <v>7750</v>
      </c>
      <c r="AL32" s="318">
        <v>9750</v>
      </c>
      <c r="AM32" s="318">
        <v>11740.644201962992</v>
      </c>
      <c r="AN32" s="318">
        <v>14137.715515598689</v>
      </c>
      <c r="AO32" s="318">
        <v>17024.193609970869</v>
      </c>
      <c r="AP32" s="318">
        <v>20500</v>
      </c>
      <c r="AQ32" s="318">
        <v>21920.022292543075</v>
      </c>
      <c r="AR32" s="318">
        <v>23438.408649052944</v>
      </c>
      <c r="AS32" s="318">
        <v>25061.972687267073</v>
      </c>
      <c r="AT32" s="318">
        <v>27040</v>
      </c>
      <c r="AU32" s="318">
        <v>28850</v>
      </c>
      <c r="AV32" s="318">
        <v>30410</v>
      </c>
      <c r="AW32" s="544">
        <v>33560</v>
      </c>
      <c r="AX32" s="318">
        <v>37330</v>
      </c>
      <c r="AY32" s="318">
        <v>38810</v>
      </c>
      <c r="AZ32" s="318">
        <v>39960</v>
      </c>
      <c r="BA32" s="318">
        <v>40730</v>
      </c>
      <c r="BB32" s="318">
        <v>41100</v>
      </c>
      <c r="BC32" s="318">
        <v>41500</v>
      </c>
      <c r="BD32" s="318">
        <v>41900</v>
      </c>
      <c r="BE32" s="318">
        <v>42300</v>
      </c>
      <c r="BF32" s="318"/>
      <c r="BG32" s="318"/>
      <c r="BH32" s="318"/>
      <c r="BI32" s="544"/>
      <c r="BJ32" s="318"/>
      <c r="BK32" s="318"/>
      <c r="BL32" s="318"/>
      <c r="BN32" s="445"/>
      <c r="BO32" s="104" t="s">
        <v>267</v>
      </c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6"/>
      <c r="CG32" s="128"/>
      <c r="CH32" s="121"/>
      <c r="CI32" s="121"/>
      <c r="CJ32" s="121"/>
      <c r="CK32" s="122"/>
      <c r="CL32" s="122"/>
      <c r="CP32" s="173"/>
      <c r="CQ32" s="117"/>
      <c r="CR32" s="118"/>
      <c r="CS32" s="118"/>
      <c r="CT32" s="118"/>
      <c r="CU32" s="118"/>
      <c r="CV32" s="118"/>
      <c r="CW32" s="119"/>
      <c r="CY32" s="99" t="s">
        <v>200</v>
      </c>
      <c r="DF32" s="198">
        <f>DA64/1.033</f>
        <v>3.000968054211036</v>
      </c>
      <c r="DG32" s="175">
        <f t="shared" si="59"/>
        <v>1.040238406022493E-2</v>
      </c>
      <c r="DJ32" s="128"/>
      <c r="DK32" s="121"/>
      <c r="DL32" s="121"/>
      <c r="DM32" s="121"/>
      <c r="DN32" s="121"/>
      <c r="DO32" s="122"/>
      <c r="DQ32" s="112"/>
      <c r="DR32" s="1000">
        <v>2010</v>
      </c>
      <c r="DS32" s="1000"/>
      <c r="DT32" s="1000"/>
      <c r="DU32" s="1000"/>
      <c r="DV32" s="1000"/>
      <c r="DW32" s="1000"/>
      <c r="DX32" s="1000"/>
      <c r="DY32" s="1000"/>
      <c r="DZ32" s="1000"/>
      <c r="EA32" s="1000"/>
      <c r="EB32" s="1000"/>
      <c r="EC32" s="1001"/>
      <c r="ED32" s="992">
        <v>2011</v>
      </c>
      <c r="EE32" s="993"/>
      <c r="EF32" s="993"/>
      <c r="EG32" s="993"/>
      <c r="EH32" s="993"/>
      <c r="EI32" s="994"/>
      <c r="EJ32" s="366" t="s">
        <v>86</v>
      </c>
      <c r="EM32" s="391"/>
      <c r="EN32" s="995" t="s">
        <v>95</v>
      </c>
      <c r="EO32" s="996"/>
      <c r="EP32" s="996"/>
      <c r="EQ32" s="997"/>
      <c r="ER32" s="998" t="s">
        <v>96</v>
      </c>
      <c r="ES32" s="996"/>
      <c r="ET32" s="996"/>
      <c r="EU32" s="999"/>
    </row>
    <row r="33" spans="1:151">
      <c r="A33" s="5" t="s">
        <v>325</v>
      </c>
      <c r="M33" s="115"/>
      <c r="P33" s="209"/>
      <c r="S33" s="209"/>
      <c r="V33" s="209"/>
      <c r="Y33" s="210"/>
      <c r="AB33" s="209"/>
      <c r="AE33" s="209"/>
      <c r="AH33" s="209"/>
      <c r="AI33" s="209">
        <f t="shared" ref="AI33:AQ33" si="61">AI13/AI32*1000</f>
        <v>58</v>
      </c>
      <c r="AJ33" s="209">
        <f t="shared" si="61"/>
        <v>44.38095238095238</v>
      </c>
      <c r="AK33" s="210">
        <f t="shared" si="61"/>
        <v>58.064516129032263</v>
      </c>
      <c r="AL33" s="209">
        <f t="shared" si="61"/>
        <v>56.923076923076927</v>
      </c>
      <c r="AM33" s="209">
        <f t="shared" si="61"/>
        <v>61.24025118483582</v>
      </c>
      <c r="AN33" s="209">
        <f t="shared" si="61"/>
        <v>65.357093865732054</v>
      </c>
      <c r="AO33" s="209">
        <f t="shared" si="61"/>
        <v>58.093794200082073</v>
      </c>
      <c r="AP33" s="209">
        <f t="shared" si="61"/>
        <v>50.731707317073173</v>
      </c>
      <c r="AQ33" s="209">
        <f t="shared" si="61"/>
        <v>52.46345029453807</v>
      </c>
      <c r="AR33" s="209">
        <f>AR13/AR32*1000</f>
        <v>50.515374901437305</v>
      </c>
      <c r="AS33" s="209">
        <f>AS13/AS32*1000</f>
        <v>41.936044425344406</v>
      </c>
      <c r="AT33" s="209">
        <f>AT13/AT32*1000</f>
        <v>41.235207100591715</v>
      </c>
      <c r="AU33" s="209">
        <f t="shared" ref="AU33:BE33" si="62">AU13/AU32*1000</f>
        <v>41.975736568457535</v>
      </c>
      <c r="AV33" s="209">
        <f t="shared" si="62"/>
        <v>42.979283130549163</v>
      </c>
      <c r="AW33" s="210">
        <f t="shared" si="62"/>
        <v>53.337306317044103</v>
      </c>
      <c r="AX33" s="209">
        <f t="shared" si="62"/>
        <v>59.362443075274577</v>
      </c>
      <c r="AY33" s="209">
        <f t="shared" si="62"/>
        <v>42.540582324143259</v>
      </c>
      <c r="AZ33" s="209">
        <f t="shared" si="62"/>
        <v>35.06006006006006</v>
      </c>
      <c r="BA33" s="209">
        <f t="shared" si="62"/>
        <v>41.713724527375398</v>
      </c>
      <c r="BB33" s="209">
        <f t="shared" si="62"/>
        <v>43.917274939172749</v>
      </c>
      <c r="BC33" s="209">
        <f t="shared" si="62"/>
        <v>40.433734939759034</v>
      </c>
      <c r="BD33" s="209">
        <f t="shared" si="62"/>
        <v>31.909307875894985</v>
      </c>
      <c r="BE33" s="209">
        <f t="shared" si="62"/>
        <v>28.912529550827426</v>
      </c>
      <c r="BF33" s="209"/>
      <c r="BG33" s="209"/>
      <c r="BH33" s="209"/>
      <c r="BI33" s="210"/>
      <c r="BJ33" s="209"/>
      <c r="BK33" s="209"/>
      <c r="BL33" s="209"/>
      <c r="BN33" s="126"/>
      <c r="BO33" s="117"/>
      <c r="BP33" s="118"/>
      <c r="BQ33" s="118"/>
      <c r="BR33" s="118"/>
      <c r="BS33" s="118"/>
      <c r="BT33" s="118"/>
      <c r="BU33" s="118"/>
      <c r="BV33" s="118"/>
      <c r="BW33" s="118"/>
      <c r="BX33" s="118"/>
      <c r="BY33" s="118"/>
      <c r="BZ33" s="118"/>
      <c r="CA33" s="118"/>
      <c r="CB33" s="118"/>
      <c r="CC33" s="118"/>
      <c r="CD33" s="118"/>
      <c r="CE33" s="119"/>
      <c r="CG33" s="132"/>
      <c r="CH33" s="133" t="s">
        <v>186</v>
      </c>
      <c r="CI33" s="133" t="s">
        <v>263</v>
      </c>
      <c r="CJ33" s="121"/>
      <c r="CK33" s="122"/>
      <c r="CL33" s="122"/>
      <c r="CQ33" s="117"/>
      <c r="CR33" s="118"/>
      <c r="CS33" s="118"/>
      <c r="CT33" s="118"/>
      <c r="CU33" s="118"/>
      <c r="CV33" s="118"/>
      <c r="CW33" s="119"/>
      <c r="CY33" s="99" t="s">
        <v>299</v>
      </c>
      <c r="CZ33" s="260">
        <v>7.3999999999999996E-2</v>
      </c>
      <c r="DA33" s="260">
        <v>0.126</v>
      </c>
      <c r="DB33" s="260"/>
      <c r="DC33" s="260">
        <v>0.16</v>
      </c>
      <c r="DD33" s="260"/>
      <c r="DE33" s="260">
        <v>8.6999999999999994E-2</v>
      </c>
      <c r="DF33" s="174">
        <f>DF34-DF24-DF25-DF26-DF27-DF28-DF29-DF30-DF31-DF32</f>
        <v>17.212374321529161</v>
      </c>
      <c r="DG33" s="175">
        <f t="shared" si="59"/>
        <v>5.9663990101345009E-2</v>
      </c>
      <c r="DJ33" s="132"/>
      <c r="DK33" s="133" t="s">
        <v>186</v>
      </c>
      <c r="DL33" s="133" t="s">
        <v>263</v>
      </c>
      <c r="DM33" s="121"/>
      <c r="DN33" s="121"/>
      <c r="DO33" s="122"/>
      <c r="DQ33" s="199" t="s">
        <v>179</v>
      </c>
      <c r="DR33" s="96" t="s">
        <v>158</v>
      </c>
      <c r="DS33" s="96" t="s">
        <v>159</v>
      </c>
      <c r="DT33" s="96" t="s">
        <v>160</v>
      </c>
      <c r="DU33" s="96" t="s">
        <v>161</v>
      </c>
      <c r="DV33" s="96" t="s">
        <v>162</v>
      </c>
      <c r="DW33" s="96" t="s">
        <v>163</v>
      </c>
      <c r="DX33" s="96" t="s">
        <v>164</v>
      </c>
      <c r="DY33" s="96" t="s">
        <v>165</v>
      </c>
      <c r="DZ33" s="96" t="s">
        <v>166</v>
      </c>
      <c r="EA33" s="96" t="s">
        <v>167</v>
      </c>
      <c r="EB33" s="96" t="s">
        <v>168</v>
      </c>
      <c r="EC33" s="97" t="s">
        <v>169</v>
      </c>
      <c r="ED33" s="235" t="s">
        <v>158</v>
      </c>
      <c r="EE33" s="96" t="s">
        <v>159</v>
      </c>
      <c r="EF33" s="96" t="s">
        <v>160</v>
      </c>
      <c r="EG33" s="96" t="s">
        <v>161</v>
      </c>
      <c r="EH33" s="96" t="s">
        <v>162</v>
      </c>
      <c r="EI33" s="97" t="s">
        <v>163</v>
      </c>
      <c r="EJ33" s="365" t="s">
        <v>166</v>
      </c>
      <c r="EM33" s="199" t="s">
        <v>179</v>
      </c>
      <c r="EN33" s="393" t="s">
        <v>93</v>
      </c>
      <c r="EO33" s="394" t="s">
        <v>94</v>
      </c>
      <c r="EP33" s="394" t="s">
        <v>266</v>
      </c>
      <c r="EQ33" s="395" t="s">
        <v>89</v>
      </c>
      <c r="ER33" s="394" t="s">
        <v>93</v>
      </c>
      <c r="ES33" s="394" t="s">
        <v>94</v>
      </c>
      <c r="ET33" s="394" t="s">
        <v>266</v>
      </c>
      <c r="EU33" s="396" t="s">
        <v>89</v>
      </c>
    </row>
    <row r="34" spans="1:151" ht="16" thickBot="1">
      <c r="A34" s="320" t="s">
        <v>332</v>
      </c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315"/>
      <c r="M34" s="322"/>
      <c r="N34" s="315"/>
      <c r="O34" s="315"/>
      <c r="P34" s="316"/>
      <c r="Q34" s="315"/>
      <c r="R34" s="315"/>
      <c r="S34" s="316"/>
      <c r="T34" s="315"/>
      <c r="U34" s="315"/>
      <c r="V34" s="316"/>
      <c r="W34" s="315"/>
      <c r="X34" s="315"/>
      <c r="Y34" s="324"/>
      <c r="Z34" s="315"/>
      <c r="AA34" s="315"/>
      <c r="AB34" s="316"/>
      <c r="AC34" s="315"/>
      <c r="AD34" s="315"/>
      <c r="AE34" s="316"/>
      <c r="AF34" s="315"/>
      <c r="AG34" s="315"/>
      <c r="AH34" s="316"/>
      <c r="AI34" s="316">
        <f t="shared" ref="AI34:AO34" si="63">AI31*AJ34/AJ31</f>
        <v>9.9860869565217385</v>
      </c>
      <c r="AJ34" s="316">
        <f t="shared" si="63"/>
        <v>20.058260869565217</v>
      </c>
      <c r="AK34" s="324">
        <f t="shared" si="63"/>
        <v>38.739130434782609</v>
      </c>
      <c r="AL34" s="316">
        <f t="shared" si="63"/>
        <v>47.778260869565216</v>
      </c>
      <c r="AM34" s="316">
        <f t="shared" si="63"/>
        <v>61.896521739130428</v>
      </c>
      <c r="AN34" s="316">
        <f t="shared" si="63"/>
        <v>79.544347826086948</v>
      </c>
      <c r="AO34" s="316">
        <f t="shared" si="63"/>
        <v>85.139999999999986</v>
      </c>
      <c r="AP34" s="316">
        <f>AP31*AQ34/AQ31</f>
        <v>89.530434782608694</v>
      </c>
      <c r="AQ34" s="316">
        <f>AQ124</f>
        <v>99</v>
      </c>
      <c r="AR34" s="316">
        <f t="shared" ref="AR34:BG34" si="64">AR124</f>
        <v>139</v>
      </c>
      <c r="AS34" s="316">
        <f t="shared" si="64"/>
        <v>124</v>
      </c>
      <c r="AT34" s="316">
        <f t="shared" si="64"/>
        <v>131</v>
      </c>
      <c r="AU34" s="316">
        <f t="shared" si="64"/>
        <v>142</v>
      </c>
      <c r="AV34" s="316">
        <f t="shared" si="64"/>
        <v>154</v>
      </c>
      <c r="AW34" s="324">
        <f t="shared" si="64"/>
        <v>210</v>
      </c>
      <c r="AX34" s="316">
        <f t="shared" si="64"/>
        <v>256</v>
      </c>
      <c r="AY34" s="316">
        <f t="shared" si="64"/>
        <v>193</v>
      </c>
      <c r="AZ34" s="316">
        <f t="shared" si="64"/>
        <v>165</v>
      </c>
      <c r="BA34" s="316">
        <f t="shared" si="64"/>
        <v>197</v>
      </c>
      <c r="BB34" s="316">
        <f t="shared" si="64"/>
        <v>208</v>
      </c>
      <c r="BC34" s="316">
        <f t="shared" si="64"/>
        <v>194</v>
      </c>
      <c r="BD34" s="316">
        <f t="shared" si="64"/>
        <v>155</v>
      </c>
      <c r="BE34" s="316">
        <f t="shared" si="64"/>
        <v>141</v>
      </c>
      <c r="BF34" s="316">
        <f t="shared" si="64"/>
        <v>147</v>
      </c>
      <c r="BG34" s="317">
        <f t="shared" si="64"/>
        <v>159</v>
      </c>
      <c r="BH34" s="317"/>
      <c r="BI34" s="323"/>
      <c r="BJ34" s="317"/>
      <c r="BK34" s="317"/>
      <c r="BL34" s="317"/>
      <c r="BN34" s="126"/>
      <c r="BO34" s="117"/>
      <c r="BP34" s="118"/>
      <c r="BQ34" s="118"/>
      <c r="BR34" s="118"/>
      <c r="BS34" s="118"/>
      <c r="BT34" s="118"/>
      <c r="BU34" s="118"/>
      <c r="BV34" s="118"/>
      <c r="BW34" s="118"/>
      <c r="BX34" s="118"/>
      <c r="BY34" s="118"/>
      <c r="BZ34" s="118"/>
      <c r="CA34" s="118"/>
      <c r="CB34" s="118"/>
      <c r="CC34" s="118"/>
      <c r="CD34" s="118"/>
      <c r="CE34" s="119"/>
      <c r="CG34" s="128" t="s">
        <v>359</v>
      </c>
      <c r="CH34" s="139">
        <f t="shared" ref="CH34:CH43" si="65">CI34/CI$44</f>
        <v>0.34330088085303656</v>
      </c>
      <c r="CI34" s="160">
        <v>444.3</v>
      </c>
      <c r="CJ34" s="121"/>
      <c r="CK34" s="122"/>
      <c r="CL34" s="122"/>
      <c r="CQ34" s="117"/>
      <c r="CR34" s="118"/>
      <c r="CS34" s="118"/>
      <c r="CT34" s="118"/>
      <c r="CU34" s="118"/>
      <c r="CV34" s="118"/>
      <c r="CW34" s="119"/>
      <c r="CY34" s="157"/>
      <c r="CZ34" s="158">
        <f t="shared" ref="CZ34:DE34" si="66">SUM(CZ24:CZ33)</f>
        <v>1.0009999999999999</v>
      </c>
      <c r="DA34" s="158">
        <f t="shared" si="66"/>
        <v>1.006</v>
      </c>
      <c r="DB34" s="158">
        <f t="shared" si="66"/>
        <v>1</v>
      </c>
      <c r="DC34" s="158">
        <f t="shared" si="66"/>
        <v>1</v>
      </c>
      <c r="DD34" s="158">
        <f t="shared" si="66"/>
        <v>1</v>
      </c>
      <c r="DE34" s="158">
        <f t="shared" si="66"/>
        <v>1.0009999999999999</v>
      </c>
      <c r="DF34" s="200">
        <f>DA66/0.999</f>
        <v>288.48848848848849</v>
      </c>
      <c r="DG34" s="201"/>
      <c r="DJ34" s="128" t="s">
        <v>359</v>
      </c>
      <c r="DK34" s="139">
        <v>9.5000000000000001E-2</v>
      </c>
      <c r="DL34" s="160">
        <f t="shared" ref="DL34:DL40" si="67">DK34*DL$41</f>
        <v>9.5492868550000001</v>
      </c>
      <c r="DM34" s="121"/>
      <c r="DN34" s="121"/>
      <c r="DO34" s="122"/>
      <c r="DQ34" s="131" t="s">
        <v>170</v>
      </c>
      <c r="DR34" s="228">
        <v>0.30199999999999999</v>
      </c>
      <c r="DS34" s="228">
        <v>0.29399999999999998</v>
      </c>
      <c r="DT34" s="228">
        <v>0.29399999999999998</v>
      </c>
      <c r="DU34" s="228">
        <v>0.29399999999999998</v>
      </c>
      <c r="DV34" s="228">
        <v>0.308</v>
      </c>
      <c r="DW34" s="228">
        <v>0.29099999999999998</v>
      </c>
      <c r="DX34" s="228">
        <v>0.27500000000000002</v>
      </c>
      <c r="DY34" s="228">
        <v>0.27</v>
      </c>
      <c r="DZ34" s="228">
        <v>0.28299999999999997</v>
      </c>
      <c r="EA34" s="228">
        <v>0.30299999999999999</v>
      </c>
      <c r="EB34" s="228">
        <v>0.29499999999999998</v>
      </c>
      <c r="EC34" s="229">
        <v>0.28499999999999998</v>
      </c>
      <c r="ED34" s="236">
        <v>0.28299999999999997</v>
      </c>
      <c r="EE34" s="228">
        <v>0.28699999999999998</v>
      </c>
      <c r="EF34" s="228">
        <v>0.28299999999999997</v>
      </c>
      <c r="EG34" s="228">
        <f>68.7/EG49</f>
        <v>0.29171974522292993</v>
      </c>
      <c r="EH34" s="228">
        <f>67.5/EH49</f>
        <v>0.28686782830429236</v>
      </c>
      <c r="EI34" s="229">
        <f>58.5/EI49</f>
        <v>0.26482571299230423</v>
      </c>
      <c r="EJ34" s="363">
        <f>EQ34</f>
        <v>0.20652522354443176</v>
      </c>
      <c r="EM34" s="392" t="s">
        <v>170</v>
      </c>
      <c r="EN34" s="126">
        <v>16.899999999999999</v>
      </c>
      <c r="EO34" s="126">
        <v>191</v>
      </c>
      <c r="EP34" s="126">
        <f>EN34+EO34</f>
        <v>207.9</v>
      </c>
      <c r="EQ34" s="205">
        <f>EP34/EP$49</f>
        <v>0.20652522354443176</v>
      </c>
      <c r="ER34" s="126">
        <f>EN34*0.115</f>
        <v>1.9435</v>
      </c>
      <c r="ES34" s="126">
        <f>EO34*0.035</f>
        <v>6.6850000000000005</v>
      </c>
      <c r="ET34" s="126">
        <f>ER34+ES34</f>
        <v>8.6285000000000007</v>
      </c>
      <c r="EU34" s="175">
        <f>ET34/ET$49</f>
        <v>0.19860505526686004</v>
      </c>
    </row>
    <row r="35" spans="1:151">
      <c r="A35" s="5" t="s">
        <v>328</v>
      </c>
      <c r="M35" s="115"/>
      <c r="Y35" s="115"/>
      <c r="AI35" s="209">
        <f>AI34/AI32*1000</f>
        <v>4.9930434782608693</v>
      </c>
      <c r="AJ35" s="209">
        <f t="shared" ref="AJ35:AQ35" si="68">AJ34/AJ32*1000</f>
        <v>3.8206211180124221</v>
      </c>
      <c r="AK35" s="210">
        <f t="shared" si="68"/>
        <v>4.9985974754558198</v>
      </c>
      <c r="AL35" s="209">
        <f t="shared" si="68"/>
        <v>4.9003344481605344</v>
      </c>
      <c r="AM35" s="209">
        <f t="shared" si="68"/>
        <v>5.271986841129344</v>
      </c>
      <c r="AN35" s="209">
        <f t="shared" si="68"/>
        <v>5.6263932980064979</v>
      </c>
      <c r="AO35" s="209">
        <f t="shared" si="68"/>
        <v>5.0011179354853255</v>
      </c>
      <c r="AP35" s="209">
        <f t="shared" si="68"/>
        <v>4.3673382820784727</v>
      </c>
      <c r="AQ35" s="209">
        <f t="shared" si="68"/>
        <v>4.5164187644863212</v>
      </c>
      <c r="AR35" s="209">
        <f>AR34/AR32*1000</f>
        <v>5.9304367494086021</v>
      </c>
      <c r="AS35" s="209">
        <f>AS34/AS32*1000</f>
        <v>4.9477350225905861</v>
      </c>
      <c r="AT35" s="209">
        <f>AT34/AT32*1000</f>
        <v>4.8446745562130173</v>
      </c>
      <c r="AU35" s="209">
        <f t="shared" ref="AU35:AZ35" si="69">AU34/AU32*1000</f>
        <v>4.9220103986135184</v>
      </c>
      <c r="AV35" s="209">
        <f t="shared" si="69"/>
        <v>5.0641236435383092</v>
      </c>
      <c r="AW35" s="210">
        <f t="shared" si="69"/>
        <v>6.2574493444576884</v>
      </c>
      <c r="AX35" s="209">
        <f t="shared" si="69"/>
        <v>6.8577551567104207</v>
      </c>
      <c r="AY35" s="209">
        <f t="shared" si="69"/>
        <v>4.9729451172378258</v>
      </c>
      <c r="AZ35" s="209">
        <f t="shared" si="69"/>
        <v>4.1291291291291286</v>
      </c>
      <c r="BA35" s="209">
        <f t="shared" ref="BA35:BE35" si="70">BA34/BA32*1000</f>
        <v>4.8367296832801383</v>
      </c>
      <c r="BB35" s="209">
        <f t="shared" si="70"/>
        <v>5.0608272506082725</v>
      </c>
      <c r="BC35" s="209">
        <f t="shared" si="70"/>
        <v>4.6746987951807233</v>
      </c>
      <c r="BD35" s="209">
        <f t="shared" si="70"/>
        <v>3.6992840095465396</v>
      </c>
      <c r="BE35" s="209">
        <f t="shared" si="70"/>
        <v>3.3333333333333335</v>
      </c>
      <c r="BF35" s="209"/>
      <c r="BG35" s="209"/>
      <c r="BH35" s="209"/>
      <c r="BI35" s="210"/>
      <c r="BJ35" s="209"/>
      <c r="BK35" s="209"/>
      <c r="BL35" s="209"/>
      <c r="BN35" s="260"/>
      <c r="BO35" s="117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9"/>
      <c r="CG35" s="128" t="s">
        <v>69</v>
      </c>
      <c r="CH35" s="139">
        <f t="shared" si="65"/>
        <v>0.20630505331478902</v>
      </c>
      <c r="CI35" s="160">
        <v>267</v>
      </c>
      <c r="CJ35" s="121"/>
      <c r="CK35" s="122"/>
      <c r="CL35" s="122"/>
      <c r="CQ35" s="117"/>
      <c r="CR35" s="118"/>
      <c r="CS35" s="118"/>
      <c r="CT35" s="118"/>
      <c r="CU35" s="118"/>
      <c r="CV35" s="118"/>
      <c r="CW35" s="119"/>
      <c r="DJ35" s="128" t="s">
        <v>247</v>
      </c>
      <c r="DK35" s="139">
        <v>0.24099999999999999</v>
      </c>
      <c r="DL35" s="160">
        <f t="shared" si="67"/>
        <v>24.225032969000001</v>
      </c>
      <c r="DM35" s="121"/>
      <c r="DN35" s="121"/>
      <c r="DO35" s="122"/>
      <c r="DQ35" s="131" t="s">
        <v>171</v>
      </c>
      <c r="DR35" s="228">
        <v>0.14399999999999999</v>
      </c>
      <c r="DS35" s="226">
        <v>0.16700000000000001</v>
      </c>
      <c r="DT35" s="226">
        <v>0.158</v>
      </c>
      <c r="DU35" s="226">
        <v>0.16400000000000001</v>
      </c>
      <c r="DV35" s="226">
        <v>0.14699999999999999</v>
      </c>
      <c r="DW35" s="226">
        <v>0.151</v>
      </c>
      <c r="DX35" s="226">
        <v>0.153</v>
      </c>
      <c r="DY35" s="226">
        <v>0.151</v>
      </c>
      <c r="DZ35" s="226">
        <v>0.157</v>
      </c>
      <c r="EA35" s="226">
        <v>0.156</v>
      </c>
      <c r="EB35" s="226">
        <v>0.15</v>
      </c>
      <c r="EC35" s="227">
        <v>0.158</v>
      </c>
      <c r="ED35" s="237">
        <v>0.15</v>
      </c>
      <c r="EE35" s="226">
        <v>0.14899999999999999</v>
      </c>
      <c r="EF35" s="226">
        <v>0.13500000000000001</v>
      </c>
      <c r="EG35" s="226">
        <f>34.2/EG49</f>
        <v>0.14522292993630576</v>
      </c>
      <c r="EH35" s="226">
        <f>33.5/EH49</f>
        <v>0.14237144071398214</v>
      </c>
      <c r="EI35" s="227">
        <f>31.4/EI49+0.004</f>
        <v>0.14614576731552739</v>
      </c>
      <c r="EJ35" s="363">
        <f t="shared" ref="EJ35:EJ48" si="71">EQ35</f>
        <v>0.14404116120222513</v>
      </c>
      <c r="EM35" s="392" t="s">
        <v>171</v>
      </c>
      <c r="EN35" s="126">
        <v>14.5</v>
      </c>
      <c r="EO35" s="126">
        <v>130.5</v>
      </c>
      <c r="EP35" s="126">
        <f t="shared" ref="EP35:EP48" si="72">EN35+EO35</f>
        <v>145</v>
      </c>
      <c r="EQ35" s="205">
        <f t="shared" ref="EQ35:EQ49" si="73">EP35/EP$49</f>
        <v>0.14404116120222513</v>
      </c>
      <c r="ER35" s="126">
        <f t="shared" ref="ER35:ER48" si="74">EN35*0.115</f>
        <v>1.6675</v>
      </c>
      <c r="ES35" s="126">
        <f t="shared" ref="ES35:ES48" si="75">EO35*0.035</f>
        <v>4.5675000000000008</v>
      </c>
      <c r="ET35" s="126">
        <f t="shared" ref="ET35:ET48" si="76">ER35+ES35</f>
        <v>6.2350000000000012</v>
      </c>
      <c r="EU35" s="175">
        <f t="shared" ref="EU35:EU49" si="77">ET35/ET$49</f>
        <v>0.14351306943140435</v>
      </c>
    </row>
    <row r="36" spans="1:151">
      <c r="A36" s="321" t="s">
        <v>334</v>
      </c>
      <c r="B36" s="317"/>
      <c r="C36" s="317"/>
      <c r="D36" s="317"/>
      <c r="E36" s="317"/>
      <c r="F36" s="317"/>
      <c r="G36" s="317"/>
      <c r="H36" s="317"/>
      <c r="I36" s="317"/>
      <c r="J36" s="317"/>
      <c r="K36" s="317"/>
      <c r="L36" s="317"/>
      <c r="M36" s="323"/>
      <c r="N36" s="317"/>
      <c r="O36" s="317"/>
      <c r="P36" s="317"/>
      <c r="Q36" s="317"/>
      <c r="R36" s="317"/>
      <c r="S36" s="317"/>
      <c r="T36" s="317"/>
      <c r="U36" s="317"/>
      <c r="V36" s="317"/>
      <c r="W36" s="317"/>
      <c r="X36" s="317"/>
      <c r="Y36" s="323"/>
      <c r="Z36" s="317"/>
      <c r="AA36" s="317"/>
      <c r="AB36" s="317"/>
      <c r="AC36" s="317"/>
      <c r="AD36" s="317"/>
      <c r="AE36" s="317"/>
      <c r="AF36" s="317"/>
      <c r="AG36" s="317"/>
      <c r="AH36" s="317"/>
      <c r="AI36" s="317">
        <f>AI35/31*1000*7</f>
        <v>1127.4614305750349</v>
      </c>
      <c r="AJ36" s="317">
        <f>AJ35/30*1000*7</f>
        <v>891.47826086956525</v>
      </c>
      <c r="AK36" s="323">
        <f t="shared" ref="AK36:AP36" si="78">AK35/31*1000*7</f>
        <v>1128.715558973895</v>
      </c>
      <c r="AL36" s="317">
        <f t="shared" si="78"/>
        <v>1106.5271334556044</v>
      </c>
      <c r="AM36" s="317">
        <f>AM35/28*1000*7</f>
        <v>1317.9967102823359</v>
      </c>
      <c r="AN36" s="317">
        <f t="shared" si="78"/>
        <v>1270.4759060014671</v>
      </c>
      <c r="AO36" s="317">
        <f>AO35/30*1000*7</f>
        <v>1166.9275182799092</v>
      </c>
      <c r="AP36" s="317">
        <f t="shared" si="78"/>
        <v>986.17316046933263</v>
      </c>
      <c r="AQ36" s="317">
        <f>AQ35/30*1000*7</f>
        <v>1053.8310450468082</v>
      </c>
      <c r="AR36" s="317">
        <f>AR35/31*1000*7</f>
        <v>1339.1308788987164</v>
      </c>
      <c r="AS36" s="317">
        <f>AS35/31*1000*7</f>
        <v>1117.2304889720679</v>
      </c>
      <c r="AT36" s="317">
        <f>AT35/31*1000*7</f>
        <v>1093.9587707577782</v>
      </c>
      <c r="AU36" s="317">
        <f t="shared" ref="AU36:AZ36" si="79">AU35/31*1000*7</f>
        <v>1111.4217029127299</v>
      </c>
      <c r="AV36" s="317">
        <f t="shared" si="79"/>
        <v>1143.5117904763922</v>
      </c>
      <c r="AW36" s="323">
        <f t="shared" si="79"/>
        <v>1412.972432619478</v>
      </c>
      <c r="AX36" s="317">
        <f t="shared" si="79"/>
        <v>1548.5253579668693</v>
      </c>
      <c r="AY36" s="317">
        <f t="shared" si="79"/>
        <v>1122.9230909891864</v>
      </c>
      <c r="AZ36" s="317">
        <f t="shared" si="79"/>
        <v>932.38399690012579</v>
      </c>
      <c r="BA36" s="317">
        <f t="shared" ref="BA36:BG36" si="80">BA35/31*1000*7</f>
        <v>1092.1647671922892</v>
      </c>
      <c r="BB36" s="317">
        <f t="shared" si="80"/>
        <v>1142.767443685739</v>
      </c>
      <c r="BC36" s="317">
        <f t="shared" si="80"/>
        <v>1055.5771472988729</v>
      </c>
      <c r="BD36" s="317">
        <f t="shared" si="80"/>
        <v>835.32219570405732</v>
      </c>
      <c r="BE36" s="317">
        <f t="shared" si="80"/>
        <v>752.68817204301081</v>
      </c>
      <c r="BF36" s="317">
        <f t="shared" si="80"/>
        <v>0</v>
      </c>
      <c r="BG36" s="317">
        <f t="shared" si="80"/>
        <v>0</v>
      </c>
      <c r="BH36" s="317">
        <f t="shared" ref="BH36:BL36" si="81">BH35/31*1000*7</f>
        <v>0</v>
      </c>
      <c r="BI36" s="323">
        <f t="shared" si="81"/>
        <v>0</v>
      </c>
      <c r="BJ36" s="317">
        <f t="shared" si="81"/>
        <v>0</v>
      </c>
      <c r="BK36" s="317">
        <f t="shared" si="81"/>
        <v>0</v>
      </c>
      <c r="BL36" s="317">
        <f t="shared" si="81"/>
        <v>0</v>
      </c>
      <c r="BN36" s="126"/>
      <c r="BO36" s="117"/>
      <c r="BP36" s="118"/>
      <c r="BQ36" s="118"/>
      <c r="BR36" s="118"/>
      <c r="BS36" s="118"/>
      <c r="BT36" s="118"/>
      <c r="BU36" s="118"/>
      <c r="BV36" s="118"/>
      <c r="BW36" s="118"/>
      <c r="BX36" s="118"/>
      <c r="BY36" s="118"/>
      <c r="BZ36" s="118"/>
      <c r="CA36" s="118"/>
      <c r="CB36" s="118"/>
      <c r="CC36" s="118"/>
      <c r="CD36" s="118"/>
      <c r="CE36" s="119"/>
      <c r="CG36" s="128" t="s">
        <v>270</v>
      </c>
      <c r="CH36" s="139">
        <f t="shared" si="65"/>
        <v>0.10160717045278934</v>
      </c>
      <c r="CI36" s="160">
        <v>131.5</v>
      </c>
      <c r="CJ36" s="121"/>
      <c r="CK36" s="122"/>
      <c r="CL36" s="122"/>
      <c r="CQ36" s="117"/>
      <c r="CR36" s="118"/>
      <c r="CS36" s="118"/>
      <c r="CT36" s="118"/>
      <c r="CU36" s="118"/>
      <c r="CV36" s="118"/>
      <c r="CW36" s="119"/>
      <c r="CY36" s="111" t="s">
        <v>133</v>
      </c>
      <c r="DJ36" s="128" t="s">
        <v>270</v>
      </c>
      <c r="DK36" s="139">
        <v>9.5000000000000001E-2</v>
      </c>
      <c r="DL36" s="160">
        <f t="shared" si="67"/>
        <v>9.5492868550000001</v>
      </c>
      <c r="DM36" s="121"/>
      <c r="DN36" s="121"/>
      <c r="DO36" s="122"/>
      <c r="DQ36" s="131" t="s">
        <v>288</v>
      </c>
      <c r="DR36" s="228">
        <v>0.17399999999999999</v>
      </c>
      <c r="DS36" s="228">
        <v>0.17399999999999999</v>
      </c>
      <c r="DT36" s="228">
        <v>0.187</v>
      </c>
      <c r="DU36" s="228">
        <v>0.188</v>
      </c>
      <c r="DV36" s="228">
        <v>0.193</v>
      </c>
      <c r="DW36" s="228">
        <v>0.20699999999999999</v>
      </c>
      <c r="DX36" s="228">
        <v>0.21199999999999999</v>
      </c>
      <c r="DY36" s="228">
        <v>0.224</v>
      </c>
      <c r="DZ36" s="228">
        <v>0.217</v>
      </c>
      <c r="EA36" s="228">
        <v>0.223</v>
      </c>
      <c r="EB36" s="228">
        <v>0.23300000000000001</v>
      </c>
      <c r="EC36" s="229">
        <v>0.23</v>
      </c>
      <c r="ED36" s="236">
        <v>0.23899999999999999</v>
      </c>
      <c r="EE36" s="228">
        <v>0.22500000000000001</v>
      </c>
      <c r="EF36" s="228">
        <v>0.22800000000000001</v>
      </c>
      <c r="EG36" s="228">
        <f>57/EG49</f>
        <v>0.24203821656050956</v>
      </c>
      <c r="EH36" s="228">
        <f>61.8/EH49</f>
        <v>0.26264343391415212</v>
      </c>
      <c r="EI36" s="229">
        <f>60.9/EI49</f>
        <v>0.27569035762788591</v>
      </c>
      <c r="EJ36" s="363">
        <f t="shared" si="71"/>
        <v>0.2438765867251467</v>
      </c>
      <c r="EM36" s="392" t="s">
        <v>288</v>
      </c>
      <c r="EN36" s="126">
        <v>37.1</v>
      </c>
      <c r="EO36" s="126">
        <v>208.4</v>
      </c>
      <c r="EP36" s="126">
        <f t="shared" si="72"/>
        <v>245.5</v>
      </c>
      <c r="EQ36" s="205">
        <f t="shared" si="73"/>
        <v>0.2438765867251467</v>
      </c>
      <c r="ER36" s="126">
        <f t="shared" si="74"/>
        <v>4.2665000000000006</v>
      </c>
      <c r="ES36" s="126">
        <f t="shared" si="75"/>
        <v>7.2940000000000005</v>
      </c>
      <c r="ET36" s="126">
        <f t="shared" si="76"/>
        <v>11.560500000000001</v>
      </c>
      <c r="EU36" s="175">
        <f t="shared" si="77"/>
        <v>0.26609187476531676</v>
      </c>
    </row>
    <row r="37" spans="1:151">
      <c r="A37" s="5" t="s">
        <v>329</v>
      </c>
      <c r="M37" s="115"/>
      <c r="Y37" s="115"/>
      <c r="AI37" s="209">
        <f t="shared" ref="AI37:AQ37" si="82">AI13*0.02</f>
        <v>2.3199999999999998</v>
      </c>
      <c r="AJ37" s="209">
        <f t="shared" si="82"/>
        <v>4.66</v>
      </c>
      <c r="AK37" s="210">
        <f t="shared" si="82"/>
        <v>9</v>
      </c>
      <c r="AL37" s="209">
        <f t="shared" si="82"/>
        <v>11.1</v>
      </c>
      <c r="AM37" s="209">
        <f t="shared" si="82"/>
        <v>14.38</v>
      </c>
      <c r="AN37" s="209">
        <f t="shared" si="82"/>
        <v>18.48</v>
      </c>
      <c r="AO37" s="209">
        <f t="shared" si="82"/>
        <v>19.78</v>
      </c>
      <c r="AP37" s="209">
        <f t="shared" si="82"/>
        <v>20.8</v>
      </c>
      <c r="AQ37" s="209">
        <f t="shared" si="82"/>
        <v>23</v>
      </c>
      <c r="AR37" s="209">
        <f>AR13*0.02</f>
        <v>23.68</v>
      </c>
      <c r="AS37" s="209">
        <f>AS13*0.02</f>
        <v>21.02</v>
      </c>
      <c r="AT37" s="209">
        <f>AT13*0.02</f>
        <v>22.3</v>
      </c>
      <c r="AU37" s="209">
        <f t="shared" ref="AU37:AZ37" si="83">AU13*0.02</f>
        <v>24.22</v>
      </c>
      <c r="AV37" s="209">
        <f t="shared" si="83"/>
        <v>26.14</v>
      </c>
      <c r="AW37" s="210">
        <f t="shared" si="83"/>
        <v>35.800000000000004</v>
      </c>
      <c r="AX37" s="209">
        <f t="shared" si="83"/>
        <v>44.32</v>
      </c>
      <c r="AY37" s="209">
        <f t="shared" si="83"/>
        <v>33.020000000000003</v>
      </c>
      <c r="AZ37" s="209">
        <f t="shared" si="83"/>
        <v>28.02</v>
      </c>
      <c r="BA37" s="209">
        <f t="shared" ref="BA37:BB37" si="84">BA13*0.02</f>
        <v>33.980000000000004</v>
      </c>
      <c r="BB37" s="209">
        <f t="shared" si="84"/>
        <v>36.1</v>
      </c>
      <c r="BC37" s="209">
        <f t="shared" ref="BC37:BE37" si="85">BC13*0.02</f>
        <v>33.56</v>
      </c>
      <c r="BD37" s="209">
        <f t="shared" si="85"/>
        <v>26.740000000000002</v>
      </c>
      <c r="BE37" s="209">
        <f t="shared" si="85"/>
        <v>24.46</v>
      </c>
      <c r="BF37" s="209"/>
      <c r="BG37" s="209"/>
      <c r="BH37" s="209"/>
      <c r="BI37" s="210"/>
      <c r="BJ37" s="209"/>
      <c r="BK37" s="209"/>
      <c r="BL37" s="209"/>
      <c r="BN37" s="126"/>
      <c r="BO37" s="117"/>
      <c r="BP37" s="118"/>
      <c r="BQ37" s="118"/>
      <c r="BR37" s="118"/>
      <c r="BS37" s="118"/>
      <c r="BT37" s="118"/>
      <c r="BU37" s="118"/>
      <c r="BV37" s="118"/>
      <c r="BW37" s="118"/>
      <c r="BX37" s="118"/>
      <c r="BY37" s="118"/>
      <c r="BZ37" s="118"/>
      <c r="CA37" s="118"/>
      <c r="CB37" s="118"/>
      <c r="CC37" s="118"/>
      <c r="CD37" s="118"/>
      <c r="CE37" s="119"/>
      <c r="CG37" s="128" t="s">
        <v>360</v>
      </c>
      <c r="CH37" s="139">
        <f t="shared" si="65"/>
        <v>0.10052542110956574</v>
      </c>
      <c r="CI37" s="160">
        <v>130.1</v>
      </c>
      <c r="CJ37" s="121"/>
      <c r="CK37" s="122"/>
      <c r="CL37" s="122"/>
      <c r="CQ37" s="117"/>
      <c r="CR37" s="118"/>
      <c r="CS37" s="118"/>
      <c r="CT37" s="118"/>
      <c r="CU37" s="118"/>
      <c r="CV37" s="118"/>
      <c r="CW37" s="119"/>
      <c r="DJ37" s="128" t="s">
        <v>360</v>
      </c>
      <c r="DK37" s="139">
        <v>0.30199999999999999</v>
      </c>
      <c r="DL37" s="160">
        <f t="shared" si="67"/>
        <v>30.356680317999999</v>
      </c>
      <c r="DM37" s="121"/>
      <c r="DN37" s="121"/>
      <c r="DO37" s="122"/>
      <c r="DQ37" s="131" t="s">
        <v>247</v>
      </c>
      <c r="DR37" s="228">
        <v>0.11600000000000001</v>
      </c>
      <c r="DS37" s="228">
        <v>0.111</v>
      </c>
      <c r="DT37" s="228">
        <v>0.11</v>
      </c>
      <c r="DU37" s="228">
        <v>0.112</v>
      </c>
      <c r="DV37" s="228">
        <v>0.105</v>
      </c>
      <c r="DW37" s="228">
        <v>0.108</v>
      </c>
      <c r="DX37" s="228">
        <v>0.113</v>
      </c>
      <c r="DY37" s="228">
        <v>0.112</v>
      </c>
      <c r="DZ37" s="228">
        <v>0.109</v>
      </c>
      <c r="EA37" s="228">
        <v>0.10299999999999999</v>
      </c>
      <c r="EB37" s="228">
        <v>0.108</v>
      </c>
      <c r="EC37" s="229">
        <v>0.11700000000000001</v>
      </c>
      <c r="ED37" s="236">
        <v>0.11799999999999999</v>
      </c>
      <c r="EE37" s="228">
        <v>0.114</v>
      </c>
      <c r="EF37" s="228">
        <v>0.112</v>
      </c>
      <c r="EG37" s="228">
        <f>26.5/EG49</f>
        <v>0.11252653927813164</v>
      </c>
      <c r="EH37" s="228">
        <f>31.5/EH49</f>
        <v>0.13387165320866978</v>
      </c>
      <c r="EI37" s="229">
        <f>28.2/EI49</f>
        <v>0.1276595744680851</v>
      </c>
      <c r="EJ37" s="363">
        <f t="shared" si="71"/>
        <v>0.14682264569440603</v>
      </c>
      <c r="EM37" s="392" t="s">
        <v>247</v>
      </c>
      <c r="EN37" s="126">
        <v>12.8</v>
      </c>
      <c r="EO37" s="126">
        <v>135</v>
      </c>
      <c r="EP37" s="126">
        <f t="shared" si="72"/>
        <v>147.80000000000001</v>
      </c>
      <c r="EQ37" s="205">
        <f t="shared" si="73"/>
        <v>0.14682264569440603</v>
      </c>
      <c r="ER37" s="126">
        <f t="shared" si="74"/>
        <v>1.4720000000000002</v>
      </c>
      <c r="ES37" s="126">
        <f t="shared" si="75"/>
        <v>4.7250000000000005</v>
      </c>
      <c r="ET37" s="126">
        <f t="shared" si="76"/>
        <v>6.197000000000001</v>
      </c>
      <c r="EU37" s="175">
        <f t="shared" si="77"/>
        <v>0.14263841078851849</v>
      </c>
    </row>
    <row r="38" spans="1:151" ht="16" thickBot="1">
      <c r="A38" s="217" t="s">
        <v>330</v>
      </c>
      <c r="B38" s="218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9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9"/>
      <c r="Z38" s="218"/>
      <c r="AA38" s="218"/>
      <c r="AB38" s="218"/>
      <c r="AC38" s="218"/>
      <c r="AD38" s="218"/>
      <c r="AE38" s="218"/>
      <c r="AF38" s="218"/>
      <c r="AG38" s="218"/>
      <c r="AH38" s="218"/>
      <c r="AI38" s="319">
        <f>AI34-AI37</f>
        <v>7.6660869565217382</v>
      </c>
      <c r="AJ38" s="319">
        <f t="shared" ref="AJ38:AQ38" si="86">AJ34-AJ37</f>
        <v>15.398260869565217</v>
      </c>
      <c r="AK38" s="326">
        <f t="shared" si="86"/>
        <v>29.739130434782609</v>
      </c>
      <c r="AL38" s="319">
        <f t="shared" si="86"/>
        <v>36.678260869565214</v>
      </c>
      <c r="AM38" s="319">
        <f t="shared" si="86"/>
        <v>47.516521739130425</v>
      </c>
      <c r="AN38" s="319">
        <f t="shared" si="86"/>
        <v>61.064347826086944</v>
      </c>
      <c r="AO38" s="319">
        <f t="shared" si="86"/>
        <v>65.359999999999985</v>
      </c>
      <c r="AP38" s="319">
        <f t="shared" si="86"/>
        <v>68.730434782608697</v>
      </c>
      <c r="AQ38" s="319">
        <f t="shared" si="86"/>
        <v>76</v>
      </c>
      <c r="AR38" s="319">
        <f>AR34-AR37</f>
        <v>115.32</v>
      </c>
      <c r="AS38" s="319">
        <f>AS34-AS37</f>
        <v>102.98</v>
      </c>
      <c r="AT38" s="319">
        <f>AT34-AT37</f>
        <v>108.7</v>
      </c>
      <c r="AU38" s="319">
        <f t="shared" ref="AU38:AZ38" si="87">AU34-AU37</f>
        <v>117.78</v>
      </c>
      <c r="AV38" s="319">
        <f t="shared" si="87"/>
        <v>127.86</v>
      </c>
      <c r="AW38" s="326">
        <f t="shared" si="87"/>
        <v>174.2</v>
      </c>
      <c r="AX38" s="319">
        <f t="shared" si="87"/>
        <v>211.68</v>
      </c>
      <c r="AY38" s="319">
        <f t="shared" si="87"/>
        <v>159.97999999999999</v>
      </c>
      <c r="AZ38" s="319">
        <f t="shared" si="87"/>
        <v>136.97999999999999</v>
      </c>
      <c r="BA38" s="319">
        <f t="shared" ref="BA38:BB38" si="88">BA34-BA37</f>
        <v>163.01999999999998</v>
      </c>
      <c r="BB38" s="319">
        <f t="shared" si="88"/>
        <v>171.9</v>
      </c>
      <c r="BC38" s="319">
        <f t="shared" ref="BC38:BE38" si="89">BC34-BC37</f>
        <v>160.44</v>
      </c>
      <c r="BD38" s="319">
        <f t="shared" si="89"/>
        <v>128.26</v>
      </c>
      <c r="BE38" s="319">
        <f t="shared" si="89"/>
        <v>116.53999999999999</v>
      </c>
      <c r="BF38" s="209"/>
      <c r="BG38" s="209"/>
      <c r="BH38" s="209"/>
      <c r="BI38" s="326"/>
      <c r="BJ38" s="209"/>
      <c r="BK38" s="209"/>
      <c r="BL38" s="209"/>
      <c r="BN38" s="126"/>
      <c r="BO38" s="117"/>
      <c r="BP38" s="118"/>
      <c r="BQ38" s="118"/>
      <c r="BR38" s="118"/>
      <c r="BS38" s="118"/>
      <c r="BT38" s="118"/>
      <c r="BU38" s="118"/>
      <c r="BV38" s="118"/>
      <c r="BW38" s="118"/>
      <c r="BX38" s="118"/>
      <c r="BY38" s="118"/>
      <c r="BZ38" s="118"/>
      <c r="CA38" s="118"/>
      <c r="CB38" s="118"/>
      <c r="CC38" s="118"/>
      <c r="CD38" s="118"/>
      <c r="CE38" s="119"/>
      <c r="CG38" s="128" t="s">
        <v>70</v>
      </c>
      <c r="CH38" s="139">
        <f t="shared" si="65"/>
        <v>5.7796322052233028E-2</v>
      </c>
      <c r="CI38" s="160">
        <v>74.8</v>
      </c>
      <c r="CJ38" s="121"/>
      <c r="CK38" s="122"/>
      <c r="CL38" s="122"/>
      <c r="CQ38" s="117"/>
      <c r="CR38" s="118"/>
      <c r="CS38" s="118"/>
      <c r="CT38" s="118"/>
      <c r="CU38" s="118"/>
      <c r="CV38" s="118"/>
      <c r="CW38" s="119"/>
      <c r="CY38" s="129"/>
      <c r="CZ38" s="130" t="s">
        <v>136</v>
      </c>
      <c r="DA38" s="130" t="s">
        <v>263</v>
      </c>
      <c r="DJ38" s="128" t="s">
        <v>193</v>
      </c>
      <c r="DK38" s="139">
        <v>4.7E-2</v>
      </c>
      <c r="DL38" s="160">
        <f t="shared" si="67"/>
        <v>4.7243840229999998</v>
      </c>
      <c r="DM38" s="121"/>
      <c r="DN38" s="121"/>
      <c r="DO38" s="122"/>
      <c r="DQ38" s="131" t="s">
        <v>172</v>
      </c>
      <c r="DR38" s="228">
        <v>7.2999999999999995E-2</v>
      </c>
      <c r="DS38" s="228">
        <v>7.0000000000000007E-2</v>
      </c>
      <c r="DT38" s="228">
        <v>6.5000000000000002E-2</v>
      </c>
      <c r="DU38" s="228">
        <v>6.3E-2</v>
      </c>
      <c r="DV38" s="228">
        <v>5.8000000000000003E-2</v>
      </c>
      <c r="DW38" s="228">
        <v>5.7000000000000002E-2</v>
      </c>
      <c r="DX38" s="228">
        <v>6.0999999999999999E-2</v>
      </c>
      <c r="DY38" s="228">
        <v>5.8000000000000003E-2</v>
      </c>
      <c r="DZ38" s="228">
        <v>5.3999999999999999E-2</v>
      </c>
      <c r="EA38" s="228">
        <v>5.8000000000000003E-2</v>
      </c>
      <c r="EB38" s="228">
        <v>5.5E-2</v>
      </c>
      <c r="EC38" s="229">
        <v>5.6000000000000001E-2</v>
      </c>
      <c r="ED38" s="236">
        <v>5.3999999999999999E-2</v>
      </c>
      <c r="EE38" s="228">
        <v>5.0999999999999997E-2</v>
      </c>
      <c r="EF38" s="228">
        <v>4.4999999999999998E-2</v>
      </c>
      <c r="EG38" s="228">
        <f>11.3/EG49</f>
        <v>4.7983014861995757E-2</v>
      </c>
      <c r="EH38" s="228">
        <f>11.3/EH49</f>
        <v>4.8023799405014875E-2</v>
      </c>
      <c r="EI38" s="229">
        <f>11.3/EI49</f>
        <v>5.1154368492530557E-2</v>
      </c>
      <c r="EJ38" s="363">
        <f t="shared" si="71"/>
        <v>3.93629725009529E-2</v>
      </c>
      <c r="EM38" s="392" t="s">
        <v>172</v>
      </c>
      <c r="EN38" s="126">
        <v>4</v>
      </c>
      <c r="EO38" s="403">
        <f>EN38/EN44*EO44*0.5</f>
        <v>35.625</v>
      </c>
      <c r="EP38" s="126">
        <f t="shared" si="72"/>
        <v>39.625</v>
      </c>
      <c r="EQ38" s="205">
        <f t="shared" si="73"/>
        <v>3.93629725009529E-2</v>
      </c>
      <c r="ER38" s="126">
        <f t="shared" si="74"/>
        <v>0.46</v>
      </c>
      <c r="ES38" s="126">
        <f t="shared" si="75"/>
        <v>1.2468750000000002</v>
      </c>
      <c r="ET38" s="126">
        <f t="shared" si="76"/>
        <v>1.7068750000000001</v>
      </c>
      <c r="EU38" s="175">
        <f t="shared" si="77"/>
        <v>3.9287709765152889E-2</v>
      </c>
    </row>
    <row r="39" spans="1:151" ht="16" thickBot="1">
      <c r="AI39" s="209"/>
      <c r="AJ39" s="209"/>
      <c r="AK39" s="564">
        <f t="shared" ref="AK39:BC39" si="90">(AI34+AJ34+AK34)/((AI32+AJ32+AK32)/3)*1000000/(AI27+AJ27+AK27)</f>
        <v>149.52930056710778</v>
      </c>
      <c r="AL39" s="565"/>
      <c r="AM39" s="565"/>
      <c r="AN39" s="565">
        <f t="shared" si="90"/>
        <v>177.0304442255065</v>
      </c>
      <c r="AO39" s="565"/>
      <c r="AP39" s="565"/>
      <c r="AQ39" s="565">
        <f t="shared" si="90"/>
        <v>151.77426615192272</v>
      </c>
      <c r="AR39" s="565"/>
      <c r="AS39" s="565"/>
      <c r="AT39" s="565">
        <f t="shared" si="90"/>
        <v>170.07891487541715</v>
      </c>
      <c r="AU39" s="565"/>
      <c r="AV39" s="565"/>
      <c r="AW39" s="565">
        <f t="shared" si="90"/>
        <v>177.7634130575307</v>
      </c>
      <c r="AX39" s="565"/>
      <c r="AY39" s="565"/>
      <c r="AZ39" s="565">
        <f t="shared" si="90"/>
        <v>174.34761620808135</v>
      </c>
      <c r="BA39" s="565"/>
      <c r="BB39" s="565"/>
      <c r="BC39" s="565">
        <f t="shared" si="90"/>
        <v>160.11718760441698</v>
      </c>
      <c r="BD39" s="565"/>
      <c r="BE39" s="565"/>
      <c r="BF39" s="565">
        <f t="shared" ref="BF39" si="91">(BD34+BE34+BF34)/((BD32+BE32+BF32)/3)*1000000/(BD27+BE27+BF27)</f>
        <v>171.56356501084375</v>
      </c>
      <c r="BG39" s="565"/>
      <c r="BH39" s="565"/>
      <c r="BI39" s="565"/>
      <c r="BJ39" s="565"/>
      <c r="BK39" s="565"/>
      <c r="BL39" s="565"/>
      <c r="BN39" s="126"/>
      <c r="BO39" s="117"/>
      <c r="BP39" s="118"/>
      <c r="BQ39" s="118"/>
      <c r="BR39" s="118"/>
      <c r="BS39" s="118"/>
      <c r="BT39" s="118"/>
      <c r="BU39" s="118"/>
      <c r="BV39" s="118"/>
      <c r="BW39" s="118"/>
      <c r="BX39" s="118"/>
      <c r="BY39" s="118"/>
      <c r="BZ39" s="118"/>
      <c r="CA39" s="118"/>
      <c r="CB39" s="118"/>
      <c r="CC39" s="118"/>
      <c r="CD39" s="118"/>
      <c r="CE39" s="119"/>
      <c r="CG39" s="128" t="s">
        <v>193</v>
      </c>
      <c r="CH39" s="139">
        <f t="shared" si="65"/>
        <v>4.6128882707464063E-2</v>
      </c>
      <c r="CI39" s="160">
        <v>59.7</v>
      </c>
      <c r="CJ39" s="121"/>
      <c r="CK39" s="122"/>
      <c r="CL39" s="122"/>
      <c r="CQ39" s="117"/>
      <c r="CR39" s="118"/>
      <c r="CS39" s="118"/>
      <c r="CT39" s="118"/>
      <c r="CU39" s="118"/>
      <c r="CV39" s="118"/>
      <c r="CW39" s="119"/>
      <c r="CY39" s="99" t="s">
        <v>358</v>
      </c>
      <c r="CZ39" s="260">
        <f t="shared" ref="CZ39:CZ48" si="92">DA39/DA$51</f>
        <v>0.1107951975515838</v>
      </c>
      <c r="DA39" s="126">
        <f>DA56/1.097</f>
        <v>28.896991795806745</v>
      </c>
      <c r="DJ39" s="128" t="s">
        <v>132</v>
      </c>
      <c r="DK39" s="139">
        <v>0.128</v>
      </c>
      <c r="DL39" s="160">
        <f t="shared" si="67"/>
        <v>12.866407552</v>
      </c>
      <c r="DM39" s="121"/>
      <c r="DN39" s="121"/>
      <c r="DO39" s="122"/>
      <c r="DQ39" s="131" t="s">
        <v>287</v>
      </c>
      <c r="DR39" s="228">
        <v>5.1999999999999998E-2</v>
      </c>
      <c r="DS39" s="228">
        <v>5.0999999999999997E-2</v>
      </c>
      <c r="DT39" s="228">
        <v>4.9000000000000002E-2</v>
      </c>
      <c r="DU39" s="228">
        <v>4.8000000000000001E-2</v>
      </c>
      <c r="DV39" s="228">
        <v>4.7E-2</v>
      </c>
      <c r="DW39" s="228">
        <v>4.4999999999999998E-2</v>
      </c>
      <c r="DX39" s="228">
        <v>4.7E-2</v>
      </c>
      <c r="DY39" s="228">
        <v>4.9000000000000002E-2</v>
      </c>
      <c r="DZ39" s="228">
        <v>4.4999999999999998E-2</v>
      </c>
      <c r="EA39" s="228">
        <v>4.2000000000000003E-2</v>
      </c>
      <c r="EB39" s="228">
        <v>4.2000000000000003E-2</v>
      </c>
      <c r="EC39" s="229">
        <v>4.2999999999999997E-2</v>
      </c>
      <c r="ED39" s="236">
        <v>4.2999999999999997E-2</v>
      </c>
      <c r="EE39" s="228">
        <v>4.1000000000000002E-2</v>
      </c>
      <c r="EF39" s="228">
        <v>4.1000000000000002E-2</v>
      </c>
      <c r="EG39" s="228">
        <f>9.4/EG49</f>
        <v>3.9915074309978767E-2</v>
      </c>
      <c r="EH39" s="228">
        <f>10/EH49</f>
        <v>4.2498937526561836E-2</v>
      </c>
      <c r="EI39" s="229">
        <f>8.9/EI49</f>
        <v>4.0289723856948845E-2</v>
      </c>
      <c r="EJ39" s="363">
        <f t="shared" si="71"/>
        <v>3.542667525085761E-2</v>
      </c>
      <c r="EM39" s="392" t="s">
        <v>287</v>
      </c>
      <c r="EN39" s="126">
        <v>3.6</v>
      </c>
      <c r="EO39" s="403">
        <f>EN39/EN44*EO44*0.5</f>
        <v>32.0625</v>
      </c>
      <c r="EP39" s="126">
        <f t="shared" si="72"/>
        <v>35.662500000000001</v>
      </c>
      <c r="EQ39" s="205">
        <f t="shared" si="73"/>
        <v>3.542667525085761E-2</v>
      </c>
      <c r="ER39" s="126">
        <f t="shared" si="74"/>
        <v>0.41400000000000003</v>
      </c>
      <c r="ES39" s="126">
        <f t="shared" si="75"/>
        <v>1.1221875000000001</v>
      </c>
      <c r="ET39" s="126">
        <f t="shared" si="76"/>
        <v>1.5361875</v>
      </c>
      <c r="EU39" s="175">
        <f t="shared" si="77"/>
        <v>3.5358938788637599E-2</v>
      </c>
    </row>
    <row r="40" spans="1:151" ht="16" thickBot="1">
      <c r="BE40" s="209"/>
      <c r="BF40" s="209"/>
      <c r="BG40" s="209"/>
      <c r="BH40" s="209"/>
      <c r="BI40" s="209"/>
      <c r="BJ40" s="209"/>
      <c r="BK40" s="209"/>
      <c r="BL40" s="209"/>
      <c r="BN40" s="126"/>
      <c r="BO40" s="117"/>
      <c r="BP40" s="118"/>
      <c r="BQ40" s="118"/>
      <c r="BR40" s="118"/>
      <c r="BS40" s="118"/>
      <c r="BT40" s="118"/>
      <c r="BU40" s="118"/>
      <c r="BV40" s="118"/>
      <c r="BW40" s="118"/>
      <c r="BX40" s="118"/>
      <c r="BY40" s="118"/>
      <c r="BZ40" s="118"/>
      <c r="CA40" s="118"/>
      <c r="CB40" s="118"/>
      <c r="CC40" s="118"/>
      <c r="CD40" s="118"/>
      <c r="CE40" s="119"/>
      <c r="CG40" s="128" t="s">
        <v>200</v>
      </c>
      <c r="CH40" s="139">
        <f t="shared" si="65"/>
        <v>3.9715654458352644E-2</v>
      </c>
      <c r="CI40" s="160">
        <v>51.4</v>
      </c>
      <c r="CJ40" s="121"/>
      <c r="CK40" s="122"/>
      <c r="CL40" s="122"/>
      <c r="CQ40" s="117"/>
      <c r="CR40" s="118"/>
      <c r="CS40" s="118"/>
      <c r="CT40" s="118"/>
      <c r="CU40" s="118"/>
      <c r="CV40" s="118"/>
      <c r="CW40" s="119"/>
      <c r="CY40" s="99" t="s">
        <v>270</v>
      </c>
      <c r="CZ40" s="260">
        <f t="shared" si="92"/>
        <v>5.3013466386739164E-2</v>
      </c>
      <c r="DA40" s="126">
        <f>DA57/1.027</f>
        <v>13.826679649464459</v>
      </c>
      <c r="DJ40" s="128" t="s">
        <v>299</v>
      </c>
      <c r="DK40" s="139">
        <f>1-SUM(DK34:DK39)</f>
        <v>9.2000000000000082E-2</v>
      </c>
      <c r="DL40" s="160">
        <f t="shared" si="67"/>
        <v>9.2477304280000094</v>
      </c>
      <c r="DM40" s="121"/>
      <c r="DN40" s="121"/>
      <c r="DO40" s="122"/>
      <c r="DQ40" s="131" t="s">
        <v>182</v>
      </c>
      <c r="DR40" s="228">
        <v>1.6E-2</v>
      </c>
      <c r="DS40" s="228">
        <v>1.7000000000000001E-2</v>
      </c>
      <c r="DT40" s="228">
        <v>2.5999999999999999E-2</v>
      </c>
      <c r="DU40" s="228">
        <v>2.3E-2</v>
      </c>
      <c r="DV40" s="228">
        <v>2.3E-2</v>
      </c>
      <c r="DW40" s="228">
        <v>2.1999999999999999E-2</v>
      </c>
      <c r="DX40" s="228">
        <v>2.1999999999999999E-2</v>
      </c>
      <c r="DY40" s="228">
        <v>2.1999999999999999E-2</v>
      </c>
      <c r="DZ40" s="228">
        <v>2.1999999999999999E-2</v>
      </c>
      <c r="EA40" s="228">
        <v>2.1000000000000001E-2</v>
      </c>
      <c r="EB40" s="228">
        <v>0.02</v>
      </c>
      <c r="EC40" s="229">
        <v>0.02</v>
      </c>
      <c r="ED40" s="236">
        <v>1.9E-2</v>
      </c>
      <c r="EE40" s="228">
        <v>2.1000000000000001E-2</v>
      </c>
      <c r="EF40" s="228">
        <v>0.02</v>
      </c>
      <c r="EG40" s="228">
        <f>4.6/EG49</f>
        <v>1.9532908704883226E-2</v>
      </c>
      <c r="EH40" s="228">
        <f>5.3/EH49</f>
        <v>2.2524436889077772E-2</v>
      </c>
      <c r="EI40" s="229">
        <f>4.9/EI49</f>
        <v>2.2181982797645994E-2</v>
      </c>
      <c r="EJ40" s="363">
        <f t="shared" si="71"/>
        <v>2.0102881151041859E-2</v>
      </c>
      <c r="EM40" s="392" t="s">
        <v>182</v>
      </c>
      <c r="EN40" s="403">
        <f>102.7*0.021</f>
        <v>2.1567000000000003</v>
      </c>
      <c r="EO40" s="403">
        <f>904*0.02</f>
        <v>18.080000000000002</v>
      </c>
      <c r="EP40" s="126">
        <f t="shared" si="72"/>
        <v>20.236700000000003</v>
      </c>
      <c r="EQ40" s="205">
        <f t="shared" si="73"/>
        <v>2.0102881151041859E-2</v>
      </c>
      <c r="ER40" s="126">
        <f t="shared" si="74"/>
        <v>0.24802050000000003</v>
      </c>
      <c r="ES40" s="126">
        <f t="shared" si="75"/>
        <v>0.63280000000000014</v>
      </c>
      <c r="ET40" s="126">
        <f t="shared" si="76"/>
        <v>0.88082050000000023</v>
      </c>
      <c r="EU40" s="175">
        <f t="shared" si="77"/>
        <v>2.0274138504106545E-2</v>
      </c>
    </row>
    <row r="41" spans="1:151">
      <c r="A41" s="100" t="s">
        <v>286</v>
      </c>
      <c r="B41" s="101">
        <v>39448</v>
      </c>
      <c r="C41" s="101">
        <v>39479</v>
      </c>
      <c r="D41" s="101">
        <v>39508</v>
      </c>
      <c r="E41" s="101">
        <v>39539</v>
      </c>
      <c r="F41" s="101">
        <v>39569</v>
      </c>
      <c r="G41" s="101">
        <v>39600</v>
      </c>
      <c r="H41" s="101">
        <v>39630</v>
      </c>
      <c r="I41" s="101">
        <v>39661</v>
      </c>
      <c r="J41" s="101">
        <v>39692</v>
      </c>
      <c r="K41" s="101">
        <v>39722</v>
      </c>
      <c r="L41" s="101">
        <v>39753</v>
      </c>
      <c r="M41" s="102">
        <v>39783</v>
      </c>
      <c r="N41" s="101">
        <v>39814</v>
      </c>
      <c r="O41" s="101">
        <v>39845</v>
      </c>
      <c r="P41" s="101">
        <v>39873</v>
      </c>
      <c r="Q41" s="101">
        <v>39904</v>
      </c>
      <c r="R41" s="101">
        <v>39934</v>
      </c>
      <c r="S41" s="101">
        <v>39965</v>
      </c>
      <c r="T41" s="101">
        <v>39995</v>
      </c>
      <c r="U41" s="101">
        <v>40026</v>
      </c>
      <c r="V41" s="101">
        <v>40057</v>
      </c>
      <c r="W41" s="101">
        <v>40087</v>
      </c>
      <c r="X41" s="101">
        <v>40118</v>
      </c>
      <c r="Y41" s="102">
        <v>40148</v>
      </c>
      <c r="Z41" s="101">
        <v>40179</v>
      </c>
      <c r="AA41" s="101">
        <v>40210</v>
      </c>
      <c r="AB41" s="101">
        <v>40238</v>
      </c>
      <c r="AC41" s="101">
        <v>40269</v>
      </c>
      <c r="AD41" s="101">
        <v>40299</v>
      </c>
      <c r="AE41" s="101">
        <v>40330</v>
      </c>
      <c r="AF41" s="101">
        <v>40360</v>
      </c>
      <c r="AG41" s="101">
        <v>40391</v>
      </c>
      <c r="AH41" s="101">
        <v>40422</v>
      </c>
      <c r="AI41" s="101">
        <v>40452</v>
      </c>
      <c r="AJ41" s="101">
        <v>40483</v>
      </c>
      <c r="AK41" s="102">
        <v>40513</v>
      </c>
      <c r="AL41" s="101">
        <v>40544</v>
      </c>
      <c r="AM41" s="101">
        <v>40575</v>
      </c>
      <c r="AN41" s="101">
        <v>40603</v>
      </c>
      <c r="AO41" s="101">
        <v>40634</v>
      </c>
      <c r="AP41" s="101">
        <v>40664</v>
      </c>
      <c r="AQ41" s="101">
        <v>40695</v>
      </c>
      <c r="AR41" s="101">
        <v>40725</v>
      </c>
      <c r="AS41" s="101">
        <v>40756</v>
      </c>
      <c r="AT41" s="101">
        <v>40787</v>
      </c>
      <c r="AU41" s="101">
        <v>40817</v>
      </c>
      <c r="AV41" s="101">
        <v>40848</v>
      </c>
      <c r="AW41" s="102">
        <v>40878</v>
      </c>
      <c r="AX41" s="101">
        <v>40909</v>
      </c>
      <c r="AY41" s="101">
        <v>40940</v>
      </c>
      <c r="AZ41" s="101">
        <v>40969</v>
      </c>
      <c r="BA41" s="101">
        <v>41000</v>
      </c>
      <c r="BB41" s="101">
        <v>41030</v>
      </c>
      <c r="BC41" s="101">
        <v>41061</v>
      </c>
      <c r="BD41" s="101">
        <v>41091</v>
      </c>
      <c r="BE41" s="101">
        <v>41122</v>
      </c>
      <c r="BF41" s="101">
        <v>41153</v>
      </c>
      <c r="BG41" s="101">
        <v>41183</v>
      </c>
      <c r="BH41" s="101">
        <v>41214</v>
      </c>
      <c r="BI41" s="102">
        <v>41244</v>
      </c>
      <c r="BJ41" s="101">
        <v>41275</v>
      </c>
      <c r="BK41" s="101">
        <v>41306</v>
      </c>
      <c r="BL41" s="101">
        <v>41334</v>
      </c>
      <c r="BN41" s="126"/>
      <c r="BO41" s="117"/>
      <c r="BP41" s="118"/>
      <c r="BQ41" s="118"/>
      <c r="BR41" s="118"/>
      <c r="BS41" s="118"/>
      <c r="BT41" s="118"/>
      <c r="BU41" s="118"/>
      <c r="BV41" s="118"/>
      <c r="BW41" s="118"/>
      <c r="BX41" s="118"/>
      <c r="BY41" s="118"/>
      <c r="BZ41" s="118"/>
      <c r="CA41" s="118"/>
      <c r="CB41" s="118"/>
      <c r="CC41" s="118"/>
      <c r="CD41" s="118"/>
      <c r="CE41" s="119"/>
      <c r="CG41" s="128" t="s">
        <v>132</v>
      </c>
      <c r="CH41" s="139">
        <f t="shared" si="65"/>
        <v>3.3766033070622772E-2</v>
      </c>
      <c r="CI41" s="160">
        <v>43.7</v>
      </c>
      <c r="CJ41" s="121"/>
      <c r="CK41" s="122"/>
      <c r="CL41" s="122"/>
      <c r="CQ41" s="117"/>
      <c r="CR41" s="118"/>
      <c r="CS41" s="118"/>
      <c r="CT41" s="118"/>
      <c r="CU41" s="118"/>
      <c r="CV41" s="118"/>
      <c r="CW41" s="119"/>
      <c r="CY41" s="99" t="s">
        <v>359</v>
      </c>
      <c r="CZ41" s="260">
        <f t="shared" si="92"/>
        <v>6.800178073402903E-2</v>
      </c>
      <c r="DA41" s="126">
        <f>DA58/1.06</f>
        <v>17.735849056603772</v>
      </c>
      <c r="DJ41" s="132"/>
      <c r="DK41" s="156"/>
      <c r="DL41" s="194">
        <f>AH47</f>
        <v>100.518809</v>
      </c>
      <c r="DM41" s="121"/>
      <c r="DN41" s="121"/>
      <c r="DO41" s="122"/>
      <c r="DQ41" s="131" t="s">
        <v>173</v>
      </c>
      <c r="DR41" s="228">
        <v>4.1000000000000002E-2</v>
      </c>
      <c r="DS41" s="228">
        <v>4.2000000000000003E-2</v>
      </c>
      <c r="DT41" s="228">
        <v>3.9E-2</v>
      </c>
      <c r="DU41" s="228">
        <v>4.2000000000000003E-2</v>
      </c>
      <c r="DV41" s="228">
        <v>4.2000000000000003E-2</v>
      </c>
      <c r="DW41" s="228">
        <v>0.04</v>
      </c>
      <c r="DX41" s="228">
        <v>3.7999999999999999E-2</v>
      </c>
      <c r="DY41" s="228">
        <v>3.7999999999999999E-2</v>
      </c>
      <c r="DZ41" s="228">
        <v>3.5999999999999997E-2</v>
      </c>
      <c r="EA41" s="228">
        <v>3.5000000000000003E-2</v>
      </c>
      <c r="EB41" s="228">
        <v>3.9E-2</v>
      </c>
      <c r="EC41" s="229">
        <v>3.4000000000000002E-2</v>
      </c>
      <c r="ED41" s="236">
        <v>3.5000000000000003E-2</v>
      </c>
      <c r="EE41" s="228">
        <v>3.9E-2</v>
      </c>
      <c r="EF41" s="228">
        <v>3.5999999999999997E-2</v>
      </c>
      <c r="EG41" s="228">
        <f>9.6/EG49</f>
        <v>4.0764331210191081E-2</v>
      </c>
      <c r="EH41" s="277"/>
      <c r="EI41" s="282"/>
      <c r="EJ41" s="363">
        <f t="shared" si="71"/>
        <v>0</v>
      </c>
      <c r="EK41" s="99" t="s">
        <v>315</v>
      </c>
      <c r="EM41" s="392" t="s">
        <v>173</v>
      </c>
      <c r="EN41" s="126"/>
      <c r="EO41" s="126"/>
      <c r="EP41" s="126">
        <f t="shared" si="72"/>
        <v>0</v>
      </c>
      <c r="EQ41" s="205">
        <f t="shared" si="73"/>
        <v>0</v>
      </c>
      <c r="ER41" s="126">
        <f t="shared" si="74"/>
        <v>0</v>
      </c>
      <c r="ES41" s="126">
        <f t="shared" si="75"/>
        <v>0</v>
      </c>
      <c r="ET41" s="126">
        <f t="shared" si="76"/>
        <v>0</v>
      </c>
      <c r="EU41" s="175">
        <f t="shared" si="77"/>
        <v>0</v>
      </c>
    </row>
    <row r="42" spans="1:151">
      <c r="A42" s="75" t="s">
        <v>255</v>
      </c>
      <c r="M42" s="115"/>
      <c r="Y42" s="115"/>
      <c r="AK42" s="115"/>
      <c r="AW42" s="115"/>
      <c r="BI42" s="115"/>
      <c r="BN42" s="126"/>
      <c r="BO42" s="117"/>
      <c r="BP42" s="118"/>
      <c r="BQ42" s="118"/>
      <c r="BR42" s="118"/>
      <c r="BS42" s="118"/>
      <c r="BT42" s="118"/>
      <c r="BU42" s="118"/>
      <c r="BV42" s="118"/>
      <c r="BW42" s="118"/>
      <c r="BX42" s="118"/>
      <c r="BY42" s="118"/>
      <c r="BZ42" s="118"/>
      <c r="CA42" s="118"/>
      <c r="CB42" s="118"/>
      <c r="CC42" s="118"/>
      <c r="CD42" s="118"/>
      <c r="CE42" s="119"/>
      <c r="CG42" s="128" t="s">
        <v>205</v>
      </c>
      <c r="CH42" s="139">
        <f t="shared" si="65"/>
        <v>1.0276618760624322E-2</v>
      </c>
      <c r="CI42" s="160">
        <v>13.3</v>
      </c>
      <c r="CJ42" s="121"/>
      <c r="CK42" s="122"/>
      <c r="CL42" s="122"/>
      <c r="CQ42" s="117"/>
      <c r="CR42" s="118"/>
      <c r="CS42" s="118"/>
      <c r="CT42" s="118"/>
      <c r="CU42" s="118"/>
      <c r="CV42" s="118"/>
      <c r="CW42" s="119"/>
      <c r="CY42" s="99" t="s">
        <v>360</v>
      </c>
      <c r="CZ42" s="260">
        <f t="shared" si="92"/>
        <v>0.29405486629467265</v>
      </c>
      <c r="DA42" s="126">
        <f>DA59/1.107</f>
        <v>76.69376693766938</v>
      </c>
      <c r="DJ42" s="128"/>
      <c r="DK42" s="121"/>
      <c r="DL42" s="121"/>
      <c r="DM42" s="121"/>
      <c r="DN42" s="121"/>
      <c r="DO42" s="122"/>
      <c r="DQ42" s="131" t="s">
        <v>320</v>
      </c>
      <c r="DR42" s="228">
        <v>4.3999999999999997E-2</v>
      </c>
      <c r="DS42" s="274"/>
      <c r="DT42" s="274"/>
      <c r="DU42" s="274"/>
      <c r="DV42" s="274"/>
      <c r="DW42" s="274"/>
      <c r="DX42" s="274"/>
      <c r="DY42" s="274"/>
      <c r="DZ42" s="274"/>
      <c r="EA42" s="274"/>
      <c r="EB42" s="274"/>
      <c r="EC42" s="275"/>
      <c r="ED42" s="276"/>
      <c r="EE42" s="274"/>
      <c r="EF42" s="274"/>
      <c r="EG42" s="274"/>
      <c r="EH42" s="274"/>
      <c r="EI42" s="275"/>
      <c r="EJ42" s="363">
        <f t="shared" si="71"/>
        <v>0</v>
      </c>
      <c r="EM42" s="392" t="s">
        <v>320</v>
      </c>
      <c r="EN42" s="126"/>
      <c r="EO42" s="126"/>
      <c r="EP42" s="126">
        <f t="shared" si="72"/>
        <v>0</v>
      </c>
      <c r="EQ42" s="205">
        <f t="shared" si="73"/>
        <v>0</v>
      </c>
      <c r="ER42" s="126">
        <f t="shared" si="74"/>
        <v>0</v>
      </c>
      <c r="ES42" s="126">
        <f t="shared" si="75"/>
        <v>0</v>
      </c>
      <c r="ET42" s="126">
        <f t="shared" si="76"/>
        <v>0</v>
      </c>
      <c r="EU42" s="175">
        <f t="shared" si="77"/>
        <v>0</v>
      </c>
    </row>
    <row r="43" spans="1:151">
      <c r="A43" s="76" t="s">
        <v>140</v>
      </c>
      <c r="B43" s="196">
        <v>8.8161970000000007</v>
      </c>
      <c r="C43" s="196">
        <v>7.9071769999999999</v>
      </c>
      <c r="D43" s="196">
        <v>7.9134770000000003</v>
      </c>
      <c r="E43" s="196">
        <v>7.5464659999999997</v>
      </c>
      <c r="F43" s="196">
        <v>8.1905219999999996</v>
      </c>
      <c r="G43" s="196">
        <v>8.3512839999999997</v>
      </c>
      <c r="H43" s="196">
        <v>7.4850120000000002</v>
      </c>
      <c r="I43" s="196">
        <v>5.3961009999999998</v>
      </c>
      <c r="J43" s="196">
        <v>5.7368990000000002</v>
      </c>
      <c r="K43" s="196">
        <v>3.1218699999999999</v>
      </c>
      <c r="L43" s="196">
        <v>4.9274079999999998</v>
      </c>
      <c r="M43" s="197">
        <v>7.1734900000000001</v>
      </c>
      <c r="N43" s="196">
        <v>7.8211069999999996</v>
      </c>
      <c r="O43" s="196">
        <v>6.9941310000000003</v>
      </c>
      <c r="P43" s="196">
        <v>7.2933000000000003</v>
      </c>
      <c r="Q43" s="196">
        <v>6.5109950000000003</v>
      </c>
      <c r="R43" s="196">
        <v>7.0369140000000003</v>
      </c>
      <c r="S43" s="196">
        <v>7.94956</v>
      </c>
      <c r="T43" s="196">
        <v>7.3371259999999996</v>
      </c>
      <c r="U43" s="196">
        <v>6.2126570000000001</v>
      </c>
      <c r="V43" s="196">
        <v>6.2376750000000003</v>
      </c>
      <c r="W43" s="196">
        <v>6.4863860000000004</v>
      </c>
      <c r="X43" s="196">
        <v>6.3362540000000003</v>
      </c>
      <c r="Y43" s="197">
        <v>6.7613250000000003</v>
      </c>
      <c r="Z43" s="196">
        <v>7.2908549999999996</v>
      </c>
      <c r="AA43" s="196">
        <v>6.2221390000000003</v>
      </c>
      <c r="AB43" s="196">
        <v>6.6987030000000001</v>
      </c>
      <c r="AC43" s="196">
        <v>6.3437089999999996</v>
      </c>
      <c r="AD43" s="196">
        <v>6.4044650000000001</v>
      </c>
      <c r="AE43" s="196">
        <v>6.4662680000000003</v>
      </c>
      <c r="AF43" s="196">
        <v>6.44346</v>
      </c>
      <c r="AG43" s="196">
        <v>5.3739999999999997</v>
      </c>
      <c r="AH43" s="196">
        <v>4.6434420000000003</v>
      </c>
      <c r="AI43" s="196">
        <v>5.111021</v>
      </c>
      <c r="AJ43" s="196">
        <v>5.2062819999999999</v>
      </c>
      <c r="AK43" s="197">
        <v>5.0381539999999996</v>
      </c>
      <c r="AL43" s="196">
        <v>5.0913810000000002</v>
      </c>
      <c r="AM43" s="196">
        <v>4.3762999999999996</v>
      </c>
      <c r="AN43" s="196">
        <v>4.6308030000000002</v>
      </c>
      <c r="AO43" s="196">
        <v>4.4534209999999996</v>
      </c>
      <c r="AP43" s="196">
        <v>4.629378</v>
      </c>
      <c r="AQ43" s="196">
        <v>5.0214569999999998</v>
      </c>
      <c r="AR43" s="196">
        <v>4.124225</v>
      </c>
      <c r="AS43" s="196">
        <v>3.6116779999999999</v>
      </c>
      <c r="AT43" s="196">
        <v>2.8785820000000002</v>
      </c>
      <c r="AU43" s="196">
        <v>3.2715269999999999</v>
      </c>
      <c r="AV43" s="196">
        <v>3.6367060000000002</v>
      </c>
      <c r="AW43" s="197">
        <v>4.0286160000000004</v>
      </c>
      <c r="AX43" s="196">
        <v>2.0875900000000001</v>
      </c>
      <c r="AY43" s="555">
        <v>2.6541079999999999</v>
      </c>
      <c r="AZ43" s="555">
        <v>3.5680800000000001</v>
      </c>
      <c r="BA43" s="196">
        <v>3.873869</v>
      </c>
      <c r="BB43" s="196">
        <v>8.7972070000000002</v>
      </c>
      <c r="BC43" s="196">
        <v>7.2780420000000001</v>
      </c>
      <c r="BD43" s="196">
        <v>6.378539</v>
      </c>
      <c r="BE43" s="196">
        <v>5.429843</v>
      </c>
      <c r="BF43" s="568">
        <f>SUM($AX43:$BE43)/SUM($AX167:$BE167)*BF167</f>
        <v>3.9401913437223546</v>
      </c>
      <c r="BG43" s="568">
        <f t="shared" ref="BG43:BL43" si="93">SUM($AX43:$BE43)/SUM($AX167:$BE167)*BG167</f>
        <v>4.6199252774700836</v>
      </c>
      <c r="BH43" s="568">
        <f t="shared" si="93"/>
        <v>4.7817349881910065</v>
      </c>
      <c r="BI43" s="569">
        <f t="shared" si="93"/>
        <v>4.6564342676991153</v>
      </c>
      <c r="BJ43" s="568">
        <f t="shared" si="93"/>
        <v>4.6692874926632824</v>
      </c>
      <c r="BK43" s="568">
        <f t="shared" si="93"/>
        <v>3.6437605021196462</v>
      </c>
      <c r="BL43" s="568">
        <f t="shared" si="93"/>
        <v>4.1410077980301843</v>
      </c>
      <c r="BN43" s="126"/>
      <c r="BO43" s="117"/>
      <c r="BP43" s="118"/>
      <c r="BQ43" s="118"/>
      <c r="BR43" s="118"/>
      <c r="BS43" s="118"/>
      <c r="BT43" s="118"/>
      <c r="BU43" s="118"/>
      <c r="BV43" s="118"/>
      <c r="BW43" s="118"/>
      <c r="BX43" s="118"/>
      <c r="BY43" s="118"/>
      <c r="BZ43" s="118"/>
      <c r="CA43" s="118"/>
      <c r="CB43" s="118"/>
      <c r="CC43" s="118"/>
      <c r="CD43" s="118"/>
      <c r="CE43" s="119"/>
      <c r="CG43" s="128" t="s">
        <v>299</v>
      </c>
      <c r="CH43" s="139">
        <f t="shared" si="65"/>
        <v>6.0577963220522314E-2</v>
      </c>
      <c r="CI43" s="160">
        <f>3.6+0.7+74.1</f>
        <v>78.399999999999991</v>
      </c>
      <c r="CJ43" s="121"/>
      <c r="CK43" s="122"/>
      <c r="CL43" s="122"/>
      <c r="CQ43" s="117"/>
      <c r="CR43" s="118"/>
      <c r="CS43" s="118"/>
      <c r="CT43" s="118"/>
      <c r="CU43" s="118"/>
      <c r="CV43" s="118"/>
      <c r="CW43" s="119"/>
      <c r="CY43" s="99" t="s">
        <v>304</v>
      </c>
      <c r="CZ43" s="260">
        <f t="shared" si="92"/>
        <v>0.17407332577880455</v>
      </c>
      <c r="DA43" s="126">
        <f>DA60/1.185</f>
        <v>45.400843881856538</v>
      </c>
      <c r="DJ43" s="132"/>
      <c r="DK43" s="133" t="s">
        <v>248</v>
      </c>
      <c r="DL43" s="133" t="s">
        <v>263</v>
      </c>
      <c r="DM43" s="121"/>
      <c r="DN43" s="121"/>
      <c r="DO43" s="122"/>
      <c r="DQ43" s="131" t="s">
        <v>215</v>
      </c>
      <c r="DR43" s="228">
        <v>2E-3</v>
      </c>
      <c r="DS43" s="228">
        <v>2E-3</v>
      </c>
      <c r="DT43" s="228">
        <v>3.0000000000000001E-3</v>
      </c>
      <c r="DU43" s="228">
        <v>3.0000000000000001E-3</v>
      </c>
      <c r="DV43" s="228">
        <v>3.0000000000000001E-3</v>
      </c>
      <c r="DW43" s="228">
        <v>2E-3</v>
      </c>
      <c r="DX43" s="228">
        <v>2E-3</v>
      </c>
      <c r="DY43" s="228">
        <v>3.0000000000000001E-3</v>
      </c>
      <c r="DZ43" s="228">
        <v>3.0000000000000001E-3</v>
      </c>
      <c r="EA43" s="228">
        <v>3.0000000000000001E-3</v>
      </c>
      <c r="EB43" s="228">
        <v>3.0000000000000001E-3</v>
      </c>
      <c r="EC43" s="229">
        <v>3.0000000000000001E-3</v>
      </c>
      <c r="ED43" s="236">
        <v>3.0000000000000001E-3</v>
      </c>
      <c r="EE43" s="228">
        <v>3.0000000000000001E-3</v>
      </c>
      <c r="EF43" s="228">
        <v>3.0000000000000001E-3</v>
      </c>
      <c r="EG43" s="228">
        <f>0.7/EG49</f>
        <v>2.9723991507430996E-3</v>
      </c>
      <c r="EH43" s="228">
        <f>1/EH49</f>
        <v>4.2498937526561833E-3</v>
      </c>
      <c r="EI43" s="229">
        <f>0.8/EI49</f>
        <v>3.6215482118605704E-3</v>
      </c>
      <c r="EJ43" s="363">
        <f t="shared" si="71"/>
        <v>1.3907422460904494E-3</v>
      </c>
      <c r="EM43" s="392" t="s">
        <v>215</v>
      </c>
      <c r="EN43" s="126">
        <v>0.4</v>
      </c>
      <c r="EO43" s="126">
        <v>1</v>
      </c>
      <c r="EP43" s="126">
        <f t="shared" si="72"/>
        <v>1.4</v>
      </c>
      <c r="EQ43" s="205">
        <f t="shared" si="73"/>
        <v>1.3907422460904494E-3</v>
      </c>
      <c r="ER43" s="126">
        <f t="shared" si="74"/>
        <v>4.6000000000000006E-2</v>
      </c>
      <c r="ES43" s="126">
        <f t="shared" si="75"/>
        <v>3.5000000000000003E-2</v>
      </c>
      <c r="ET43" s="126">
        <f t="shared" si="76"/>
        <v>8.1000000000000016E-2</v>
      </c>
      <c r="EU43" s="175">
        <f t="shared" si="77"/>
        <v>1.8644039493093429E-3</v>
      </c>
    </row>
    <row r="44" spans="1:151">
      <c r="A44" s="76" t="s">
        <v>78</v>
      </c>
      <c r="B44" s="196"/>
      <c r="C44" s="196"/>
      <c r="D44" s="196">
        <v>0.91274599999999995</v>
      </c>
      <c r="E44" s="196">
        <v>1.4340809999999999</v>
      </c>
      <c r="F44" s="196">
        <v>1.814689</v>
      </c>
      <c r="G44" s="196">
        <v>1.8100149999999999</v>
      </c>
      <c r="H44" s="196">
        <v>2.1132919999999999</v>
      </c>
      <c r="I44" s="196">
        <v>1.759436</v>
      </c>
      <c r="J44" s="196">
        <v>1.9415180000000001</v>
      </c>
      <c r="K44" s="196">
        <v>1.635831</v>
      </c>
      <c r="L44" s="196">
        <v>1.685926</v>
      </c>
      <c r="M44" s="197">
        <v>2.106716</v>
      </c>
      <c r="N44" s="196">
        <v>2.7183890000000002</v>
      </c>
      <c r="O44" s="196">
        <v>2.283493</v>
      </c>
      <c r="P44" s="196">
        <v>2.5368000000000004</v>
      </c>
      <c r="Q44" s="196">
        <v>2.5987089999999999</v>
      </c>
      <c r="R44" s="196">
        <v>2.530087</v>
      </c>
      <c r="S44" s="196">
        <v>2.4889019999999999</v>
      </c>
      <c r="T44" s="196">
        <v>2.4940440000000001</v>
      </c>
      <c r="U44" s="196">
        <v>1.9802010000000001</v>
      </c>
      <c r="V44" s="196">
        <v>2.2903829999999998</v>
      </c>
      <c r="W44" s="196">
        <v>2.2631549999999998</v>
      </c>
      <c r="X44" s="196">
        <v>2.1945869999999998</v>
      </c>
      <c r="Y44" s="197">
        <v>2.4592000000000001</v>
      </c>
      <c r="Z44" s="196">
        <v>2.7418269999999998</v>
      </c>
      <c r="AA44" s="196">
        <v>2.186957</v>
      </c>
      <c r="AB44" s="196">
        <v>2.4724460000000001</v>
      </c>
      <c r="AC44" s="196">
        <v>2.3278439999999998</v>
      </c>
      <c r="AD44" s="196">
        <v>2.4402499999999998</v>
      </c>
      <c r="AE44" s="196">
        <v>2.3044229999999999</v>
      </c>
      <c r="AF44" s="196">
        <v>2.2649010000000001</v>
      </c>
      <c r="AG44" s="196">
        <v>1.8143480000000001</v>
      </c>
      <c r="AH44" s="196">
        <v>1.9325639999999999</v>
      </c>
      <c r="AI44" s="196">
        <v>2.223671</v>
      </c>
      <c r="AJ44" s="196">
        <v>2.6274320000000002</v>
      </c>
      <c r="AK44" s="197">
        <v>2.2878029999999998</v>
      </c>
      <c r="AL44" s="196">
        <v>2.2905820000000001</v>
      </c>
      <c r="AM44" s="196">
        <v>2.0324719999999998</v>
      </c>
      <c r="AN44" s="196">
        <v>2.2864019999999998</v>
      </c>
      <c r="AO44" s="196">
        <v>2.1427019999999999</v>
      </c>
      <c r="AP44" s="196">
        <v>1.9282360000000001</v>
      </c>
      <c r="AQ44" s="196">
        <v>1.897562</v>
      </c>
      <c r="AR44" s="196">
        <v>0.96763500000000002</v>
      </c>
      <c r="AS44" s="196">
        <v>0.80674299999999999</v>
      </c>
      <c r="AT44" s="196">
        <v>0.90038799999999997</v>
      </c>
      <c r="AU44" s="196">
        <v>1.0838220000000001</v>
      </c>
      <c r="AV44" s="196">
        <v>1.1219159999999999</v>
      </c>
      <c r="AW44" s="197">
        <v>1.3552360000000001</v>
      </c>
      <c r="AX44" s="196">
        <v>0.96365900000000004</v>
      </c>
      <c r="AY44" s="555">
        <v>0.96465800000000002</v>
      </c>
      <c r="AZ44" s="555">
        <v>1.13229</v>
      </c>
      <c r="BA44" s="196">
        <v>1.204588</v>
      </c>
      <c r="BB44" s="196">
        <v>1.307469</v>
      </c>
      <c r="BC44" s="196">
        <v>1.410199</v>
      </c>
      <c r="BD44" s="196">
        <v>1.5889679999999999</v>
      </c>
      <c r="BE44" s="196">
        <v>0.91081599999999996</v>
      </c>
      <c r="BF44" s="568">
        <f t="shared" ref="BF44:BL47" si="94">SUM($AX44:$BE44)/SUM($AX168:$BE168)*BF168</f>
        <v>1.3775638096390364</v>
      </c>
      <c r="BG44" s="568">
        <f t="shared" si="94"/>
        <v>1.4804933736988994</v>
      </c>
      <c r="BH44" s="568">
        <f t="shared" si="94"/>
        <v>1.2610452219898602</v>
      </c>
      <c r="BI44" s="569">
        <f t="shared" si="94"/>
        <v>1.4600795250054575</v>
      </c>
      <c r="BJ44" s="568">
        <f t="shared" si="94"/>
        <v>1.4650996977523145</v>
      </c>
      <c r="BK44" s="568">
        <f t="shared" si="94"/>
        <v>1.2412087696673257</v>
      </c>
      <c r="BL44" s="568">
        <f t="shared" si="94"/>
        <v>1.1262780220381456</v>
      </c>
      <c r="BN44" s="126"/>
      <c r="BO44" s="117"/>
      <c r="BP44" s="118"/>
      <c r="BQ44" s="118"/>
      <c r="BR44" s="118"/>
      <c r="BS44" s="118"/>
      <c r="BT44" s="118"/>
      <c r="BU44" s="118"/>
      <c r="BV44" s="118"/>
      <c r="BW44" s="118"/>
      <c r="BX44" s="118"/>
      <c r="BY44" s="118"/>
      <c r="BZ44" s="118"/>
      <c r="CA44" s="118"/>
      <c r="CB44" s="118"/>
      <c r="CC44" s="118"/>
      <c r="CD44" s="118"/>
      <c r="CE44" s="119"/>
      <c r="CG44" s="132"/>
      <c r="CH44" s="156"/>
      <c r="CI44" s="194">
        <f>SUM(CI34:CI43)</f>
        <v>1294.2000000000003</v>
      </c>
      <c r="CJ44" s="160"/>
      <c r="CK44" s="122"/>
      <c r="CL44" s="122"/>
      <c r="CQ44" s="117"/>
      <c r="CR44" s="118"/>
      <c r="CS44" s="118"/>
      <c r="CT44" s="118"/>
      <c r="CU44" s="118"/>
      <c r="CV44" s="118"/>
      <c r="CW44" s="119"/>
      <c r="CY44" s="99" t="s">
        <v>132</v>
      </c>
      <c r="CZ44" s="260">
        <f t="shared" si="92"/>
        <v>0.16682912099845845</v>
      </c>
      <c r="DA44" s="126">
        <f>DA61/1.048</f>
        <v>43.511450381679388</v>
      </c>
      <c r="DJ44" s="128" t="s">
        <v>359</v>
      </c>
      <c r="DK44" s="139">
        <v>0.19500000000000001</v>
      </c>
      <c r="DL44" s="160">
        <f>DK44*DL$53</f>
        <v>0.80634450000000013</v>
      </c>
      <c r="DM44" s="121"/>
      <c r="DN44" s="121"/>
      <c r="DO44" s="122"/>
      <c r="DQ44" s="131" t="s">
        <v>246</v>
      </c>
      <c r="DR44" s="228">
        <v>2.1999999999999999E-2</v>
      </c>
      <c r="DS44" s="228">
        <v>2.1999999999999999E-2</v>
      </c>
      <c r="DT44" s="228">
        <v>0.02</v>
      </c>
      <c r="DU44" s="228">
        <v>2.1000000000000001E-2</v>
      </c>
      <c r="DV44" s="228">
        <v>0.02</v>
      </c>
      <c r="DW44" s="228">
        <v>0.02</v>
      </c>
      <c r="DX44" s="228">
        <v>0.02</v>
      </c>
      <c r="DY44" s="228">
        <v>1.9E-2</v>
      </c>
      <c r="DZ44" s="228">
        <v>0.02</v>
      </c>
      <c r="EA44" s="228">
        <v>0.02</v>
      </c>
      <c r="EB44" s="228">
        <v>1.9E-2</v>
      </c>
      <c r="EC44" s="229">
        <v>1.9E-2</v>
      </c>
      <c r="ED44" s="236">
        <v>1.7999999999999999E-2</v>
      </c>
      <c r="EE44" s="228">
        <v>1.7000000000000001E-2</v>
      </c>
      <c r="EF44" s="228">
        <v>1.9E-2</v>
      </c>
      <c r="EG44" s="228">
        <f>5.6/EG49</f>
        <v>2.3779193205944796E-2</v>
      </c>
      <c r="EH44" s="228">
        <f>4.8/EH49</f>
        <v>2.0399490012749679E-2</v>
      </c>
      <c r="EI44" s="229">
        <f>4.2/EI49</f>
        <v>1.9013128112267994E-2</v>
      </c>
      <c r="EJ44" s="363">
        <f t="shared" si="71"/>
        <v>2.9900958290944666E-2</v>
      </c>
      <c r="EM44" s="392" t="s">
        <v>246</v>
      </c>
      <c r="EN44" s="126">
        <v>1.6</v>
      </c>
      <c r="EO44" s="126">
        <v>28.5</v>
      </c>
      <c r="EP44" s="126">
        <f t="shared" si="72"/>
        <v>30.1</v>
      </c>
      <c r="EQ44" s="205">
        <f t="shared" si="73"/>
        <v>2.9900958290944666E-2</v>
      </c>
      <c r="ER44" s="126">
        <f t="shared" si="74"/>
        <v>0.18400000000000002</v>
      </c>
      <c r="ES44" s="126">
        <f t="shared" si="75"/>
        <v>0.99750000000000005</v>
      </c>
      <c r="ET44" s="126">
        <f t="shared" si="76"/>
        <v>1.1815</v>
      </c>
      <c r="EU44" s="175">
        <f t="shared" si="77"/>
        <v>2.7194978593938126E-2</v>
      </c>
    </row>
    <row r="45" spans="1:151" ht="16" thickBot="1">
      <c r="A45" s="76" t="s">
        <v>190</v>
      </c>
      <c r="B45" s="196"/>
      <c r="C45" s="196"/>
      <c r="D45" s="196">
        <v>0.25655499999999998</v>
      </c>
      <c r="E45" s="196">
        <v>0.41694199999999998</v>
      </c>
      <c r="F45" s="196">
        <v>0.38943499999999998</v>
      </c>
      <c r="G45" s="196">
        <v>0.114233</v>
      </c>
      <c r="H45" s="196">
        <v>5.3731000000000001E-2</v>
      </c>
      <c r="I45" s="196">
        <v>0.16113</v>
      </c>
      <c r="J45" s="196">
        <v>0.52213299999999996</v>
      </c>
      <c r="K45" s="196">
        <v>0.52603200000000006</v>
      </c>
      <c r="L45" s="196">
        <v>0.55496000000000001</v>
      </c>
      <c r="M45" s="197">
        <v>0.319185</v>
      </c>
      <c r="N45" s="196">
        <v>0.35910399999999998</v>
      </c>
      <c r="O45" s="196">
        <v>0.40227400000000002</v>
      </c>
      <c r="P45" s="196">
        <v>0.31710000000000005</v>
      </c>
      <c r="Q45" s="196">
        <v>0.34432600000000002</v>
      </c>
      <c r="R45" s="196">
        <v>0.41908400000000001</v>
      </c>
      <c r="S45" s="196">
        <v>7.2289000000000006E-2</v>
      </c>
      <c r="T45" s="196">
        <v>6.1081999999999997E-2</v>
      </c>
      <c r="U45" s="196">
        <v>0.25153700000000001</v>
      </c>
      <c r="V45" s="196">
        <v>0.51382499999999998</v>
      </c>
      <c r="W45" s="196">
        <v>0.45396199999999998</v>
      </c>
      <c r="X45" s="196">
        <v>0.36864200000000003</v>
      </c>
      <c r="Y45" s="197">
        <v>0.263575</v>
      </c>
      <c r="Z45" s="196">
        <v>0.32250699999999999</v>
      </c>
      <c r="AA45" s="196">
        <v>0.28718300000000002</v>
      </c>
      <c r="AB45" s="196">
        <v>0.32706400000000002</v>
      </c>
      <c r="AC45" s="196">
        <v>0.27541900000000002</v>
      </c>
      <c r="AD45" s="196">
        <v>0.25118200000000002</v>
      </c>
      <c r="AE45" s="196">
        <v>8.7644E-2</v>
      </c>
      <c r="AF45" s="196">
        <v>4.7864999999999998E-2</v>
      </c>
      <c r="AG45" s="196">
        <v>9.5364000000000004E-2</v>
      </c>
      <c r="AH45" s="196">
        <v>0.26864399999999999</v>
      </c>
      <c r="AI45" s="196">
        <v>0.334704</v>
      </c>
      <c r="AJ45" s="196">
        <v>0.30521599999999999</v>
      </c>
      <c r="AK45" s="197">
        <v>0.19708600000000001</v>
      </c>
      <c r="AL45" s="196">
        <v>0.23305200000000001</v>
      </c>
      <c r="AM45" s="196">
        <v>0.27278799999999997</v>
      </c>
      <c r="AN45" s="196">
        <v>0.26067400000000002</v>
      </c>
      <c r="AO45" s="196">
        <v>0.22136700000000001</v>
      </c>
      <c r="AP45" s="196">
        <v>0.22504299999999999</v>
      </c>
      <c r="AQ45" s="196">
        <v>4.2960999999999999E-2</v>
      </c>
      <c r="AR45" s="196">
        <v>3.8973000000000001E-2</v>
      </c>
      <c r="AS45" s="196">
        <v>4.7190000000000003E-2</v>
      </c>
      <c r="AT45" s="196">
        <v>0.16992599999999999</v>
      </c>
      <c r="AU45" s="196">
        <v>0.23837</v>
      </c>
      <c r="AV45" s="196">
        <v>0.18157999999999999</v>
      </c>
      <c r="AW45" s="197">
        <v>0.15307000000000001</v>
      </c>
      <c r="AX45" s="196">
        <v>0.17172599999999999</v>
      </c>
      <c r="AY45" s="555">
        <v>0.12578800000000001</v>
      </c>
      <c r="AZ45" s="555">
        <v>0.17633499999999999</v>
      </c>
      <c r="BA45" s="196">
        <v>0.153868</v>
      </c>
      <c r="BB45" s="196">
        <v>0.117808</v>
      </c>
      <c r="BC45" s="196">
        <v>3.5210999999999999E-2</v>
      </c>
      <c r="BD45" s="196">
        <v>2.2179000000000001E-2</v>
      </c>
      <c r="BE45" s="196">
        <v>4.3723999999999999E-2</v>
      </c>
      <c r="BF45" s="568">
        <f t="shared" si="94"/>
        <v>0.22047462096139742</v>
      </c>
      <c r="BG45" s="568">
        <f t="shared" si="94"/>
        <v>0.22626506255054343</v>
      </c>
      <c r="BH45" s="568">
        <f t="shared" si="94"/>
        <v>0.13697295052132094</v>
      </c>
      <c r="BI45" s="569">
        <f t="shared" si="94"/>
        <v>9.4670253744661204E-2</v>
      </c>
      <c r="BJ45" s="568">
        <f t="shared" si="94"/>
        <v>0.13609179636645088</v>
      </c>
      <c r="BK45" s="568">
        <f>BJ45*AY45/AX45</f>
        <v>9.9686214558908526E-2</v>
      </c>
      <c r="BL45" s="568">
        <f t="shared" si="94"/>
        <v>0.10133637648150416</v>
      </c>
      <c r="BN45" s="126"/>
      <c r="BO45" s="117"/>
      <c r="BP45" s="118"/>
      <c r="BQ45" s="118"/>
      <c r="BR45" s="118"/>
      <c r="BS45" s="118"/>
      <c r="BT45" s="118"/>
      <c r="BU45" s="118"/>
      <c r="BV45" s="118"/>
      <c r="BW45" s="118"/>
      <c r="BX45" s="118"/>
      <c r="BY45" s="118"/>
      <c r="BZ45" s="118"/>
      <c r="CA45" s="118"/>
      <c r="CB45" s="118"/>
      <c r="CC45" s="118"/>
      <c r="CD45" s="118"/>
      <c r="CE45" s="119"/>
      <c r="CG45" s="186"/>
      <c r="CH45" s="189"/>
      <c r="CI45" s="189"/>
      <c r="CJ45" s="189"/>
      <c r="CK45" s="190"/>
      <c r="CL45" s="190"/>
      <c r="CQ45" s="117"/>
      <c r="CR45" s="118"/>
      <c r="CS45" s="118"/>
      <c r="CT45" s="118"/>
      <c r="CU45" s="118"/>
      <c r="CV45" s="118"/>
      <c r="CW45" s="119"/>
      <c r="CY45" s="99" t="s">
        <v>193</v>
      </c>
      <c r="CZ45" s="260">
        <f t="shared" si="92"/>
        <v>2.2243307219325596E-2</v>
      </c>
      <c r="DA45" s="126">
        <f>DA62/1.017</f>
        <v>5.801376597836776</v>
      </c>
      <c r="DJ45" s="128" t="s">
        <v>247</v>
      </c>
      <c r="DK45" s="139">
        <v>0.29299999999999998</v>
      </c>
      <c r="DL45" s="160">
        <f t="shared" ref="DL45:DL52" si="95">DK45*DL$53</f>
        <v>1.2115842999999999</v>
      </c>
      <c r="DM45" s="121"/>
      <c r="DN45" s="121"/>
      <c r="DO45" s="122"/>
      <c r="DQ45" s="131" t="s">
        <v>200</v>
      </c>
      <c r="DR45" s="228">
        <v>1.0999999999999999E-2</v>
      </c>
      <c r="DS45" s="228">
        <v>1.0999999999999999E-2</v>
      </c>
      <c r="DT45" s="228">
        <v>1.0999999999999999E-2</v>
      </c>
      <c r="DU45" s="228">
        <v>1.2E-2</v>
      </c>
      <c r="DV45" s="228">
        <v>1.4E-2</v>
      </c>
      <c r="DW45" s="228">
        <v>1.4E-2</v>
      </c>
      <c r="DX45" s="228">
        <v>1.4999999999999999E-2</v>
      </c>
      <c r="DY45" s="228">
        <v>1.4999999999999999E-2</v>
      </c>
      <c r="DZ45" s="228">
        <v>1.4E-2</v>
      </c>
      <c r="EA45" s="228">
        <v>1.4E-2</v>
      </c>
      <c r="EB45" s="228">
        <v>1.4E-2</v>
      </c>
      <c r="EC45" s="229">
        <v>1.4E-2</v>
      </c>
      <c r="ED45" s="236">
        <v>1.4999999999999999E-2</v>
      </c>
      <c r="EE45" s="228">
        <v>1.4999999999999999E-2</v>
      </c>
      <c r="EF45" s="228">
        <v>1.4E-2</v>
      </c>
      <c r="EG45" s="228">
        <f>3.2/EG49</f>
        <v>1.3588110403397028E-2</v>
      </c>
      <c r="EH45" s="228">
        <f>4.2/EH49</f>
        <v>1.7849553761155972E-2</v>
      </c>
      <c r="EI45" s="275"/>
      <c r="EJ45" s="363">
        <f t="shared" si="71"/>
        <v>3.0099635754671873E-2</v>
      </c>
      <c r="EM45" s="392" t="s">
        <v>200</v>
      </c>
      <c r="EN45" s="126">
        <v>0.8</v>
      </c>
      <c r="EO45" s="126">
        <v>29.5</v>
      </c>
      <c r="EP45" s="126">
        <f t="shared" si="72"/>
        <v>30.3</v>
      </c>
      <c r="EQ45" s="205">
        <f t="shared" si="73"/>
        <v>3.0099635754671873E-2</v>
      </c>
      <c r="ER45" s="126">
        <f t="shared" si="74"/>
        <v>9.2000000000000012E-2</v>
      </c>
      <c r="ES45" s="126">
        <f t="shared" si="75"/>
        <v>1.0325000000000002</v>
      </c>
      <c r="ET45" s="126">
        <f t="shared" si="76"/>
        <v>1.1245000000000003</v>
      </c>
      <c r="EU45" s="175">
        <f t="shared" si="77"/>
        <v>2.5882990629609335E-2</v>
      </c>
    </row>
    <row r="46" spans="1:151">
      <c r="A46" s="77" t="s">
        <v>191</v>
      </c>
      <c r="B46" s="202">
        <f>SUM(B43:B45)</f>
        <v>8.8161970000000007</v>
      </c>
      <c r="C46" s="202">
        <f t="shared" ref="C46:O46" si="96">SUM(C43:C45)</f>
        <v>7.9071769999999999</v>
      </c>
      <c r="D46" s="202">
        <f t="shared" si="96"/>
        <v>9.0827780000000011</v>
      </c>
      <c r="E46" s="202">
        <f t="shared" si="96"/>
        <v>9.3974890000000002</v>
      </c>
      <c r="F46" s="202">
        <f t="shared" si="96"/>
        <v>10.394646</v>
      </c>
      <c r="G46" s="202">
        <f t="shared" si="96"/>
        <v>10.275532</v>
      </c>
      <c r="H46" s="202">
        <f t="shared" si="96"/>
        <v>9.6520350000000015</v>
      </c>
      <c r="I46" s="202">
        <f t="shared" si="96"/>
        <v>7.3166669999999998</v>
      </c>
      <c r="J46" s="202">
        <f t="shared" si="96"/>
        <v>8.2005499999999998</v>
      </c>
      <c r="K46" s="202">
        <f t="shared" si="96"/>
        <v>5.2837329999999998</v>
      </c>
      <c r="L46" s="202">
        <f t="shared" si="96"/>
        <v>7.1682940000000004</v>
      </c>
      <c r="M46" s="294">
        <f t="shared" si="96"/>
        <v>9.5993909999999989</v>
      </c>
      <c r="N46" s="202">
        <f t="shared" si="96"/>
        <v>10.8986</v>
      </c>
      <c r="O46" s="202">
        <f t="shared" si="96"/>
        <v>9.6798979999999997</v>
      </c>
      <c r="P46" s="202">
        <f t="shared" ref="P46:X46" si="97">SUM(P43:P45)</f>
        <v>10.147200000000002</v>
      </c>
      <c r="Q46" s="202">
        <f t="shared" si="97"/>
        <v>9.4540300000000013</v>
      </c>
      <c r="R46" s="202">
        <f t="shared" si="97"/>
        <v>9.986085000000001</v>
      </c>
      <c r="S46" s="202">
        <f t="shared" si="97"/>
        <v>10.510750999999999</v>
      </c>
      <c r="T46" s="202">
        <f t="shared" si="97"/>
        <v>9.8922520000000009</v>
      </c>
      <c r="U46" s="202">
        <f t="shared" si="97"/>
        <v>8.4443950000000019</v>
      </c>
      <c r="V46" s="202">
        <f t="shared" si="97"/>
        <v>9.0418830000000003</v>
      </c>
      <c r="W46" s="202">
        <f t="shared" si="97"/>
        <v>9.2035030000000013</v>
      </c>
      <c r="X46" s="202">
        <f t="shared" si="97"/>
        <v>8.899483</v>
      </c>
      <c r="Y46" s="294">
        <f t="shared" ref="Y46:AM46" si="98">SUM(Y43:Y45)</f>
        <v>9.4840999999999998</v>
      </c>
      <c r="Z46" s="202">
        <f t="shared" si="98"/>
        <v>10.355188999999999</v>
      </c>
      <c r="AA46" s="202">
        <f t="shared" si="98"/>
        <v>8.6962790000000005</v>
      </c>
      <c r="AB46" s="202">
        <f t="shared" si="98"/>
        <v>9.4982129999999998</v>
      </c>
      <c r="AC46" s="202">
        <f t="shared" si="98"/>
        <v>8.9469719999999988</v>
      </c>
      <c r="AD46" s="202">
        <f t="shared" si="98"/>
        <v>9.0958970000000008</v>
      </c>
      <c r="AE46" s="202">
        <f t="shared" si="98"/>
        <v>8.8583349999999985</v>
      </c>
      <c r="AF46" s="202">
        <f t="shared" si="98"/>
        <v>8.7562259999999998</v>
      </c>
      <c r="AG46" s="202">
        <f t="shared" si="98"/>
        <v>7.2837119999999995</v>
      </c>
      <c r="AH46" s="202">
        <f t="shared" si="98"/>
        <v>6.8446500000000006</v>
      </c>
      <c r="AI46" s="202">
        <f t="shared" si="98"/>
        <v>7.6693960000000008</v>
      </c>
      <c r="AJ46" s="202">
        <f t="shared" si="98"/>
        <v>8.1389300000000002</v>
      </c>
      <c r="AK46" s="294">
        <f t="shared" si="98"/>
        <v>7.5230429999999986</v>
      </c>
      <c r="AL46" s="202">
        <f t="shared" si="98"/>
        <v>7.6150150000000005</v>
      </c>
      <c r="AM46" s="202">
        <f t="shared" si="98"/>
        <v>6.6815599999999993</v>
      </c>
      <c r="AN46" s="202">
        <f t="shared" ref="AN46:BA46" si="99">SUM(AN43:AN45)</f>
        <v>7.1778789999999999</v>
      </c>
      <c r="AO46" s="202">
        <f t="shared" si="99"/>
        <v>6.8174899999999994</v>
      </c>
      <c r="AP46" s="202">
        <f t="shared" si="99"/>
        <v>6.7826570000000004</v>
      </c>
      <c r="AQ46" s="202">
        <f t="shared" si="99"/>
        <v>6.9619799999999996</v>
      </c>
      <c r="AR46" s="202">
        <f t="shared" si="99"/>
        <v>5.1308330000000009</v>
      </c>
      <c r="AS46" s="202">
        <f t="shared" si="99"/>
        <v>4.465611</v>
      </c>
      <c r="AT46" s="202">
        <f t="shared" si="99"/>
        <v>3.948896</v>
      </c>
      <c r="AU46" s="202">
        <f t="shared" si="99"/>
        <v>4.5937190000000001</v>
      </c>
      <c r="AV46" s="202">
        <f t="shared" si="99"/>
        <v>4.9402020000000002</v>
      </c>
      <c r="AW46" s="294">
        <f t="shared" si="99"/>
        <v>5.5369220000000006</v>
      </c>
      <c r="AX46" s="202">
        <f t="shared" si="99"/>
        <v>3.2229750000000004</v>
      </c>
      <c r="AY46" s="202">
        <f t="shared" si="99"/>
        <v>3.7445539999999999</v>
      </c>
      <c r="AZ46" s="202">
        <f t="shared" si="99"/>
        <v>4.8767050000000003</v>
      </c>
      <c r="BA46" s="202">
        <f t="shared" si="99"/>
        <v>5.2323250000000003</v>
      </c>
      <c r="BB46" s="202">
        <f t="shared" ref="BB46:BG46" si="100">SUM(BB43:BB45)</f>
        <v>10.222484</v>
      </c>
      <c r="BC46" s="202">
        <f t="shared" si="100"/>
        <v>8.723452</v>
      </c>
      <c r="BD46" s="202">
        <f t="shared" si="100"/>
        <v>7.9896859999999998</v>
      </c>
      <c r="BE46" s="202">
        <f t="shared" si="100"/>
        <v>6.3843829999999997</v>
      </c>
      <c r="BF46" s="202">
        <f t="shared" si="100"/>
        <v>5.5382297743227884</v>
      </c>
      <c r="BG46" s="202">
        <f t="shared" si="100"/>
        <v>6.3266837137195262</v>
      </c>
      <c r="BH46" s="202">
        <f t="shared" ref="BH46:BL46" si="101">SUM(BH43:BH45)</f>
        <v>6.1797531607021883</v>
      </c>
      <c r="BI46" s="294">
        <f t="shared" si="101"/>
        <v>6.2111840464492341</v>
      </c>
      <c r="BJ46" s="202">
        <f t="shared" si="101"/>
        <v>6.270478986782047</v>
      </c>
      <c r="BK46" s="202">
        <f t="shared" si="101"/>
        <v>4.9846554863458801</v>
      </c>
      <c r="BL46" s="202">
        <f t="shared" si="101"/>
        <v>5.3686221965498344</v>
      </c>
      <c r="BN46" s="126"/>
      <c r="BO46" s="117"/>
      <c r="BP46" s="118"/>
      <c r="BQ46" s="118"/>
      <c r="BR46" s="118"/>
      <c r="BS46" s="118"/>
      <c r="BT46" s="118"/>
      <c r="BU46" s="118"/>
      <c r="BV46" s="118"/>
      <c r="BW46" s="118"/>
      <c r="BX46" s="118"/>
      <c r="BY46" s="118"/>
      <c r="BZ46" s="118"/>
      <c r="CA46" s="118"/>
      <c r="CB46" s="118"/>
      <c r="CC46" s="118"/>
      <c r="CD46" s="118"/>
      <c r="CE46" s="119"/>
      <c r="CQ46" s="117"/>
      <c r="CR46" s="118"/>
      <c r="CS46" s="118"/>
      <c r="CT46" s="118"/>
      <c r="CU46" s="118"/>
      <c r="CV46" s="118"/>
      <c r="CW46" s="119"/>
      <c r="CY46" s="99" t="s">
        <v>81</v>
      </c>
      <c r="CZ46" s="260">
        <f t="shared" si="92"/>
        <v>1.6868405396239402E-2</v>
      </c>
      <c r="DA46" s="126">
        <f>DA63/1.682</f>
        <v>4.3995243757431632</v>
      </c>
      <c r="DJ46" s="128" t="s">
        <v>270</v>
      </c>
      <c r="DK46" s="139">
        <v>0.15</v>
      </c>
      <c r="DL46" s="160">
        <f t="shared" si="95"/>
        <v>0.62026500000000007</v>
      </c>
      <c r="DM46" s="121"/>
      <c r="DN46" s="121"/>
      <c r="DO46" s="122"/>
      <c r="DQ46" s="131" t="s">
        <v>277</v>
      </c>
      <c r="DR46" s="274"/>
      <c r="DS46" s="274"/>
      <c r="DT46" s="274"/>
      <c r="DU46" s="274"/>
      <c r="DV46" s="274"/>
      <c r="DW46" s="274"/>
      <c r="DX46" s="274"/>
      <c r="DY46" s="274"/>
      <c r="DZ46" s="274"/>
      <c r="EA46" s="274"/>
      <c r="EB46" s="274"/>
      <c r="EC46" s="275"/>
      <c r="ED46" s="276"/>
      <c r="EE46" s="274"/>
      <c r="EF46" s="274"/>
      <c r="EG46" s="228">
        <f>2/EG49</f>
        <v>8.4925690021231421E-3</v>
      </c>
      <c r="EH46" s="228">
        <f>1.8/EH49</f>
        <v>7.6498087547811301E-3</v>
      </c>
      <c r="EI46" s="229">
        <f>1.6/EI49</f>
        <v>7.2430964237211407E-3</v>
      </c>
      <c r="EJ46" s="363">
        <f t="shared" si="71"/>
        <v>0</v>
      </c>
      <c r="EM46" s="392" t="s">
        <v>277</v>
      </c>
      <c r="EN46" s="126"/>
      <c r="EO46" s="126"/>
      <c r="EP46" s="126">
        <f t="shared" si="72"/>
        <v>0</v>
      </c>
      <c r="EQ46" s="205">
        <f t="shared" si="73"/>
        <v>0</v>
      </c>
      <c r="ER46" s="126">
        <f t="shared" si="74"/>
        <v>0</v>
      </c>
      <c r="ES46" s="126">
        <f t="shared" si="75"/>
        <v>0</v>
      </c>
      <c r="ET46" s="126">
        <f t="shared" si="76"/>
        <v>0</v>
      </c>
      <c r="EU46" s="175">
        <f t="shared" si="77"/>
        <v>0</v>
      </c>
    </row>
    <row r="47" spans="1:151">
      <c r="A47" s="76" t="s">
        <v>192</v>
      </c>
      <c r="B47" s="196">
        <v>78.522623999999993</v>
      </c>
      <c r="C47" s="196">
        <v>95.414461000000003</v>
      </c>
      <c r="D47" s="196">
        <v>113.01165</v>
      </c>
      <c r="E47" s="196">
        <v>90.228502000000006</v>
      </c>
      <c r="F47" s="196">
        <v>77.227982999999995</v>
      </c>
      <c r="G47" s="196">
        <v>78.176924999999997</v>
      </c>
      <c r="H47" s="196">
        <v>34.996326000000003</v>
      </c>
      <c r="I47" s="196">
        <v>64.790772000000004</v>
      </c>
      <c r="J47" s="196">
        <v>95.305972999999994</v>
      </c>
      <c r="K47" s="196">
        <v>113.408214</v>
      </c>
      <c r="L47" s="196">
        <v>134.99067299999999</v>
      </c>
      <c r="M47" s="197">
        <v>93.639054999999999</v>
      </c>
      <c r="N47" s="196">
        <v>101.96912500000001</v>
      </c>
      <c r="O47" s="196">
        <v>110.63694099999999</v>
      </c>
      <c r="P47" s="196">
        <v>117.32700000000001</v>
      </c>
      <c r="Q47" s="196">
        <v>119.378176</v>
      </c>
      <c r="R47" s="196">
        <v>121.259477</v>
      </c>
      <c r="S47" s="196">
        <v>61.733257000000002</v>
      </c>
      <c r="T47" s="196">
        <v>43.732425999999997</v>
      </c>
      <c r="U47" s="196">
        <v>79.760581999999999</v>
      </c>
      <c r="V47" s="196">
        <v>124.51696099999999</v>
      </c>
      <c r="W47" s="196">
        <v>122.879088</v>
      </c>
      <c r="X47" s="196">
        <v>118.794642</v>
      </c>
      <c r="Y47" s="197">
        <v>99.762422999999998</v>
      </c>
      <c r="Z47" s="196">
        <v>139.79330300000001</v>
      </c>
      <c r="AA47" s="196">
        <v>134.04810699999999</v>
      </c>
      <c r="AB47" s="196">
        <v>140.70868100000001</v>
      </c>
      <c r="AC47" s="196">
        <v>140.453429</v>
      </c>
      <c r="AD47" s="196">
        <v>100.18446299999999</v>
      </c>
      <c r="AE47" s="196">
        <v>100.14335</v>
      </c>
      <c r="AF47" s="196">
        <v>58.650838999999998</v>
      </c>
      <c r="AG47" s="196">
        <v>66.970759000000001</v>
      </c>
      <c r="AH47" s="196">
        <f>AH260</f>
        <v>100.518809</v>
      </c>
      <c r="AI47" s="196">
        <v>129.144766</v>
      </c>
      <c r="AJ47" s="196">
        <v>134.97162299999999</v>
      </c>
      <c r="AK47" s="197">
        <v>107.590265</v>
      </c>
      <c r="AL47" s="196">
        <v>137.84542500000001</v>
      </c>
      <c r="AM47" s="196">
        <f>AM260</f>
        <v>129.5857</v>
      </c>
      <c r="AN47" s="196">
        <f>AN260</f>
        <v>104.949535</v>
      </c>
      <c r="AO47" s="196">
        <v>107.03106</v>
      </c>
      <c r="AP47" s="196">
        <v>97.440743999999995</v>
      </c>
      <c r="AQ47" s="196">
        <v>51.434434000000003</v>
      </c>
      <c r="AR47" s="196">
        <f>AR260</f>
        <v>42.081000000000003</v>
      </c>
      <c r="AS47" s="196">
        <v>51.875073</v>
      </c>
      <c r="AT47" s="196">
        <f>AT260</f>
        <v>93.620209000000003</v>
      </c>
      <c r="AU47" s="196">
        <v>115.59275700000001</v>
      </c>
      <c r="AV47" s="196">
        <f>AV260</f>
        <v>101.33816400000001</v>
      </c>
      <c r="AW47" s="197">
        <v>92.398996999999994</v>
      </c>
      <c r="AX47" s="196">
        <v>105.09913299999999</v>
      </c>
      <c r="AY47" s="555">
        <v>101.192812</v>
      </c>
      <c r="AZ47" s="555">
        <f>AZ260</f>
        <v>105.91833099999999</v>
      </c>
      <c r="BA47" s="196">
        <f>BA260</f>
        <v>105.740047</v>
      </c>
      <c r="BB47" s="196">
        <v>94.224400000000003</v>
      </c>
      <c r="BC47" s="196">
        <v>85.260591000000005</v>
      </c>
      <c r="BD47" s="196">
        <v>55.644278</v>
      </c>
      <c r="BE47" s="196">
        <v>70.579346999999999</v>
      </c>
      <c r="BF47" s="568">
        <f>BE47*AT47/AS47</f>
        <v>127.37626831336745</v>
      </c>
      <c r="BG47" s="568">
        <f t="shared" si="94"/>
        <v>147.15437437481381</v>
      </c>
      <c r="BH47" s="568">
        <f t="shared" si="94"/>
        <v>167.80153855065763</v>
      </c>
      <c r="BI47" s="569">
        <f t="shared" si="94"/>
        <v>97.517273778425633</v>
      </c>
      <c r="BJ47" s="568">
        <f t="shared" si="94"/>
        <v>146.06016282130889</v>
      </c>
      <c r="BK47" s="568">
        <f t="shared" si="94"/>
        <v>168.41152034410879</v>
      </c>
      <c r="BL47" s="568">
        <f t="shared" si="94"/>
        <v>156.40328960859182</v>
      </c>
      <c r="BN47" s="260"/>
      <c r="BO47" s="117"/>
      <c r="BP47" s="118"/>
      <c r="BQ47" s="118"/>
      <c r="BR47" s="118"/>
      <c r="BS47" s="118"/>
      <c r="BT47" s="118"/>
      <c r="BU47" s="118"/>
      <c r="BV47" s="118"/>
      <c r="BW47" s="118"/>
      <c r="BX47" s="118"/>
      <c r="BY47" s="118"/>
      <c r="BZ47" s="118"/>
      <c r="CA47" s="118"/>
      <c r="CB47" s="118"/>
      <c r="CC47" s="118"/>
      <c r="CD47" s="118"/>
      <c r="CE47" s="119"/>
      <c r="CQ47" s="117"/>
      <c r="CR47" s="118"/>
      <c r="CS47" s="118"/>
      <c r="CT47" s="118"/>
      <c r="CU47" s="118"/>
      <c r="CV47" s="118"/>
      <c r="CW47" s="119"/>
      <c r="CY47" s="99" t="s">
        <v>200</v>
      </c>
      <c r="CZ47" s="260">
        <f t="shared" si="92"/>
        <v>1.111865590689347E-2</v>
      </c>
      <c r="DA47" s="209">
        <f>DA64/1.069</f>
        <v>2.899906454630496</v>
      </c>
      <c r="DJ47" s="128" t="s">
        <v>360</v>
      </c>
      <c r="DK47" s="139">
        <v>0.1666</v>
      </c>
      <c r="DL47" s="160">
        <f t="shared" si="95"/>
        <v>0.68890766000000003</v>
      </c>
      <c r="DM47" s="121"/>
      <c r="DN47" s="121"/>
      <c r="DO47" s="122"/>
      <c r="DQ47" s="131" t="s">
        <v>214</v>
      </c>
      <c r="DR47" s="274"/>
      <c r="DS47" s="274"/>
      <c r="DT47" s="274"/>
      <c r="DU47" s="274"/>
      <c r="DV47" s="274"/>
      <c r="DW47" s="274"/>
      <c r="DX47" s="274"/>
      <c r="DY47" s="274"/>
      <c r="DZ47" s="274"/>
      <c r="EA47" s="274"/>
      <c r="EB47" s="274"/>
      <c r="EC47" s="275"/>
      <c r="ED47" s="276"/>
      <c r="EE47" s="274"/>
      <c r="EF47" s="274"/>
      <c r="EG47" s="228">
        <f>0.9/EG49</f>
        <v>3.821656050955414E-3</v>
      </c>
      <c r="EH47" s="228">
        <f>1/EH49</f>
        <v>4.2498937526561833E-3</v>
      </c>
      <c r="EI47" s="229">
        <f>0.7/EI49</f>
        <v>3.1688546853779987E-3</v>
      </c>
      <c r="EJ47" s="363">
        <f t="shared" si="71"/>
        <v>5.960323911816212E-4</v>
      </c>
      <c r="EM47" s="392" t="s">
        <v>214</v>
      </c>
      <c r="EN47" s="126">
        <v>0.6</v>
      </c>
      <c r="EO47" s="126"/>
      <c r="EP47" s="126">
        <f t="shared" si="72"/>
        <v>0.6</v>
      </c>
      <c r="EQ47" s="205">
        <f t="shared" si="73"/>
        <v>5.960323911816212E-4</v>
      </c>
      <c r="ER47" s="126">
        <f t="shared" si="74"/>
        <v>6.9000000000000006E-2</v>
      </c>
      <c r="ES47" s="126">
        <f t="shared" si="75"/>
        <v>0</v>
      </c>
      <c r="ET47" s="126">
        <f t="shared" si="76"/>
        <v>6.9000000000000006E-2</v>
      </c>
      <c r="EU47" s="175">
        <f t="shared" si="77"/>
        <v>1.5881959568190696E-3</v>
      </c>
    </row>
    <row r="48" spans="1:151">
      <c r="A48" s="77" t="s">
        <v>82</v>
      </c>
      <c r="B48" s="202">
        <f>SUM(B46:B47)</f>
        <v>87.338820999999996</v>
      </c>
      <c r="C48" s="202">
        <f t="shared" ref="C48:O48" si="102">SUM(C46:C47)</f>
        <v>103.32163800000001</v>
      </c>
      <c r="D48" s="202">
        <f t="shared" si="102"/>
        <v>122.09442800000001</v>
      </c>
      <c r="E48" s="202">
        <f t="shared" si="102"/>
        <v>99.625990999999999</v>
      </c>
      <c r="F48" s="202">
        <f t="shared" si="102"/>
        <v>87.622628999999989</v>
      </c>
      <c r="G48" s="202">
        <f t="shared" si="102"/>
        <v>88.452456999999995</v>
      </c>
      <c r="H48" s="202">
        <f t="shared" si="102"/>
        <v>44.648361000000008</v>
      </c>
      <c r="I48" s="202">
        <f t="shared" si="102"/>
        <v>72.107438999999999</v>
      </c>
      <c r="J48" s="202">
        <f t="shared" si="102"/>
        <v>103.50652299999999</v>
      </c>
      <c r="K48" s="202">
        <f t="shared" si="102"/>
        <v>118.691947</v>
      </c>
      <c r="L48" s="202">
        <f t="shared" si="102"/>
        <v>142.15896699999999</v>
      </c>
      <c r="M48" s="294">
        <f t="shared" si="102"/>
        <v>103.238446</v>
      </c>
      <c r="N48" s="202">
        <f t="shared" si="102"/>
        <v>112.86772500000001</v>
      </c>
      <c r="O48" s="202">
        <f t="shared" si="102"/>
        <v>120.31683899999999</v>
      </c>
      <c r="P48" s="202">
        <f t="shared" ref="P48:X48" si="103">SUM(P46:P47)</f>
        <v>127.47420000000001</v>
      </c>
      <c r="Q48" s="202">
        <f t="shared" si="103"/>
        <v>128.83220599999999</v>
      </c>
      <c r="R48" s="202">
        <f t="shared" si="103"/>
        <v>131.24556200000001</v>
      </c>
      <c r="S48" s="202">
        <f t="shared" si="103"/>
        <v>72.244008000000008</v>
      </c>
      <c r="T48" s="202">
        <f t="shared" si="103"/>
        <v>53.624677999999996</v>
      </c>
      <c r="U48" s="202">
        <f t="shared" si="103"/>
        <v>88.204977</v>
      </c>
      <c r="V48" s="202">
        <f t="shared" si="103"/>
        <v>133.55884399999999</v>
      </c>
      <c r="W48" s="202">
        <f t="shared" si="103"/>
        <v>132.08259100000001</v>
      </c>
      <c r="X48" s="202">
        <f t="shared" si="103"/>
        <v>127.694125</v>
      </c>
      <c r="Y48" s="294">
        <f t="shared" ref="Y48:AM48" si="104">SUM(Y46:Y47)</f>
        <v>109.246523</v>
      </c>
      <c r="Z48" s="202">
        <f t="shared" si="104"/>
        <v>150.148492</v>
      </c>
      <c r="AA48" s="202">
        <f t="shared" si="104"/>
        <v>142.74438599999999</v>
      </c>
      <c r="AB48" s="202">
        <f t="shared" si="104"/>
        <v>150.20689400000001</v>
      </c>
      <c r="AC48" s="202">
        <f t="shared" si="104"/>
        <v>149.40040099999999</v>
      </c>
      <c r="AD48" s="202">
        <f t="shared" si="104"/>
        <v>109.28036</v>
      </c>
      <c r="AE48" s="202">
        <f t="shared" si="104"/>
        <v>109.00168499999999</v>
      </c>
      <c r="AF48" s="202">
        <f t="shared" si="104"/>
        <v>67.407065000000003</v>
      </c>
      <c r="AG48" s="202">
        <f t="shared" si="104"/>
        <v>74.254470999999995</v>
      </c>
      <c r="AH48" s="202">
        <f t="shared" si="104"/>
        <v>107.36345900000001</v>
      </c>
      <c r="AI48" s="202">
        <f t="shared" si="104"/>
        <v>136.81416200000001</v>
      </c>
      <c r="AJ48" s="202">
        <f t="shared" si="104"/>
        <v>143.11055299999998</v>
      </c>
      <c r="AK48" s="294">
        <f t="shared" si="104"/>
        <v>115.113308</v>
      </c>
      <c r="AL48" s="202">
        <f t="shared" si="104"/>
        <v>145.46044000000001</v>
      </c>
      <c r="AM48" s="202">
        <f t="shared" si="104"/>
        <v>136.26725999999999</v>
      </c>
      <c r="AN48" s="202">
        <f t="shared" ref="AN48:BA48" si="105">SUM(AN46:AN47)</f>
        <v>112.127414</v>
      </c>
      <c r="AO48" s="202">
        <f t="shared" si="105"/>
        <v>113.84854999999999</v>
      </c>
      <c r="AP48" s="202">
        <f t="shared" si="105"/>
        <v>104.223401</v>
      </c>
      <c r="AQ48" s="202">
        <f t="shared" si="105"/>
        <v>58.396414</v>
      </c>
      <c r="AR48" s="202">
        <f t="shared" si="105"/>
        <v>47.211833000000006</v>
      </c>
      <c r="AS48" s="202">
        <f t="shared" si="105"/>
        <v>56.340684000000003</v>
      </c>
      <c r="AT48" s="202">
        <f t="shared" si="105"/>
        <v>97.569105000000008</v>
      </c>
      <c r="AU48" s="202">
        <f t="shared" si="105"/>
        <v>120.186476</v>
      </c>
      <c r="AV48" s="202">
        <f t="shared" si="105"/>
        <v>106.27836600000001</v>
      </c>
      <c r="AW48" s="294">
        <f t="shared" si="105"/>
        <v>97.935918999999998</v>
      </c>
      <c r="AX48" s="202">
        <f t="shared" si="105"/>
        <v>108.322108</v>
      </c>
      <c r="AY48" s="202">
        <f t="shared" si="105"/>
        <v>104.937366</v>
      </c>
      <c r="AZ48" s="202">
        <f t="shared" si="105"/>
        <v>110.795036</v>
      </c>
      <c r="BA48" s="202">
        <f t="shared" si="105"/>
        <v>110.97237200000001</v>
      </c>
      <c r="BB48" s="202">
        <f t="shared" ref="BB48:BG48" si="106">SUM(BB46:BB47)</f>
        <v>104.446884</v>
      </c>
      <c r="BC48" s="202">
        <f t="shared" si="106"/>
        <v>93.984043</v>
      </c>
      <c r="BD48" s="202">
        <f t="shared" si="106"/>
        <v>63.633963999999999</v>
      </c>
      <c r="BE48" s="202">
        <f t="shared" si="106"/>
        <v>76.963729999999998</v>
      </c>
      <c r="BF48" s="202">
        <f t="shared" si="106"/>
        <v>132.91449808769025</v>
      </c>
      <c r="BG48" s="202">
        <f t="shared" si="106"/>
        <v>153.48105808853333</v>
      </c>
      <c r="BH48" s="202">
        <f t="shared" ref="BH48:BL48" si="107">SUM(BH46:BH47)</f>
        <v>173.9812917113598</v>
      </c>
      <c r="BI48" s="294">
        <f t="shared" si="107"/>
        <v>103.72845782487487</v>
      </c>
      <c r="BJ48" s="202">
        <f t="shared" si="107"/>
        <v>152.33064180809095</v>
      </c>
      <c r="BK48" s="202">
        <f t="shared" si="107"/>
        <v>173.39617583045467</v>
      </c>
      <c r="BL48" s="202">
        <f t="shared" si="107"/>
        <v>161.77191180514166</v>
      </c>
      <c r="BO48" s="117"/>
      <c r="BP48" s="118"/>
      <c r="BQ48" s="118"/>
      <c r="BR48" s="118"/>
      <c r="BS48" s="118"/>
      <c r="BT48" s="118"/>
      <c r="BU48" s="118"/>
      <c r="BV48" s="118"/>
      <c r="BW48" s="118"/>
      <c r="BX48" s="118"/>
      <c r="BY48" s="118"/>
      <c r="BZ48" s="118"/>
      <c r="CA48" s="118"/>
      <c r="CB48" s="118"/>
      <c r="CC48" s="118"/>
      <c r="CD48" s="118"/>
      <c r="CE48" s="119"/>
      <c r="CQ48" s="117"/>
      <c r="CR48" s="118"/>
      <c r="CS48" s="118"/>
      <c r="CT48" s="118"/>
      <c r="CU48" s="118"/>
      <c r="CV48" s="118"/>
      <c r="CW48" s="119"/>
      <c r="CY48" s="99" t="s">
        <v>299</v>
      </c>
      <c r="CZ48" s="260">
        <f t="shared" si="92"/>
        <v>8.3001873733253906E-2</v>
      </c>
      <c r="DA48" s="126">
        <f>DA51-DA39-DA40-DA41-DA42-DA43-DA44-DA45-DA46-DA47</f>
        <v>21.648090506718351</v>
      </c>
      <c r="DJ48" s="128" t="s">
        <v>193</v>
      </c>
      <c r="DK48" s="139">
        <v>0.02</v>
      </c>
      <c r="DL48" s="160">
        <f t="shared" si="95"/>
        <v>8.2702000000000012E-2</v>
      </c>
      <c r="DM48" s="121"/>
      <c r="DN48" s="121"/>
      <c r="DO48" s="122"/>
      <c r="DQ48" s="208" t="s">
        <v>174</v>
      </c>
      <c r="DR48" s="228">
        <v>3.0000000000000001E-3</v>
      </c>
      <c r="DS48" s="228">
        <v>3.9E-2</v>
      </c>
      <c r="DT48" s="228">
        <v>3.7999999999999999E-2</v>
      </c>
      <c r="DU48" s="228">
        <v>0.03</v>
      </c>
      <c r="DV48" s="228">
        <v>0.04</v>
      </c>
      <c r="DW48" s="228">
        <v>4.2999999999999997E-2</v>
      </c>
      <c r="DX48" s="228">
        <v>4.2000000000000003E-2</v>
      </c>
      <c r="DY48" s="228">
        <v>3.9E-2</v>
      </c>
      <c r="DZ48" s="228">
        <v>0.04</v>
      </c>
      <c r="EA48" s="228">
        <v>2.1999999999999999E-2</v>
      </c>
      <c r="EB48" s="228">
        <v>2.1999999999999999E-2</v>
      </c>
      <c r="EC48" s="229">
        <v>2.1000000000000001E-2</v>
      </c>
      <c r="ED48" s="236">
        <v>2.3E-2</v>
      </c>
      <c r="EE48" s="228">
        <v>3.7999999999999999E-2</v>
      </c>
      <c r="EF48" s="228">
        <f>1-SUM(EF34:EF45)</f>
        <v>6.3999999999999835E-2</v>
      </c>
      <c r="EG48" s="228">
        <f>1-SUM(EG34:EG47)</f>
        <v>7.6433121019108263E-3</v>
      </c>
      <c r="EH48" s="228">
        <f>1-SUM(EH34:EH47)</f>
        <v>6.799830004249996E-3</v>
      </c>
      <c r="EI48" s="229">
        <f>1-SUM(EI34:EI47)</f>
        <v>3.9005885015844455E-2</v>
      </c>
      <c r="EJ48" s="363">
        <f t="shared" si="71"/>
        <v>0.1018544852480493</v>
      </c>
      <c r="EM48" s="390" t="s">
        <v>174</v>
      </c>
      <c r="EN48" s="126">
        <v>8.1999999999999993</v>
      </c>
      <c r="EO48" s="126">
        <f>180.1-EO38-EO39-EO40</f>
        <v>94.332499999999996</v>
      </c>
      <c r="EP48" s="126">
        <f t="shared" si="72"/>
        <v>102.5325</v>
      </c>
      <c r="EQ48" s="205">
        <f t="shared" si="73"/>
        <v>0.1018544852480493</v>
      </c>
      <c r="ER48" s="126">
        <f t="shared" si="74"/>
        <v>0.94299999999999995</v>
      </c>
      <c r="ES48" s="126">
        <f t="shared" si="75"/>
        <v>3.3016375</v>
      </c>
      <c r="ET48" s="126">
        <f t="shared" si="76"/>
        <v>4.2446374999999996</v>
      </c>
      <c r="EU48" s="175">
        <f t="shared" si="77"/>
        <v>9.7700233560327573E-2</v>
      </c>
    </row>
    <row r="49" spans="1:172" ht="16" thickBot="1">
      <c r="A49" s="76"/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7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7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7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7"/>
      <c r="AX49" s="196"/>
      <c r="AY49" s="555"/>
      <c r="AZ49" s="555"/>
      <c r="BA49" s="196"/>
      <c r="BB49" s="196"/>
      <c r="BC49" s="196"/>
      <c r="BD49" s="196"/>
      <c r="BE49" s="196"/>
      <c r="BF49" s="196"/>
      <c r="BG49" s="196"/>
      <c r="BH49" s="196"/>
      <c r="BI49" s="197"/>
      <c r="BJ49" s="196"/>
      <c r="BK49" s="196"/>
      <c r="BL49" s="196"/>
      <c r="BN49" s="260"/>
      <c r="BO49" s="117"/>
      <c r="BP49" s="118"/>
      <c r="BQ49" s="118"/>
      <c r="BR49" s="118"/>
      <c r="BS49" s="118"/>
      <c r="BT49" s="118"/>
      <c r="BU49" s="118"/>
      <c r="BV49" s="118"/>
      <c r="BW49" s="118"/>
      <c r="BX49" s="118"/>
      <c r="BY49" s="118"/>
      <c r="BZ49" s="118"/>
      <c r="CA49" s="118"/>
      <c r="CB49" s="118"/>
      <c r="CC49" s="118"/>
      <c r="CD49" s="118"/>
      <c r="CE49" s="119"/>
      <c r="CQ49" s="117"/>
      <c r="CR49" s="118"/>
      <c r="CS49" s="118"/>
      <c r="CT49" s="118"/>
      <c r="CU49" s="118"/>
      <c r="CV49" s="118"/>
      <c r="CW49" s="119"/>
      <c r="CZ49" s="260"/>
      <c r="DA49" s="126"/>
      <c r="DJ49" s="128"/>
      <c r="DK49" s="139"/>
      <c r="DL49" s="160"/>
      <c r="DM49" s="121"/>
      <c r="DN49" s="121"/>
      <c r="DO49" s="122"/>
      <c r="DQ49" s="211" t="s">
        <v>178</v>
      </c>
      <c r="DR49" s="221">
        <v>285.10000000000002</v>
      </c>
      <c r="DS49" s="221">
        <v>260.7</v>
      </c>
      <c r="DT49" s="221">
        <v>288</v>
      </c>
      <c r="DU49" s="221">
        <v>267</v>
      </c>
      <c r="DV49" s="221">
        <v>278</v>
      </c>
      <c r="DW49" s="221">
        <v>241.8</v>
      </c>
      <c r="DX49" s="221">
        <v>231.7</v>
      </c>
      <c r="DY49" s="221">
        <v>221</v>
      </c>
      <c r="DZ49" s="221">
        <v>245</v>
      </c>
      <c r="EA49" s="221">
        <v>254</v>
      </c>
      <c r="EB49" s="221">
        <v>245.7</v>
      </c>
      <c r="EC49" s="222">
        <v>257</v>
      </c>
      <c r="ED49" s="238">
        <v>287</v>
      </c>
      <c r="EE49" s="221">
        <v>248.4</v>
      </c>
      <c r="EF49" s="221">
        <v>270.5</v>
      </c>
      <c r="EG49" s="221">
        <v>235.5</v>
      </c>
      <c r="EH49" s="221">
        <v>235.3</v>
      </c>
      <c r="EI49" s="222">
        <v>220.9</v>
      </c>
      <c r="EJ49" s="364">
        <f>102.7+904</f>
        <v>1006.7</v>
      </c>
      <c r="EM49" s="397" t="s">
        <v>266</v>
      </c>
      <c r="EN49" s="398">
        <f>SUM(EN34:EN48)</f>
        <v>102.65669999999999</v>
      </c>
      <c r="EO49" s="398">
        <f>SUM(EO34:EO48)</f>
        <v>904</v>
      </c>
      <c r="EP49" s="398">
        <f>SUM(EP34:EP48)</f>
        <v>1006.6567000000001</v>
      </c>
      <c r="EQ49" s="399">
        <f t="shared" si="73"/>
        <v>1</v>
      </c>
      <c r="ER49" s="398">
        <f>SUM(ER34:ER48)</f>
        <v>11.805520500000002</v>
      </c>
      <c r="ES49" s="398">
        <f>SUM(ES34:ES48)</f>
        <v>31.64</v>
      </c>
      <c r="ET49" s="398">
        <f>SUM(ET34:ET48)</f>
        <v>43.445520500000001</v>
      </c>
      <c r="EU49" s="400">
        <f t="shared" si="77"/>
        <v>1</v>
      </c>
    </row>
    <row r="50" spans="1:172" ht="16" thickBot="1">
      <c r="A50" s="76" t="s">
        <v>102</v>
      </c>
      <c r="B50" s="196"/>
      <c r="C50" s="196"/>
      <c r="D50" s="196"/>
      <c r="E50" s="196"/>
      <c r="F50" s="196"/>
      <c r="G50" s="196"/>
      <c r="H50" s="196"/>
      <c r="I50" s="196"/>
      <c r="J50" s="196">
        <v>18.144030000000001</v>
      </c>
      <c r="K50" s="196">
        <v>50.857351000000001</v>
      </c>
      <c r="L50" s="196">
        <v>73.857975999999994</v>
      </c>
      <c r="M50" s="197">
        <v>99.562878999999995</v>
      </c>
      <c r="N50" s="196">
        <v>141.68683999999999</v>
      </c>
      <c r="O50" s="196">
        <v>143.18586400000001</v>
      </c>
      <c r="P50" s="196">
        <v>182.097094</v>
      </c>
      <c r="Q50" s="196">
        <v>187.59386599999999</v>
      </c>
      <c r="R50" s="196">
        <v>199.719133</v>
      </c>
      <c r="S50" s="196">
        <v>188.62227100000001</v>
      </c>
      <c r="T50" s="196">
        <v>184.22383199999999</v>
      </c>
      <c r="U50" s="196">
        <v>177.429745</v>
      </c>
      <c r="V50" s="196">
        <v>211.22119699999999</v>
      </c>
      <c r="W50" s="196">
        <v>238.44527199999999</v>
      </c>
      <c r="X50" s="196">
        <v>241.67434499999999</v>
      </c>
      <c r="Y50" s="197">
        <v>251.61978500000001</v>
      </c>
      <c r="Z50" s="196">
        <v>297.95023600000002</v>
      </c>
      <c r="AA50" s="196">
        <v>261.51424200000002</v>
      </c>
      <c r="AB50" s="196">
        <v>290.76387899999997</v>
      </c>
      <c r="AC50" s="196">
        <v>272.703554</v>
      </c>
      <c r="AD50" s="196">
        <v>283.90104600000001</v>
      </c>
      <c r="AE50" s="196">
        <v>246.38532699999999</v>
      </c>
      <c r="AF50" s="196">
        <v>236.04536999999999</v>
      </c>
      <c r="AG50" s="196">
        <v>225.428</v>
      </c>
      <c r="AH50" s="196">
        <v>249.217904</v>
      </c>
      <c r="AI50" s="196">
        <v>263.16627399999999</v>
      </c>
      <c r="AJ50" s="196">
        <v>252.34911399999999</v>
      </c>
      <c r="AK50" s="197">
        <v>266.41988199999997</v>
      </c>
      <c r="AL50" s="196">
        <v>298.56581299999999</v>
      </c>
      <c r="AM50" s="196">
        <v>253.08331899999999</v>
      </c>
      <c r="AN50" s="196">
        <v>269.951663</v>
      </c>
      <c r="AO50" s="196">
        <v>241.05649600000001</v>
      </c>
      <c r="AP50" s="196">
        <v>247.80338800000001</v>
      </c>
      <c r="AQ50" s="196">
        <v>225.73201399999999</v>
      </c>
      <c r="AR50" s="196">
        <v>160.80692500000001</v>
      </c>
      <c r="AS50" s="196">
        <v>94.20693</v>
      </c>
      <c r="AT50" s="196">
        <v>102.240415</v>
      </c>
      <c r="AU50" s="196">
        <v>116.85726200000001</v>
      </c>
      <c r="AV50" s="196">
        <v>117.28843500000001</v>
      </c>
      <c r="AW50" s="197">
        <v>122.725289</v>
      </c>
      <c r="AX50" s="196">
        <v>136.334</v>
      </c>
      <c r="AY50" s="555">
        <v>127.273444</v>
      </c>
      <c r="AZ50" s="555">
        <v>118.177215</v>
      </c>
      <c r="BA50" s="196">
        <v>114.505842</v>
      </c>
      <c r="BB50" s="196">
        <v>109.067924</v>
      </c>
      <c r="BC50" s="196">
        <v>89.374011999999993</v>
      </c>
      <c r="BD50" s="196">
        <v>85.932064999999994</v>
      </c>
      <c r="BE50" s="196">
        <v>80.006358000000006</v>
      </c>
      <c r="BF50" s="568">
        <f t="shared" ref="BF50:BL50" si="108">SUM($AX50:$BE50)/SUM($AX174:$BE174)*BF174</f>
        <v>104.61337184838203</v>
      </c>
      <c r="BG50" s="568">
        <f t="shared" si="108"/>
        <v>91.287026466044153</v>
      </c>
      <c r="BH50" s="568">
        <f t="shared" si="108"/>
        <v>96.791802867881117</v>
      </c>
      <c r="BI50" s="569">
        <f t="shared" si="108"/>
        <v>92.460921637991746</v>
      </c>
      <c r="BJ50" s="568">
        <f t="shared" si="108"/>
        <v>89.826927107226226</v>
      </c>
      <c r="BK50" s="568">
        <f t="shared" si="108"/>
        <v>70.887564388919571</v>
      </c>
      <c r="BL50" s="568">
        <f t="shared" si="108"/>
        <v>75.968907857942312</v>
      </c>
      <c r="BN50" s="260"/>
      <c r="BO50" s="117"/>
      <c r="BP50" s="118"/>
      <c r="BQ50" s="118"/>
      <c r="BR50" s="118"/>
      <c r="BS50" s="118"/>
      <c r="BT50" s="118"/>
      <c r="BU50" s="118"/>
      <c r="BV50" s="118"/>
      <c r="BW50" s="118"/>
      <c r="BX50" s="118"/>
      <c r="BY50" s="118"/>
      <c r="BZ50" s="118"/>
      <c r="CA50" s="118"/>
      <c r="CB50" s="118"/>
      <c r="CC50" s="118"/>
      <c r="CD50" s="118"/>
      <c r="CE50" s="119"/>
      <c r="CQ50" s="117"/>
      <c r="CR50" s="118"/>
      <c r="CS50" s="118"/>
      <c r="CT50" s="118"/>
      <c r="CU50" s="118"/>
      <c r="CV50" s="118"/>
      <c r="CW50" s="119"/>
      <c r="CZ50" s="260"/>
      <c r="DA50" s="126"/>
      <c r="DJ50" s="128"/>
      <c r="DK50" s="139"/>
      <c r="DL50" s="160"/>
      <c r="DM50" s="121"/>
      <c r="DN50" s="121"/>
      <c r="DO50" s="122"/>
      <c r="DQ50" s="150"/>
      <c r="DR50" s="230"/>
      <c r="DS50" s="230"/>
      <c r="DT50" s="230"/>
      <c r="DU50" s="230"/>
      <c r="DV50" s="230"/>
      <c r="DW50" s="230"/>
      <c r="DX50" s="230"/>
      <c r="DY50" s="230"/>
      <c r="DZ50" s="230"/>
      <c r="EA50" s="230"/>
      <c r="EB50" s="223" t="s">
        <v>175</v>
      </c>
      <c r="EC50" s="239">
        <f>SUM(DR49:EC49)</f>
        <v>3075</v>
      </c>
      <c r="ED50" s="230"/>
      <c r="EE50" s="230"/>
      <c r="EF50" s="272"/>
      <c r="EG50" s="273"/>
      <c r="EH50" s="230"/>
      <c r="EI50" s="231"/>
      <c r="EJ50" s="367"/>
      <c r="ER50" s="410">
        <f>ER49/$ET49</f>
        <v>0.27173159313398032</v>
      </c>
      <c r="ES50" s="411">
        <f>ES49/$ET49</f>
        <v>0.72826840686601968</v>
      </c>
      <c r="ET50" s="412">
        <f>ET49/$ET49</f>
        <v>1</v>
      </c>
    </row>
    <row r="51" spans="1:172">
      <c r="A51" s="76" t="s">
        <v>103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7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7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7"/>
      <c r="AL51" s="196"/>
      <c r="AM51" s="196"/>
      <c r="AN51" s="196"/>
      <c r="AO51" s="196"/>
      <c r="AP51" s="196"/>
      <c r="AQ51" s="196"/>
      <c r="AR51" s="196">
        <v>326.531251</v>
      </c>
      <c r="AS51" s="196">
        <v>894.17016000000001</v>
      </c>
      <c r="AT51" s="196">
        <v>868.10233400000004</v>
      </c>
      <c r="AU51" s="196">
        <v>882.215822</v>
      </c>
      <c r="AV51" s="196">
        <v>838.76843399999996</v>
      </c>
      <c r="AW51" s="197">
        <v>800.44254000000001</v>
      </c>
      <c r="AX51" s="196">
        <v>883.55799999999999</v>
      </c>
      <c r="AY51" s="555">
        <v>786.43525499999998</v>
      </c>
      <c r="AZ51" s="555">
        <v>755.28461800000002</v>
      </c>
      <c r="BA51" s="196">
        <v>686.12659499999995</v>
      </c>
      <c r="BB51" s="196">
        <v>697.14429500000006</v>
      </c>
      <c r="BC51" s="196">
        <v>586.77068899999995</v>
      </c>
      <c r="BD51" s="196">
        <v>556.96316899999999</v>
      </c>
      <c r="BE51" s="196">
        <v>558.74318400000004</v>
      </c>
      <c r="BF51" s="568">
        <f t="shared" ref="BF51:BL51" si="109">SUM($AX51:$BE51)/SUM($AX175:$BE175)*BF175</f>
        <v>624.0659496854397</v>
      </c>
      <c r="BG51" s="568">
        <f t="shared" si="109"/>
        <v>626.59571493827309</v>
      </c>
      <c r="BH51" s="568">
        <f t="shared" si="109"/>
        <v>582.87383260621209</v>
      </c>
      <c r="BI51" s="569">
        <f t="shared" si="109"/>
        <v>557.65543219297012</v>
      </c>
      <c r="BJ51" s="568">
        <f t="shared" si="109"/>
        <v>602.66640678565329</v>
      </c>
      <c r="BK51" s="568">
        <f t="shared" si="109"/>
        <v>515.82827923724244</v>
      </c>
      <c r="BL51" s="568">
        <f t="shared" si="109"/>
        <v>509.47142934662497</v>
      </c>
      <c r="BN51" s="521"/>
      <c r="BO51" s="117"/>
      <c r="BP51" s="118"/>
      <c r="BQ51" s="118"/>
      <c r="BR51" s="118"/>
      <c r="BS51" s="118"/>
      <c r="BT51" s="118"/>
      <c r="BU51" s="118"/>
      <c r="BV51" s="118"/>
      <c r="BW51" s="118"/>
      <c r="BX51" s="118"/>
      <c r="BY51" s="118"/>
      <c r="BZ51" s="118"/>
      <c r="CA51" s="118"/>
      <c r="CB51" s="118"/>
      <c r="CC51" s="118"/>
      <c r="CD51" s="118"/>
      <c r="CE51" s="119"/>
      <c r="CQ51" s="117"/>
      <c r="CR51" s="118"/>
      <c r="CS51" s="118"/>
      <c r="CT51" s="118"/>
      <c r="CU51" s="118"/>
      <c r="CV51" s="118"/>
      <c r="CW51" s="119"/>
      <c r="CY51" s="129"/>
      <c r="CZ51" s="129"/>
      <c r="DA51" s="137">
        <f>DA66/1.105</f>
        <v>260.81447963800906</v>
      </c>
      <c r="DJ51" s="128" t="s">
        <v>132</v>
      </c>
      <c r="DK51" s="139">
        <v>0.122</v>
      </c>
      <c r="DL51" s="160">
        <f t="shared" si="95"/>
        <v>0.50448219999999999</v>
      </c>
      <c r="DM51" s="121"/>
      <c r="DN51" s="121"/>
      <c r="DO51" s="122"/>
      <c r="ED51" s="196"/>
      <c r="EE51" s="196"/>
      <c r="EF51" s="196"/>
      <c r="EG51" s="196"/>
      <c r="EH51" s="196"/>
      <c r="EI51" s="196"/>
    </row>
    <row r="52" spans="1:172" ht="16" thickBot="1">
      <c r="A52" s="76" t="s">
        <v>100</v>
      </c>
      <c r="B52" s="196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7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7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7"/>
      <c r="AL52" s="196"/>
      <c r="AM52" s="196"/>
      <c r="AN52" s="196"/>
      <c r="AO52" s="196"/>
      <c r="AP52" s="196"/>
      <c r="AQ52" s="196"/>
      <c r="AR52" s="196">
        <v>69.070732000000007</v>
      </c>
      <c r="AS52" s="196">
        <v>223.07783599999999</v>
      </c>
      <c r="AT52" s="196">
        <v>275.27977399999997</v>
      </c>
      <c r="AU52" s="196">
        <v>312.89230900000001</v>
      </c>
      <c r="AV52" s="196">
        <v>319.377005</v>
      </c>
      <c r="AW52" s="197">
        <v>357.68109099999998</v>
      </c>
      <c r="AX52" s="196">
        <v>365.70299999999997</v>
      </c>
      <c r="AY52" s="555">
        <v>341.07498900000002</v>
      </c>
      <c r="AZ52" s="555">
        <v>360.22359599999999</v>
      </c>
      <c r="BA52" s="196">
        <v>348.79001</v>
      </c>
      <c r="BB52" s="196">
        <v>387.063039</v>
      </c>
      <c r="BC52" s="196">
        <v>367.90362800000003</v>
      </c>
      <c r="BD52" s="196">
        <v>361.45409799999999</v>
      </c>
      <c r="BE52" s="196">
        <v>354.06542400000001</v>
      </c>
      <c r="BF52" s="568">
        <f t="shared" ref="BF52:BL52" si="110">SUM($AX52:$BE52)/SUM($AX176:$BE176)*BF176</f>
        <v>426.85827812475964</v>
      </c>
      <c r="BG52" s="568">
        <f t="shared" si="110"/>
        <v>446.09654981479508</v>
      </c>
      <c r="BH52" s="568">
        <f t="shared" si="110"/>
        <v>443.62962551304355</v>
      </c>
      <c r="BI52" s="569">
        <f t="shared" si="110"/>
        <v>621.9166550329029</v>
      </c>
      <c r="BJ52" s="568">
        <f t="shared" si="110"/>
        <v>682.37686196035224</v>
      </c>
      <c r="BK52" s="568">
        <f t="shared" si="110"/>
        <v>610.59365445415938</v>
      </c>
      <c r="BL52" s="568">
        <f t="shared" si="110"/>
        <v>670.62029547764473</v>
      </c>
      <c r="BN52" s="521"/>
      <c r="BO52" s="117"/>
      <c r="BP52" s="118"/>
      <c r="BQ52" s="118"/>
      <c r="BR52" s="118"/>
      <c r="BS52" s="118"/>
      <c r="BT52" s="118"/>
      <c r="BU52" s="118"/>
      <c r="BV52" s="118"/>
      <c r="BW52" s="118"/>
      <c r="BX52" s="118"/>
      <c r="BY52" s="118"/>
      <c r="BZ52" s="118"/>
      <c r="CA52" s="118"/>
      <c r="CB52" s="118"/>
      <c r="CC52" s="118"/>
      <c r="CD52" s="118"/>
      <c r="CE52" s="119"/>
      <c r="CQ52" s="117"/>
      <c r="CR52" s="118"/>
      <c r="CS52" s="118"/>
      <c r="CT52" s="118"/>
      <c r="CU52" s="118"/>
      <c r="CV52" s="118"/>
      <c r="CW52" s="119"/>
      <c r="DJ52" s="128" t="s">
        <v>299</v>
      </c>
      <c r="DK52" s="139">
        <f>1-SUM(DK44:DK51)</f>
        <v>5.3400000000000003E-2</v>
      </c>
      <c r="DL52" s="160">
        <f t="shared" si="95"/>
        <v>0.22081434000000003</v>
      </c>
      <c r="DM52" s="121"/>
      <c r="DN52" s="121"/>
      <c r="DO52" s="122"/>
      <c r="DR52" s="414">
        <f t="shared" ref="DR52:EI52" si="111">Z50+Z51-DR49</f>
        <v>12.850235999999995</v>
      </c>
      <c r="DS52" s="414">
        <f t="shared" si="111"/>
        <v>0.81424200000003566</v>
      </c>
      <c r="DT52" s="414">
        <f t="shared" si="111"/>
        <v>2.7638789999999744</v>
      </c>
      <c r="DU52" s="414">
        <f t="shared" si="111"/>
        <v>5.7035539999999969</v>
      </c>
      <c r="DV52" s="414">
        <f t="shared" si="111"/>
        <v>5.901046000000008</v>
      </c>
      <c r="DW52" s="414">
        <f t="shared" si="111"/>
        <v>4.5853269999999782</v>
      </c>
      <c r="DX52" s="414">
        <f t="shared" si="111"/>
        <v>4.3453700000000026</v>
      </c>
      <c r="DY52" s="414">
        <f t="shared" si="111"/>
        <v>4.4279999999999973</v>
      </c>
      <c r="DZ52" s="414">
        <f t="shared" si="111"/>
        <v>4.2179040000000043</v>
      </c>
      <c r="EA52" s="414">
        <f t="shared" si="111"/>
        <v>9.1662739999999872</v>
      </c>
      <c r="EB52" s="414">
        <f t="shared" si="111"/>
        <v>6.6491139999999973</v>
      </c>
      <c r="EC52" s="414">
        <f t="shared" si="111"/>
        <v>9.4198819999999728</v>
      </c>
      <c r="ED52" s="414">
        <f t="shared" si="111"/>
        <v>11.565812999999991</v>
      </c>
      <c r="EE52" s="414">
        <f t="shared" si="111"/>
        <v>4.6833189999999831</v>
      </c>
      <c r="EF52" s="414">
        <f t="shared" si="111"/>
        <v>-0.54833700000000363</v>
      </c>
      <c r="EG52" s="414">
        <f t="shared" si="111"/>
        <v>5.5564960000000099</v>
      </c>
      <c r="EH52" s="414">
        <f t="shared" si="111"/>
        <v>12.503388000000001</v>
      </c>
      <c r="EI52" s="414">
        <f t="shared" si="111"/>
        <v>4.8320139999999867</v>
      </c>
      <c r="EJ52" s="414">
        <f>SUM(DR52:EI52)/COUNT(DR52:EI52)</f>
        <v>6.0798622777777735</v>
      </c>
    </row>
    <row r="53" spans="1:172" ht="16" thickBot="1">
      <c r="A53" s="77" t="s">
        <v>104</v>
      </c>
      <c r="B53" s="202"/>
      <c r="C53" s="202"/>
      <c r="D53" s="202"/>
      <c r="E53" s="202"/>
      <c r="F53" s="202"/>
      <c r="G53" s="202"/>
      <c r="H53" s="202"/>
      <c r="I53" s="202"/>
      <c r="J53" s="417">
        <f>SUM(J50:J52)</f>
        <v>18.144030000000001</v>
      </c>
      <c r="K53" s="417">
        <f t="shared" ref="K53:BA53" si="112">SUM(K50:K52)</f>
        <v>50.857351000000001</v>
      </c>
      <c r="L53" s="417">
        <f t="shared" si="112"/>
        <v>73.857975999999994</v>
      </c>
      <c r="M53" s="418">
        <f t="shared" si="112"/>
        <v>99.562878999999995</v>
      </c>
      <c r="N53" s="417">
        <f t="shared" si="112"/>
        <v>141.68683999999999</v>
      </c>
      <c r="O53" s="417">
        <f t="shared" si="112"/>
        <v>143.18586400000001</v>
      </c>
      <c r="P53" s="417">
        <f t="shared" si="112"/>
        <v>182.097094</v>
      </c>
      <c r="Q53" s="417">
        <f t="shared" si="112"/>
        <v>187.59386599999999</v>
      </c>
      <c r="R53" s="417">
        <f t="shared" si="112"/>
        <v>199.719133</v>
      </c>
      <c r="S53" s="417">
        <f t="shared" si="112"/>
        <v>188.62227100000001</v>
      </c>
      <c r="T53" s="417">
        <f t="shared" si="112"/>
        <v>184.22383199999999</v>
      </c>
      <c r="U53" s="417">
        <f t="shared" si="112"/>
        <v>177.429745</v>
      </c>
      <c r="V53" s="417">
        <f t="shared" si="112"/>
        <v>211.22119699999999</v>
      </c>
      <c r="W53" s="417">
        <f t="shared" si="112"/>
        <v>238.44527199999999</v>
      </c>
      <c r="X53" s="417">
        <f t="shared" si="112"/>
        <v>241.67434499999999</v>
      </c>
      <c r="Y53" s="418">
        <f t="shared" si="112"/>
        <v>251.61978500000001</v>
      </c>
      <c r="Z53" s="417">
        <f t="shared" si="112"/>
        <v>297.95023600000002</v>
      </c>
      <c r="AA53" s="417">
        <f t="shared" si="112"/>
        <v>261.51424200000002</v>
      </c>
      <c r="AB53" s="417">
        <f t="shared" si="112"/>
        <v>290.76387899999997</v>
      </c>
      <c r="AC53" s="417">
        <f t="shared" si="112"/>
        <v>272.703554</v>
      </c>
      <c r="AD53" s="417">
        <f t="shared" si="112"/>
        <v>283.90104600000001</v>
      </c>
      <c r="AE53" s="417">
        <f t="shared" si="112"/>
        <v>246.38532699999999</v>
      </c>
      <c r="AF53" s="417">
        <f t="shared" si="112"/>
        <v>236.04536999999999</v>
      </c>
      <c r="AG53" s="417">
        <f t="shared" si="112"/>
        <v>225.428</v>
      </c>
      <c r="AH53" s="417">
        <f t="shared" si="112"/>
        <v>249.217904</v>
      </c>
      <c r="AI53" s="417">
        <f t="shared" si="112"/>
        <v>263.16627399999999</v>
      </c>
      <c r="AJ53" s="417">
        <f t="shared" si="112"/>
        <v>252.34911399999999</v>
      </c>
      <c r="AK53" s="418">
        <f t="shared" si="112"/>
        <v>266.41988199999997</v>
      </c>
      <c r="AL53" s="417">
        <f t="shared" si="112"/>
        <v>298.56581299999999</v>
      </c>
      <c r="AM53" s="417">
        <f t="shared" si="112"/>
        <v>253.08331899999999</v>
      </c>
      <c r="AN53" s="417">
        <f t="shared" si="112"/>
        <v>269.951663</v>
      </c>
      <c r="AO53" s="417">
        <f t="shared" si="112"/>
        <v>241.05649600000001</v>
      </c>
      <c r="AP53" s="417">
        <f t="shared" si="112"/>
        <v>247.80338800000001</v>
      </c>
      <c r="AQ53" s="417">
        <f t="shared" si="112"/>
        <v>225.73201399999999</v>
      </c>
      <c r="AR53" s="417">
        <f t="shared" si="112"/>
        <v>556.408908</v>
      </c>
      <c r="AS53" s="417">
        <f t="shared" si="112"/>
        <v>1211.4549259999999</v>
      </c>
      <c r="AT53" s="417">
        <f t="shared" si="112"/>
        <v>1245.622523</v>
      </c>
      <c r="AU53" s="417">
        <f t="shared" si="112"/>
        <v>1311.9653929999999</v>
      </c>
      <c r="AV53" s="417">
        <f t="shared" si="112"/>
        <v>1275.4338740000001</v>
      </c>
      <c r="AW53" s="418">
        <f t="shared" si="112"/>
        <v>1280.8489199999999</v>
      </c>
      <c r="AX53" s="417">
        <f t="shared" si="112"/>
        <v>1385.595</v>
      </c>
      <c r="AY53" s="417">
        <f t="shared" si="112"/>
        <v>1254.783688</v>
      </c>
      <c r="AZ53" s="417">
        <f t="shared" si="112"/>
        <v>1233.6854290000001</v>
      </c>
      <c r="BA53" s="417">
        <f t="shared" si="112"/>
        <v>1149.4224469999999</v>
      </c>
      <c r="BB53" s="417">
        <f t="shared" ref="BB53:BG53" si="113">SUM(BB50:BB52)</f>
        <v>1193.2752580000001</v>
      </c>
      <c r="BC53" s="417">
        <f t="shared" si="113"/>
        <v>1044.048329</v>
      </c>
      <c r="BD53" s="417">
        <f t="shared" si="113"/>
        <v>1004.349332</v>
      </c>
      <c r="BE53" s="417">
        <f t="shared" si="113"/>
        <v>992.81496600000003</v>
      </c>
      <c r="BF53" s="417">
        <f t="shared" si="113"/>
        <v>1155.5375996585813</v>
      </c>
      <c r="BG53" s="417">
        <f t="shared" si="113"/>
        <v>1163.9792912191124</v>
      </c>
      <c r="BH53" s="417">
        <f t="shared" ref="BH53:BL53" si="114">SUM(BH50:BH52)</f>
        <v>1123.2952609871368</v>
      </c>
      <c r="BI53" s="418">
        <f t="shared" si="114"/>
        <v>1272.0330088638648</v>
      </c>
      <c r="BJ53" s="417">
        <f t="shared" si="114"/>
        <v>1374.8701958532317</v>
      </c>
      <c r="BK53" s="417">
        <f t="shared" si="114"/>
        <v>1197.3094980803214</v>
      </c>
      <c r="BL53" s="417">
        <f t="shared" si="114"/>
        <v>1256.0606326822121</v>
      </c>
      <c r="BO53" s="117"/>
      <c r="BP53" s="118"/>
      <c r="BQ53" s="118"/>
      <c r="BR53" s="118"/>
      <c r="BS53" s="118"/>
      <c r="BT53" s="118"/>
      <c r="BU53" s="118"/>
      <c r="BV53" s="118"/>
      <c r="BW53" s="118"/>
      <c r="BX53" s="118"/>
      <c r="BY53" s="118"/>
      <c r="BZ53" s="118"/>
      <c r="CA53" s="118"/>
      <c r="CB53" s="118"/>
      <c r="CC53" s="118"/>
      <c r="CD53" s="118"/>
      <c r="CE53" s="119"/>
      <c r="CQ53" s="117"/>
      <c r="CR53" s="118"/>
      <c r="CS53" s="118"/>
      <c r="CT53" s="118"/>
      <c r="CU53" s="118"/>
      <c r="CV53" s="118"/>
      <c r="CW53" s="119"/>
      <c r="CY53" s="111" t="s">
        <v>80</v>
      </c>
      <c r="DJ53" s="132"/>
      <c r="DK53" s="156"/>
      <c r="DL53" s="194">
        <f>AH57</f>
        <v>4.1351000000000004</v>
      </c>
      <c r="DM53" s="121"/>
      <c r="DN53" s="121"/>
      <c r="DO53" s="122"/>
      <c r="DR53" s="232"/>
      <c r="DS53" s="232"/>
      <c r="DT53" s="232"/>
      <c r="DU53" s="232"/>
      <c r="DV53" s="232"/>
      <c r="DW53" s="232"/>
      <c r="DX53" s="232"/>
      <c r="DY53" s="232"/>
      <c r="DZ53" s="232"/>
      <c r="EA53" s="232"/>
      <c r="EB53" s="232"/>
      <c r="EC53" s="232"/>
      <c r="ED53" s="232"/>
      <c r="EE53" s="232"/>
      <c r="EF53" s="232"/>
      <c r="EG53" s="232"/>
      <c r="EH53" s="232"/>
      <c r="EI53" s="232"/>
      <c r="EM53" s="391"/>
      <c r="EN53" s="995" t="s">
        <v>95</v>
      </c>
      <c r="EO53" s="996"/>
      <c r="EP53" s="996"/>
      <c r="EQ53" s="997"/>
      <c r="ER53" s="998" t="s">
        <v>96</v>
      </c>
      <c r="ES53" s="996"/>
      <c r="ET53" s="996"/>
      <c r="EU53" s="999"/>
    </row>
    <row r="54" spans="1:172">
      <c r="A54" s="76" t="s">
        <v>241</v>
      </c>
      <c r="B54" s="196"/>
      <c r="C54" s="196"/>
      <c r="D54" s="196"/>
      <c r="E54" s="196"/>
      <c r="F54" s="196"/>
      <c r="G54" s="196"/>
      <c r="H54" s="196"/>
      <c r="I54" s="196"/>
      <c r="J54" s="361"/>
      <c r="K54" s="361"/>
      <c r="L54" s="361"/>
      <c r="M54" s="424"/>
      <c r="N54" s="361"/>
      <c r="O54" s="361"/>
      <c r="P54" s="361"/>
      <c r="Q54" s="361"/>
      <c r="R54" s="361"/>
      <c r="S54" s="361"/>
      <c r="T54" s="361"/>
      <c r="U54" s="361"/>
      <c r="V54" s="361"/>
      <c r="W54" s="361"/>
      <c r="X54" s="361"/>
      <c r="Y54" s="424">
        <v>7.6193999999999998E-2</v>
      </c>
      <c r="Z54" s="361">
        <v>6.2249699999999999</v>
      </c>
      <c r="AA54" s="361">
        <v>7.5872510000000002</v>
      </c>
      <c r="AB54" s="361">
        <v>10.416649</v>
      </c>
      <c r="AC54" s="361">
        <v>10.439329000000001</v>
      </c>
      <c r="AD54" s="361">
        <v>11.732286999999999</v>
      </c>
      <c r="AE54" s="361">
        <v>10.119457000000001</v>
      </c>
      <c r="AF54" s="361">
        <v>11.105406</v>
      </c>
      <c r="AG54" s="361">
        <v>10.8569</v>
      </c>
      <c r="AH54" s="361">
        <v>14.713875</v>
      </c>
      <c r="AI54" s="361">
        <v>17.722867999999998</v>
      </c>
      <c r="AJ54" s="361">
        <v>16.802536</v>
      </c>
      <c r="AK54" s="424">
        <v>18.419505000000001</v>
      </c>
      <c r="AL54" s="361">
        <v>19.780989000000002</v>
      </c>
      <c r="AM54" s="361">
        <v>17.490750999999999</v>
      </c>
      <c r="AN54" s="361">
        <v>20.237038999999999</v>
      </c>
      <c r="AO54" s="361">
        <v>17.5625</v>
      </c>
      <c r="AP54" s="361">
        <v>17.601001</v>
      </c>
      <c r="AQ54" s="361">
        <v>15.685051</v>
      </c>
      <c r="AR54" s="361">
        <v>11.938209000000001</v>
      </c>
      <c r="AS54" s="361">
        <v>10.657878999999999</v>
      </c>
      <c r="AT54" s="361">
        <v>11.933648</v>
      </c>
      <c r="AU54" s="361">
        <v>13.005841999999999</v>
      </c>
      <c r="AV54" s="361">
        <v>12.840999999999999</v>
      </c>
      <c r="AW54" s="424">
        <v>14.773336</v>
      </c>
      <c r="AX54" s="361">
        <v>15.984</v>
      </c>
      <c r="AY54" s="556">
        <v>13.964382000000001</v>
      </c>
      <c r="AZ54" s="556">
        <v>13.988949</v>
      </c>
      <c r="BA54" s="361">
        <v>12.932169</v>
      </c>
      <c r="BB54" s="361">
        <v>12.597401</v>
      </c>
      <c r="BC54" s="361">
        <v>10.624148</v>
      </c>
      <c r="BD54" s="361">
        <v>10.177667</v>
      </c>
      <c r="BE54" s="361">
        <v>9.5120830000000005</v>
      </c>
      <c r="BF54" s="568">
        <f t="shared" ref="BF54:BL54" si="115">SUM($AX54:$BE54)/SUM($AX178:$BE178)*BF178</f>
        <v>11.087208527989977</v>
      </c>
      <c r="BG54" s="568">
        <f t="shared" si="115"/>
        <v>11.793167183894598</v>
      </c>
      <c r="BH54" s="568">
        <f t="shared" si="115"/>
        <v>11.495758800492558</v>
      </c>
      <c r="BI54" s="569">
        <f t="shared" si="115"/>
        <v>12.681287145676812</v>
      </c>
      <c r="BJ54" s="568">
        <f t="shared" si="115"/>
        <v>12.000755279224824</v>
      </c>
      <c r="BK54" s="568">
        <f t="shared" si="115"/>
        <v>9.8746449277133195</v>
      </c>
      <c r="BL54" s="568">
        <f t="shared" si="115"/>
        <v>10.332762692522195</v>
      </c>
      <c r="BM54" s="578"/>
      <c r="BN54" s="578"/>
      <c r="BO54" s="117"/>
      <c r="BP54" s="118"/>
      <c r="BQ54" s="118"/>
      <c r="BR54" s="118"/>
      <c r="BS54" s="118"/>
      <c r="BT54" s="118"/>
      <c r="BU54" s="118"/>
      <c r="BV54" s="118"/>
      <c r="BW54" s="118"/>
      <c r="BX54" s="118"/>
      <c r="BY54" s="118"/>
      <c r="BZ54" s="118"/>
      <c r="CA54" s="118"/>
      <c r="CB54" s="118"/>
      <c r="CC54" s="118"/>
      <c r="CD54" s="118"/>
      <c r="CE54" s="119"/>
      <c r="CQ54" s="117"/>
      <c r="CR54" s="118"/>
      <c r="CS54" s="118"/>
      <c r="CT54" s="118"/>
      <c r="CU54" s="118"/>
      <c r="CV54" s="118"/>
      <c r="CW54" s="119"/>
      <c r="DJ54" s="128"/>
      <c r="DK54" s="121"/>
      <c r="DL54" s="121"/>
      <c r="DM54" s="121"/>
      <c r="DN54" s="121"/>
      <c r="DO54" s="122"/>
      <c r="DQ54" s="212" t="s">
        <v>176</v>
      </c>
      <c r="DR54" s="288">
        <v>40179</v>
      </c>
      <c r="DS54" s="288">
        <v>40210</v>
      </c>
      <c r="DT54" s="288">
        <v>40238</v>
      </c>
      <c r="DU54" s="288">
        <v>40269</v>
      </c>
      <c r="DV54" s="288">
        <v>40299</v>
      </c>
      <c r="DW54" s="288">
        <v>40330</v>
      </c>
      <c r="DX54" s="288">
        <v>40360</v>
      </c>
      <c r="DY54" s="288">
        <v>40391</v>
      </c>
      <c r="DZ54" s="288">
        <v>40422</v>
      </c>
      <c r="EA54" s="288">
        <v>40452</v>
      </c>
      <c r="EB54" s="288">
        <v>40483</v>
      </c>
      <c r="EC54" s="290">
        <v>40513</v>
      </c>
      <c r="ED54" s="289">
        <v>40544</v>
      </c>
      <c r="EE54" s="288">
        <v>40575</v>
      </c>
      <c r="EF54" s="288">
        <v>40603</v>
      </c>
      <c r="EG54" s="288">
        <v>40634</v>
      </c>
      <c r="EH54" s="288">
        <v>40664</v>
      </c>
      <c r="EI54" s="368">
        <v>40695</v>
      </c>
      <c r="EJ54" s="371">
        <v>40787</v>
      </c>
      <c r="EM54" s="212" t="s">
        <v>176</v>
      </c>
      <c r="EN54" s="393" t="s">
        <v>93</v>
      </c>
      <c r="EO54" s="394" t="s">
        <v>94</v>
      </c>
      <c r="EP54" s="394" t="s">
        <v>266</v>
      </c>
      <c r="EQ54" s="395" t="s">
        <v>89</v>
      </c>
      <c r="ER54" s="394" t="s">
        <v>93</v>
      </c>
      <c r="ES54" s="394" t="s">
        <v>94</v>
      </c>
      <c r="ET54" s="394" t="s">
        <v>266</v>
      </c>
      <c r="EU54" s="396" t="s">
        <v>89</v>
      </c>
    </row>
    <row r="55" spans="1:172">
      <c r="A55" s="77" t="s">
        <v>301</v>
      </c>
      <c r="B55" s="202"/>
      <c r="C55" s="202"/>
      <c r="D55" s="202"/>
      <c r="E55" s="202"/>
      <c r="F55" s="202"/>
      <c r="G55" s="202"/>
      <c r="H55" s="202"/>
      <c r="I55" s="202"/>
      <c r="J55" s="417">
        <f>J53+J54</f>
        <v>18.144030000000001</v>
      </c>
      <c r="K55" s="417">
        <f t="shared" ref="K55:BA55" si="116">K53+K54</f>
        <v>50.857351000000001</v>
      </c>
      <c r="L55" s="417">
        <f t="shared" si="116"/>
        <v>73.857975999999994</v>
      </c>
      <c r="M55" s="418">
        <f t="shared" si="116"/>
        <v>99.562878999999995</v>
      </c>
      <c r="N55" s="417">
        <f t="shared" si="116"/>
        <v>141.68683999999999</v>
      </c>
      <c r="O55" s="417">
        <f t="shared" si="116"/>
        <v>143.18586400000001</v>
      </c>
      <c r="P55" s="417">
        <f t="shared" si="116"/>
        <v>182.097094</v>
      </c>
      <c r="Q55" s="417">
        <f t="shared" si="116"/>
        <v>187.59386599999999</v>
      </c>
      <c r="R55" s="417">
        <f t="shared" si="116"/>
        <v>199.719133</v>
      </c>
      <c r="S55" s="417">
        <f t="shared" si="116"/>
        <v>188.62227100000001</v>
      </c>
      <c r="T55" s="417">
        <f t="shared" si="116"/>
        <v>184.22383199999999</v>
      </c>
      <c r="U55" s="417">
        <f t="shared" si="116"/>
        <v>177.429745</v>
      </c>
      <c r="V55" s="417">
        <f t="shared" si="116"/>
        <v>211.22119699999999</v>
      </c>
      <c r="W55" s="417">
        <f t="shared" si="116"/>
        <v>238.44527199999999</v>
      </c>
      <c r="X55" s="417">
        <f t="shared" si="116"/>
        <v>241.67434499999999</v>
      </c>
      <c r="Y55" s="418">
        <f t="shared" si="116"/>
        <v>251.69597899999999</v>
      </c>
      <c r="Z55" s="417">
        <f t="shared" si="116"/>
        <v>304.175206</v>
      </c>
      <c r="AA55" s="417">
        <f t="shared" si="116"/>
        <v>269.101493</v>
      </c>
      <c r="AB55" s="417">
        <f t="shared" si="116"/>
        <v>301.18052799999998</v>
      </c>
      <c r="AC55" s="417">
        <f t="shared" si="116"/>
        <v>283.14288299999998</v>
      </c>
      <c r="AD55" s="417">
        <f t="shared" si="116"/>
        <v>295.63333299999999</v>
      </c>
      <c r="AE55" s="417">
        <f t="shared" si="116"/>
        <v>256.50478399999997</v>
      </c>
      <c r="AF55" s="417">
        <f t="shared" si="116"/>
        <v>247.15077599999998</v>
      </c>
      <c r="AG55" s="417">
        <f t="shared" si="116"/>
        <v>236.28489999999999</v>
      </c>
      <c r="AH55" s="417">
        <f t="shared" si="116"/>
        <v>263.93177900000001</v>
      </c>
      <c r="AI55" s="417">
        <f t="shared" si="116"/>
        <v>280.88914199999999</v>
      </c>
      <c r="AJ55" s="417">
        <f t="shared" si="116"/>
        <v>269.15164999999996</v>
      </c>
      <c r="AK55" s="418">
        <f t="shared" si="116"/>
        <v>284.83938699999999</v>
      </c>
      <c r="AL55" s="417">
        <f t="shared" si="116"/>
        <v>318.34680199999997</v>
      </c>
      <c r="AM55" s="417">
        <f t="shared" si="116"/>
        <v>270.57407000000001</v>
      </c>
      <c r="AN55" s="417">
        <f t="shared" si="116"/>
        <v>290.18870199999998</v>
      </c>
      <c r="AO55" s="417">
        <f t="shared" si="116"/>
        <v>258.61899600000004</v>
      </c>
      <c r="AP55" s="417">
        <f t="shared" si="116"/>
        <v>265.40438900000004</v>
      </c>
      <c r="AQ55" s="417">
        <f t="shared" si="116"/>
        <v>241.41706499999998</v>
      </c>
      <c r="AR55" s="417">
        <f t="shared" si="116"/>
        <v>568.34711700000003</v>
      </c>
      <c r="AS55" s="417">
        <f t="shared" si="116"/>
        <v>1222.112805</v>
      </c>
      <c r="AT55" s="417">
        <f t="shared" si="116"/>
        <v>1257.5561709999999</v>
      </c>
      <c r="AU55" s="417">
        <f t="shared" si="116"/>
        <v>1324.971235</v>
      </c>
      <c r="AV55" s="417">
        <f t="shared" si="116"/>
        <v>1288.274874</v>
      </c>
      <c r="AW55" s="418">
        <f t="shared" si="116"/>
        <v>1295.6222559999999</v>
      </c>
      <c r="AX55" s="417">
        <f>AX53+AX54</f>
        <v>1401.579</v>
      </c>
      <c r="AY55" s="417">
        <f t="shared" si="116"/>
        <v>1268.7480700000001</v>
      </c>
      <c r="AZ55" s="417">
        <f t="shared" si="116"/>
        <v>1247.6743780000002</v>
      </c>
      <c r="BA55" s="417">
        <f t="shared" si="116"/>
        <v>1162.3546159999999</v>
      </c>
      <c r="BB55" s="417">
        <f t="shared" ref="BB55:BG55" si="117">BB53+BB54</f>
        <v>1205.8726590000001</v>
      </c>
      <c r="BC55" s="417">
        <f t="shared" si="117"/>
        <v>1054.6724770000001</v>
      </c>
      <c r="BD55" s="417">
        <f t="shared" si="117"/>
        <v>1014.526999</v>
      </c>
      <c r="BE55" s="417">
        <f t="shared" si="117"/>
        <v>1002.327049</v>
      </c>
      <c r="BF55" s="417">
        <f t="shared" si="117"/>
        <v>1166.6248081865713</v>
      </c>
      <c r="BG55" s="417">
        <f t="shared" si="117"/>
        <v>1175.772458403007</v>
      </c>
      <c r="BH55" s="417">
        <f t="shared" ref="BH55:BL55" si="118">BH53+BH54</f>
        <v>1134.7910197876292</v>
      </c>
      <c r="BI55" s="418">
        <f t="shared" si="118"/>
        <v>1284.7142960095416</v>
      </c>
      <c r="BJ55" s="417">
        <f t="shared" si="118"/>
        <v>1386.8709511324566</v>
      </c>
      <c r="BK55" s="417">
        <f t="shared" si="118"/>
        <v>1207.1841430080347</v>
      </c>
      <c r="BL55" s="417">
        <f t="shared" si="118"/>
        <v>1266.3933953747344</v>
      </c>
      <c r="BN55" s="196"/>
      <c r="BO55" s="117"/>
      <c r="BP55" s="118"/>
      <c r="BQ55" s="118"/>
      <c r="BR55" s="118"/>
      <c r="BS55" s="118"/>
      <c r="BT55" s="118"/>
      <c r="BU55" s="118"/>
      <c r="BV55" s="118"/>
      <c r="BW55" s="118"/>
      <c r="BX55" s="118"/>
      <c r="BY55" s="118"/>
      <c r="BZ55" s="118"/>
      <c r="CA55" s="118"/>
      <c r="CB55" s="118"/>
      <c r="CC55" s="118"/>
      <c r="CD55" s="118"/>
      <c r="CE55" s="119"/>
      <c r="CQ55" s="117"/>
      <c r="CR55" s="118"/>
      <c r="CS55" s="118"/>
      <c r="CT55" s="118"/>
      <c r="CU55" s="118"/>
      <c r="CV55" s="118"/>
      <c r="CW55" s="119"/>
      <c r="CY55" s="129"/>
      <c r="CZ55" s="130" t="s">
        <v>145</v>
      </c>
      <c r="DA55" s="130" t="s">
        <v>263</v>
      </c>
      <c r="DJ55" s="132"/>
      <c r="DK55" s="133" t="s">
        <v>265</v>
      </c>
      <c r="DL55" s="133" t="s">
        <v>263</v>
      </c>
      <c r="DM55" s="121"/>
      <c r="DN55" s="121"/>
      <c r="DO55" s="122"/>
      <c r="DQ55" s="131" t="s">
        <v>170</v>
      </c>
      <c r="DR55" s="224">
        <f t="shared" ref="DR55:EI55" si="119">DR34</f>
        <v>0.30199999999999999</v>
      </c>
      <c r="DS55" s="224">
        <f t="shared" si="119"/>
        <v>0.29399999999999998</v>
      </c>
      <c r="DT55" s="224">
        <f t="shared" si="119"/>
        <v>0.29399999999999998</v>
      </c>
      <c r="DU55" s="224">
        <f t="shared" si="119"/>
        <v>0.29399999999999998</v>
      </c>
      <c r="DV55" s="224">
        <f t="shared" si="119"/>
        <v>0.308</v>
      </c>
      <c r="DW55" s="224">
        <f t="shared" si="119"/>
        <v>0.29099999999999998</v>
      </c>
      <c r="DX55" s="224">
        <f t="shared" si="119"/>
        <v>0.27500000000000002</v>
      </c>
      <c r="DY55" s="224">
        <f t="shared" si="119"/>
        <v>0.27</v>
      </c>
      <c r="DZ55" s="224">
        <f t="shared" si="119"/>
        <v>0.28299999999999997</v>
      </c>
      <c r="EA55" s="224">
        <f t="shared" si="119"/>
        <v>0.30299999999999999</v>
      </c>
      <c r="EB55" s="224">
        <f t="shared" si="119"/>
        <v>0.29499999999999998</v>
      </c>
      <c r="EC55" s="225">
        <f t="shared" si="119"/>
        <v>0.28499999999999998</v>
      </c>
      <c r="ED55" s="240">
        <f t="shared" si="119"/>
        <v>0.28299999999999997</v>
      </c>
      <c r="EE55" s="224">
        <f t="shared" si="119"/>
        <v>0.28699999999999998</v>
      </c>
      <c r="EF55" s="224">
        <f t="shared" si="119"/>
        <v>0.28299999999999997</v>
      </c>
      <c r="EG55" s="224">
        <f t="shared" si="119"/>
        <v>0.29171974522292993</v>
      </c>
      <c r="EH55" s="224">
        <f t="shared" si="119"/>
        <v>0.28686782830429236</v>
      </c>
      <c r="EI55" s="369">
        <f t="shared" si="119"/>
        <v>0.26482571299230423</v>
      </c>
      <c r="EJ55" s="372">
        <f>EJ34</f>
        <v>0.20652522354443176</v>
      </c>
      <c r="EM55" s="392" t="s">
        <v>170</v>
      </c>
      <c r="EN55" s="402">
        <f>EN34</f>
        <v>16.899999999999999</v>
      </c>
      <c r="EO55" s="126">
        <f>EO34</f>
        <v>191</v>
      </c>
      <c r="EP55" s="126">
        <f t="shared" ref="EP55:EP60" si="120">EN55+EO55</f>
        <v>207.9</v>
      </c>
      <c r="EQ55" s="205">
        <f t="shared" ref="EQ55:EQ61" si="121">EP55/EP$61</f>
        <v>0.20652522354443179</v>
      </c>
      <c r="ER55" s="126">
        <f>ER34</f>
        <v>1.9435</v>
      </c>
      <c r="ES55" s="126">
        <f>ES34</f>
        <v>6.6850000000000005</v>
      </c>
      <c r="ET55" s="126">
        <f t="shared" ref="ET55:ET60" si="122">ER55+ES55</f>
        <v>8.6285000000000007</v>
      </c>
      <c r="EU55" s="175">
        <f t="shared" ref="EU55:EU61" si="123">ET55/ET$61</f>
        <v>0.19860505526686004</v>
      </c>
      <c r="EV55" s="404">
        <f>ER55/ER$61</f>
        <v>0.16462637119642459</v>
      </c>
      <c r="EW55" s="405">
        <f>ES55/ES$61</f>
        <v>0.21128318584070799</v>
      </c>
    </row>
    <row r="56" spans="1:172">
      <c r="A56" s="76"/>
      <c r="B56" s="196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7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7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7"/>
      <c r="AL56" s="196"/>
      <c r="AM56" s="196"/>
      <c r="AN56" s="196"/>
      <c r="AO56" s="196"/>
      <c r="AP56" s="196"/>
      <c r="AQ56" s="196"/>
      <c r="AR56" s="196"/>
      <c r="AS56" s="196"/>
      <c r="AT56" s="196"/>
      <c r="AU56" s="196"/>
      <c r="AV56" s="196"/>
      <c r="AW56" s="197"/>
      <c r="AX56" s="196"/>
      <c r="AY56" s="555"/>
      <c r="AZ56" s="555"/>
      <c r="BA56" s="196"/>
      <c r="BB56" s="196"/>
      <c r="BC56" s="196"/>
      <c r="BD56" s="196"/>
      <c r="BE56" s="196"/>
      <c r="BF56" s="196"/>
      <c r="BG56" s="196"/>
      <c r="BH56" s="196"/>
      <c r="BI56" s="197"/>
      <c r="BJ56" s="196"/>
      <c r="BK56" s="196"/>
      <c r="BL56" s="196"/>
      <c r="BN56" s="126"/>
      <c r="BO56" s="117"/>
      <c r="BP56" s="118"/>
      <c r="BQ56" s="118"/>
      <c r="BR56" s="118"/>
      <c r="BS56" s="118"/>
      <c r="BT56" s="118"/>
      <c r="BU56" s="118"/>
      <c r="BV56" s="118"/>
      <c r="BW56" s="118"/>
      <c r="BX56" s="118"/>
      <c r="BY56" s="118"/>
      <c r="BZ56" s="118"/>
      <c r="CA56" s="118"/>
      <c r="CB56" s="118"/>
      <c r="CC56" s="118"/>
      <c r="CD56" s="118"/>
      <c r="CE56" s="119"/>
      <c r="CQ56" s="117"/>
      <c r="CR56" s="118"/>
      <c r="CS56" s="118"/>
      <c r="CT56" s="118"/>
      <c r="CU56" s="118"/>
      <c r="CV56" s="118"/>
      <c r="CW56" s="119"/>
      <c r="CY56" s="99" t="s">
        <v>358</v>
      </c>
      <c r="CZ56" s="260">
        <f t="shared" ref="CZ56:CZ65" si="124">DA56/DA$66</f>
        <v>0.10999306037473977</v>
      </c>
      <c r="DA56" s="99">
        <v>31.7</v>
      </c>
      <c r="DJ56" s="128" t="s">
        <v>287</v>
      </c>
      <c r="DK56" s="139">
        <v>1</v>
      </c>
      <c r="DL56" s="160">
        <f>AH58</f>
        <v>2.4652210000000001</v>
      </c>
      <c r="DM56" s="121"/>
      <c r="DN56" s="121"/>
      <c r="DO56" s="122"/>
      <c r="DQ56" s="131" t="s">
        <v>181</v>
      </c>
      <c r="DR56" s="224">
        <f t="shared" ref="DR56:EI56" si="125">DR35+DR42+DR40+DR43</f>
        <v>0.20600000000000002</v>
      </c>
      <c r="DS56" s="224">
        <f t="shared" si="125"/>
        <v>0.186</v>
      </c>
      <c r="DT56" s="224">
        <f t="shared" si="125"/>
        <v>0.187</v>
      </c>
      <c r="DU56" s="224">
        <f t="shared" si="125"/>
        <v>0.19</v>
      </c>
      <c r="DV56" s="224">
        <f t="shared" si="125"/>
        <v>0.17299999999999999</v>
      </c>
      <c r="DW56" s="224">
        <f t="shared" si="125"/>
        <v>0.17499999999999999</v>
      </c>
      <c r="DX56" s="224">
        <f t="shared" si="125"/>
        <v>0.17699999999999999</v>
      </c>
      <c r="DY56" s="224">
        <f t="shared" si="125"/>
        <v>0.17599999999999999</v>
      </c>
      <c r="DZ56" s="224">
        <f t="shared" si="125"/>
        <v>0.182</v>
      </c>
      <c r="EA56" s="224">
        <f t="shared" si="125"/>
        <v>0.18</v>
      </c>
      <c r="EB56" s="224">
        <f t="shared" si="125"/>
        <v>0.17299999999999999</v>
      </c>
      <c r="EC56" s="225">
        <f t="shared" si="125"/>
        <v>0.18099999999999999</v>
      </c>
      <c r="ED56" s="240">
        <f t="shared" si="125"/>
        <v>0.17199999999999999</v>
      </c>
      <c r="EE56" s="224">
        <f t="shared" si="125"/>
        <v>0.17299999999999999</v>
      </c>
      <c r="EF56" s="224">
        <f t="shared" si="125"/>
        <v>0.158</v>
      </c>
      <c r="EG56" s="224">
        <f t="shared" si="125"/>
        <v>0.16772823779193208</v>
      </c>
      <c r="EH56" s="224">
        <f t="shared" si="125"/>
        <v>0.1691457713557161</v>
      </c>
      <c r="EI56" s="369">
        <f t="shared" si="125"/>
        <v>0.17194929832503394</v>
      </c>
      <c r="EJ56" s="372">
        <f>EJ35+EJ42+EJ40+EJ43</f>
        <v>0.16553478459935744</v>
      </c>
      <c r="EM56" s="392" t="s">
        <v>181</v>
      </c>
      <c r="EN56" s="402">
        <f>EN35+EN40+EN43</f>
        <v>17.056699999999999</v>
      </c>
      <c r="EO56" s="126">
        <f>EO35+EO40+EO43</f>
        <v>149.58000000000001</v>
      </c>
      <c r="EP56" s="126">
        <f t="shared" si="120"/>
        <v>166.63670000000002</v>
      </c>
      <c r="EQ56" s="205">
        <f t="shared" si="121"/>
        <v>0.16553478459935747</v>
      </c>
      <c r="ER56" s="126">
        <f>ER35+ER40+ER43</f>
        <v>1.9615205</v>
      </c>
      <c r="ES56" s="126">
        <f>ES35+ES40+ES43</f>
        <v>5.2353000000000014</v>
      </c>
      <c r="ET56" s="126">
        <f t="shared" si="122"/>
        <v>7.1968205000000012</v>
      </c>
      <c r="EU56" s="175">
        <f t="shared" si="123"/>
        <v>0.16565161188482022</v>
      </c>
      <c r="EV56" s="406">
        <f t="shared" ref="EV56:EV61" si="126">ER56/ER$61</f>
        <v>0.1661528180820151</v>
      </c>
      <c r="EW56" s="407">
        <f t="shared" ref="EW56:EW61" si="127">ES56/ES$61</f>
        <v>0.16546460176991154</v>
      </c>
    </row>
    <row r="57" spans="1:172">
      <c r="A57" s="76" t="s">
        <v>236</v>
      </c>
      <c r="B57" s="196">
        <v>5.0811159999999997</v>
      </c>
      <c r="C57" s="196">
        <v>5.1029280000000004</v>
      </c>
      <c r="D57" s="196">
        <v>5.9033740000000003</v>
      </c>
      <c r="E57" s="196">
        <v>5.6835950000000004</v>
      </c>
      <c r="F57" s="196">
        <v>5.4702549999999999</v>
      </c>
      <c r="G57" s="196">
        <v>5.0946280000000002</v>
      </c>
      <c r="H57" s="196">
        <v>4.1455780000000004</v>
      </c>
      <c r="I57" s="196">
        <v>4.0196230000000002</v>
      </c>
      <c r="J57" s="196">
        <v>6.3137920000000003</v>
      </c>
      <c r="K57" s="196">
        <v>7.5891060000000001</v>
      </c>
      <c r="L57" s="196">
        <v>7.4148670000000001</v>
      </c>
      <c r="M57" s="197">
        <v>7.3026859999999996</v>
      </c>
      <c r="N57" s="196">
        <v>7.8879429999999999</v>
      </c>
      <c r="O57" s="196">
        <v>7.1372679999999997</v>
      </c>
      <c r="P57" s="196">
        <v>7.6104000000000003</v>
      </c>
      <c r="Q57" s="196">
        <v>6.9486980000000003</v>
      </c>
      <c r="R57" s="196">
        <v>5.7998589999999997</v>
      </c>
      <c r="S57" s="196">
        <v>4.5860089999999998</v>
      </c>
      <c r="T57" s="196">
        <v>4.735684</v>
      </c>
      <c r="U57" s="196">
        <v>5.1973370000000001</v>
      </c>
      <c r="V57" s="196">
        <v>6.462262</v>
      </c>
      <c r="W57" s="196">
        <v>6.9382760000000001</v>
      </c>
      <c r="X57" s="196">
        <v>6.2516959999999999</v>
      </c>
      <c r="Y57" s="197">
        <v>6.2159639999999996</v>
      </c>
      <c r="Z57" s="196">
        <v>6.9016849999999996</v>
      </c>
      <c r="AA57" s="196">
        <v>6.1522610000000002</v>
      </c>
      <c r="AB57" s="196">
        <v>5.8518270000000001</v>
      </c>
      <c r="AC57" s="196">
        <v>5.6942279999999998</v>
      </c>
      <c r="AD57" s="196">
        <v>4.8285429999999998</v>
      </c>
      <c r="AE57" s="196">
        <v>3.9732080000000001</v>
      </c>
      <c r="AF57" s="196">
        <v>3.6011069999999998</v>
      </c>
      <c r="AG57" s="196">
        <v>3.5226660000000001</v>
      </c>
      <c r="AH57" s="196">
        <v>4.1351000000000004</v>
      </c>
      <c r="AI57" s="196">
        <v>4.688307</v>
      </c>
      <c r="AJ57" s="196">
        <v>4.624212</v>
      </c>
      <c r="AK57" s="197">
        <v>4.7017810000000004</v>
      </c>
      <c r="AL57" s="196">
        <v>4.6340510000000004</v>
      </c>
      <c r="AM57" s="196">
        <v>3.9936219999999998</v>
      </c>
      <c r="AN57" s="196">
        <v>4.0623860000000001</v>
      </c>
      <c r="AO57" s="196">
        <v>3.4296959999999999</v>
      </c>
      <c r="AP57" s="196">
        <v>3.4076270000000002</v>
      </c>
      <c r="AQ57" s="196">
        <v>2.8746299999999998</v>
      </c>
      <c r="AR57" s="196">
        <v>2.6290809999999998</v>
      </c>
      <c r="AS57" s="196">
        <v>2.0373999999999999</v>
      </c>
      <c r="AT57" s="196">
        <v>2.3305889999999998</v>
      </c>
      <c r="AU57" s="196">
        <v>2.7039949999999999</v>
      </c>
      <c r="AV57" s="196">
        <v>2.4582229999999998</v>
      </c>
      <c r="AW57" s="197">
        <v>2.5202819999999999</v>
      </c>
      <c r="AX57" s="196">
        <v>2.4836900000000002</v>
      </c>
      <c r="AY57" s="555">
        <v>2.2353550000000002</v>
      </c>
      <c r="AZ57" s="555">
        <v>2.369373</v>
      </c>
      <c r="BA57" s="196">
        <v>2.0246149999999998</v>
      </c>
      <c r="BB57" s="196">
        <v>1.8650230000000001</v>
      </c>
      <c r="BC57" s="196">
        <v>1.7839719999999999</v>
      </c>
      <c r="BD57" s="196">
        <v>1.55324</v>
      </c>
      <c r="BE57" s="196">
        <v>1.4933369999999999</v>
      </c>
      <c r="BF57" s="568">
        <f t="shared" ref="BF57:BL58" si="128">SUM($AX57:$BE57)/SUM($AX181:$BE181)*BF181</f>
        <v>1.3428158930887566</v>
      </c>
      <c r="BG57" s="568">
        <f t="shared" si="128"/>
        <v>1.7397646083740255</v>
      </c>
      <c r="BH57" s="568">
        <f t="shared" si="128"/>
        <v>1.6603187064251608</v>
      </c>
      <c r="BI57" s="569">
        <f t="shared" si="128"/>
        <v>1.79280636619001</v>
      </c>
      <c r="BJ57" s="568">
        <f t="shared" si="128"/>
        <v>1.6353753244781479</v>
      </c>
      <c r="BK57" s="568">
        <f t="shared" si="128"/>
        <v>1.668578480512851</v>
      </c>
      <c r="BL57" s="568">
        <f t="shared" si="128"/>
        <v>1.7424968331104422</v>
      </c>
      <c r="BN57" s="126"/>
      <c r="BO57" s="117"/>
      <c r="BP57" s="118"/>
      <c r="BQ57" s="118"/>
      <c r="BR57" s="118"/>
      <c r="BS57" s="118"/>
      <c r="BT57" s="118"/>
      <c r="BU57" s="118"/>
      <c r="BV57" s="118"/>
      <c r="BW57" s="118"/>
      <c r="BX57" s="118"/>
      <c r="BY57" s="118"/>
      <c r="BZ57" s="118"/>
      <c r="CA57" s="118"/>
      <c r="CB57" s="118"/>
      <c r="CC57" s="118"/>
      <c r="CD57" s="118"/>
      <c r="CE57" s="119"/>
      <c r="CQ57" s="117"/>
      <c r="CR57" s="118"/>
      <c r="CS57" s="118"/>
      <c r="CT57" s="118"/>
      <c r="CU57" s="118"/>
      <c r="CV57" s="118"/>
      <c r="CW57" s="119"/>
      <c r="CY57" s="99" t="s">
        <v>270</v>
      </c>
      <c r="CZ57" s="260">
        <f t="shared" si="124"/>
        <v>4.9271339347675226E-2</v>
      </c>
      <c r="DA57" s="99">
        <v>14.2</v>
      </c>
      <c r="DJ57" s="128"/>
      <c r="DK57" s="121"/>
      <c r="DL57" s="121"/>
      <c r="DM57" s="121"/>
      <c r="DN57" s="121"/>
      <c r="DO57" s="122"/>
      <c r="DQ57" s="131" t="s">
        <v>177</v>
      </c>
      <c r="DR57" s="224">
        <f t="shared" ref="DR57:EI57" si="129">DR38+DR39+DR44+DR45+DR47</f>
        <v>0.158</v>
      </c>
      <c r="DS57" s="224">
        <f t="shared" si="129"/>
        <v>0.154</v>
      </c>
      <c r="DT57" s="224">
        <f t="shared" si="129"/>
        <v>0.14500000000000002</v>
      </c>
      <c r="DU57" s="224">
        <f t="shared" si="129"/>
        <v>0.14400000000000002</v>
      </c>
      <c r="DV57" s="224">
        <f t="shared" si="129"/>
        <v>0.13900000000000001</v>
      </c>
      <c r="DW57" s="224">
        <f t="shared" si="129"/>
        <v>0.13600000000000001</v>
      </c>
      <c r="DX57" s="224">
        <f t="shared" si="129"/>
        <v>0.14300000000000002</v>
      </c>
      <c r="DY57" s="224">
        <f t="shared" si="129"/>
        <v>0.14100000000000001</v>
      </c>
      <c r="DZ57" s="224">
        <f t="shared" si="129"/>
        <v>0.13300000000000001</v>
      </c>
      <c r="EA57" s="224">
        <f t="shared" si="129"/>
        <v>0.13400000000000001</v>
      </c>
      <c r="EB57" s="224">
        <f t="shared" si="129"/>
        <v>0.13</v>
      </c>
      <c r="EC57" s="225">
        <f t="shared" si="129"/>
        <v>0.13200000000000001</v>
      </c>
      <c r="ED57" s="240">
        <f t="shared" si="129"/>
        <v>0.13</v>
      </c>
      <c r="EE57" s="224">
        <f t="shared" si="129"/>
        <v>0.124</v>
      </c>
      <c r="EF57" s="224">
        <f t="shared" si="129"/>
        <v>0.11899999999999999</v>
      </c>
      <c r="EG57" s="224">
        <f t="shared" si="129"/>
        <v>0.12908704883227176</v>
      </c>
      <c r="EH57" s="224">
        <f t="shared" si="129"/>
        <v>0.13302167445813856</v>
      </c>
      <c r="EI57" s="369">
        <f t="shared" si="129"/>
        <v>0.11362607514712539</v>
      </c>
      <c r="EJ57" s="372">
        <f>EJ38+EJ39+EJ44+EJ45+EJ47</f>
        <v>0.13538627418860866</v>
      </c>
      <c r="EM57" s="392" t="s">
        <v>177</v>
      </c>
      <c r="EN57" s="402">
        <f>EN44+EN45+EN38+EN39</f>
        <v>10</v>
      </c>
      <c r="EO57" s="126">
        <f>EO44+EO45+EO38+EO39</f>
        <v>125.6875</v>
      </c>
      <c r="EP57" s="126">
        <f t="shared" si="120"/>
        <v>135.6875</v>
      </c>
      <c r="EQ57" s="205">
        <f t="shared" si="121"/>
        <v>0.13479024179742707</v>
      </c>
      <c r="ER57" s="126">
        <f>ER44+ER45+ER38+ER39</f>
        <v>1.1499999999999999</v>
      </c>
      <c r="ES57" s="126">
        <f>ES44+ES45+ES38+ES39</f>
        <v>4.3990625000000003</v>
      </c>
      <c r="ET57" s="126">
        <f t="shared" si="122"/>
        <v>5.5490624999999998</v>
      </c>
      <c r="EU57" s="175">
        <f t="shared" si="123"/>
        <v>0.12772461777733793</v>
      </c>
      <c r="EV57" s="406">
        <f t="shared" si="126"/>
        <v>9.7412053962381409E-2</v>
      </c>
      <c r="EW57" s="407">
        <f t="shared" si="127"/>
        <v>0.13903484513274336</v>
      </c>
    </row>
    <row r="58" spans="1:172">
      <c r="A58" s="76" t="s">
        <v>268</v>
      </c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7"/>
      <c r="N58" s="196"/>
      <c r="O58" s="196"/>
      <c r="P58" s="196"/>
      <c r="Q58" s="196"/>
      <c r="R58" s="196"/>
      <c r="S58" s="196"/>
      <c r="T58" s="196">
        <v>0.410244</v>
      </c>
      <c r="U58" s="196">
        <v>1.0474699999999999</v>
      </c>
      <c r="V58" s="196">
        <v>0.69159999999999999</v>
      </c>
      <c r="W58" s="196">
        <v>0.99382300000000001</v>
      </c>
      <c r="X58" s="196">
        <v>0.82696499999999995</v>
      </c>
      <c r="Y58" s="197">
        <v>1.0550839999999999</v>
      </c>
      <c r="Z58" s="196">
        <v>1.35022</v>
      </c>
      <c r="AA58" s="196">
        <v>1.0239069999999999</v>
      </c>
      <c r="AB58" s="196">
        <v>0.84919</v>
      </c>
      <c r="AC58" s="196">
        <v>1.9048309999999999</v>
      </c>
      <c r="AD58" s="196">
        <v>1.672142</v>
      </c>
      <c r="AE58" s="196">
        <v>1.559375</v>
      </c>
      <c r="AF58" s="196">
        <v>1.678957</v>
      </c>
      <c r="AG58" s="196">
        <v>2.0098280000000002</v>
      </c>
      <c r="AH58" s="196">
        <v>2.4652210000000001</v>
      </c>
      <c r="AI58" s="196">
        <v>2.764993</v>
      </c>
      <c r="AJ58" s="196">
        <v>2.1036049999999999</v>
      </c>
      <c r="AK58" s="197">
        <v>1.703673</v>
      </c>
      <c r="AL58" s="196">
        <v>1.560443</v>
      </c>
      <c r="AM58" s="196">
        <v>1.329086</v>
      </c>
      <c r="AN58" s="196">
        <v>1.4900009999999999</v>
      </c>
      <c r="AO58" s="196">
        <v>1.3722319999999999</v>
      </c>
      <c r="AP58" s="196">
        <v>1.22559</v>
      </c>
      <c r="AQ58" s="196">
        <v>1.200083</v>
      </c>
      <c r="AR58" s="196">
        <v>1.1566590000000001</v>
      </c>
      <c r="AS58" s="196">
        <v>1.1825969999999999</v>
      </c>
      <c r="AT58" s="196">
        <v>1.1959839999999999</v>
      </c>
      <c r="AU58" s="196">
        <v>1.1864699999999999</v>
      </c>
      <c r="AV58" s="196">
        <v>1.1132299999999999</v>
      </c>
      <c r="AW58" s="197">
        <v>1.1971270000000001</v>
      </c>
      <c r="AX58" s="196">
        <v>1.1294999999999999</v>
      </c>
      <c r="AY58" s="555">
        <v>1.3776790000000001</v>
      </c>
      <c r="AZ58" s="555">
        <v>1.488896</v>
      </c>
      <c r="BA58" s="555">
        <v>1.091988</v>
      </c>
      <c r="BB58" s="555">
        <v>1.0555760000000001</v>
      </c>
      <c r="BC58" s="555">
        <v>0.87882400000000005</v>
      </c>
      <c r="BD58" s="555">
        <v>0.80710999999999999</v>
      </c>
      <c r="BE58" s="555">
        <v>0.78134099999999995</v>
      </c>
      <c r="BF58" s="568">
        <f t="shared" si="128"/>
        <v>1.0582908760338967</v>
      </c>
      <c r="BG58" s="568">
        <f t="shared" si="128"/>
        <v>0.29850200527731263</v>
      </c>
      <c r="BH58" s="568">
        <f t="shared" si="128"/>
        <v>0.9444033894555236</v>
      </c>
      <c r="BI58" s="569">
        <f t="shared" si="128"/>
        <v>0.65609445486375406</v>
      </c>
      <c r="BJ58" s="568">
        <f t="shared" si="128"/>
        <v>0.86321262718830882</v>
      </c>
      <c r="BK58" s="568">
        <f t="shared" si="128"/>
        <v>0.74928976028822258</v>
      </c>
      <c r="BL58" s="568">
        <f t="shared" si="128"/>
        <v>0.76503046541837927</v>
      </c>
      <c r="BO58" s="117"/>
      <c r="BP58" s="118"/>
      <c r="BQ58" s="118"/>
      <c r="BR58" s="118"/>
      <c r="BS58" s="118"/>
      <c r="BT58" s="118"/>
      <c r="BU58" s="118"/>
      <c r="BV58" s="118"/>
      <c r="BW58" s="118"/>
      <c r="BX58" s="118"/>
      <c r="BY58" s="118"/>
      <c r="BZ58" s="118"/>
      <c r="CA58" s="118"/>
      <c r="CB58" s="118"/>
      <c r="CC58" s="118"/>
      <c r="CD58" s="118"/>
      <c r="CE58" s="119"/>
      <c r="CQ58" s="117"/>
      <c r="CR58" s="118"/>
      <c r="CS58" s="118"/>
      <c r="CT58" s="118"/>
      <c r="CU58" s="118"/>
      <c r="CV58" s="118"/>
      <c r="CW58" s="119"/>
      <c r="CY58" s="99" t="s">
        <v>359</v>
      </c>
      <c r="CZ58" s="260">
        <f t="shared" si="124"/>
        <v>6.5232477446217907E-2</v>
      </c>
      <c r="DA58" s="99">
        <v>18.8</v>
      </c>
      <c r="DJ58" s="132"/>
      <c r="DK58" s="133" t="s">
        <v>266</v>
      </c>
      <c r="DL58" s="133" t="s">
        <v>263</v>
      </c>
      <c r="DM58" s="121"/>
      <c r="DN58" s="121"/>
      <c r="DO58" s="122"/>
      <c r="DQ58" s="131" t="s">
        <v>319</v>
      </c>
      <c r="DR58" s="224">
        <f t="shared" ref="DR58:EI58" si="130">DR37</f>
        <v>0.11600000000000001</v>
      </c>
      <c r="DS58" s="224">
        <f t="shared" si="130"/>
        <v>0.111</v>
      </c>
      <c r="DT58" s="224">
        <f t="shared" si="130"/>
        <v>0.11</v>
      </c>
      <c r="DU58" s="224">
        <f t="shared" si="130"/>
        <v>0.112</v>
      </c>
      <c r="DV58" s="224">
        <f t="shared" si="130"/>
        <v>0.105</v>
      </c>
      <c r="DW58" s="224">
        <f t="shared" si="130"/>
        <v>0.108</v>
      </c>
      <c r="DX58" s="224">
        <f t="shared" si="130"/>
        <v>0.113</v>
      </c>
      <c r="DY58" s="224">
        <f t="shared" si="130"/>
        <v>0.112</v>
      </c>
      <c r="DZ58" s="224">
        <f t="shared" si="130"/>
        <v>0.109</v>
      </c>
      <c r="EA58" s="224">
        <f t="shared" si="130"/>
        <v>0.10299999999999999</v>
      </c>
      <c r="EB58" s="224">
        <f t="shared" si="130"/>
        <v>0.108</v>
      </c>
      <c r="EC58" s="225">
        <f t="shared" si="130"/>
        <v>0.11700000000000001</v>
      </c>
      <c r="ED58" s="240">
        <f t="shared" si="130"/>
        <v>0.11799999999999999</v>
      </c>
      <c r="EE58" s="224">
        <f t="shared" si="130"/>
        <v>0.114</v>
      </c>
      <c r="EF58" s="224">
        <f t="shared" si="130"/>
        <v>0.112</v>
      </c>
      <c r="EG58" s="224">
        <f t="shared" si="130"/>
        <v>0.11252653927813164</v>
      </c>
      <c r="EH58" s="224">
        <f t="shared" si="130"/>
        <v>0.13387165320866978</v>
      </c>
      <c r="EI58" s="369">
        <f t="shared" si="130"/>
        <v>0.1276595744680851</v>
      </c>
      <c r="EJ58" s="372">
        <f>EJ37</f>
        <v>0.14682264569440603</v>
      </c>
      <c r="EM58" s="392" t="s">
        <v>319</v>
      </c>
      <c r="EN58" s="402">
        <f>EN37</f>
        <v>12.8</v>
      </c>
      <c r="EO58" s="126">
        <f>EO37</f>
        <v>135</v>
      </c>
      <c r="EP58" s="126">
        <f t="shared" si="120"/>
        <v>147.80000000000001</v>
      </c>
      <c r="EQ58" s="205">
        <f t="shared" si="121"/>
        <v>0.14682264569440606</v>
      </c>
      <c r="ER58" s="126">
        <f>ER37</f>
        <v>1.4720000000000002</v>
      </c>
      <c r="ES58" s="126">
        <f>ES37</f>
        <v>4.7250000000000005</v>
      </c>
      <c r="ET58" s="126">
        <f t="shared" si="122"/>
        <v>6.197000000000001</v>
      </c>
      <c r="EU58" s="175">
        <f t="shared" si="123"/>
        <v>0.14263841078851849</v>
      </c>
      <c r="EV58" s="406">
        <f t="shared" si="126"/>
        <v>0.12468742907184822</v>
      </c>
      <c r="EW58" s="407">
        <f t="shared" si="127"/>
        <v>0.14933628318584072</v>
      </c>
    </row>
    <row r="59" spans="1:172" ht="16" thickBot="1">
      <c r="A59" s="78" t="s">
        <v>237</v>
      </c>
      <c r="B59" s="203">
        <f t="shared" ref="B59:M59" si="131">SUM(B48:B58)</f>
        <v>92.41993699999999</v>
      </c>
      <c r="C59" s="203">
        <f t="shared" si="131"/>
        <v>108.42456600000001</v>
      </c>
      <c r="D59" s="203">
        <f t="shared" si="131"/>
        <v>127.99780200000001</v>
      </c>
      <c r="E59" s="203">
        <f t="shared" si="131"/>
        <v>105.309586</v>
      </c>
      <c r="F59" s="203">
        <f t="shared" si="131"/>
        <v>93.092883999999984</v>
      </c>
      <c r="G59" s="203">
        <f t="shared" si="131"/>
        <v>93.547084999999996</v>
      </c>
      <c r="H59" s="203">
        <f t="shared" si="131"/>
        <v>48.793939000000009</v>
      </c>
      <c r="I59" s="203">
        <f t="shared" si="131"/>
        <v>76.127061999999995</v>
      </c>
      <c r="J59" s="203">
        <f t="shared" si="131"/>
        <v>164.25240499999998</v>
      </c>
      <c r="K59" s="203">
        <f t="shared" si="131"/>
        <v>278.85310600000003</v>
      </c>
      <c r="L59" s="203">
        <f t="shared" si="131"/>
        <v>371.147762</v>
      </c>
      <c r="M59" s="295">
        <f t="shared" si="131"/>
        <v>409.22976899999998</v>
      </c>
      <c r="N59" s="540">
        <f t="shared" ref="N59" si="132">SUM(N55:N58)+N48</f>
        <v>262.44250799999998</v>
      </c>
      <c r="O59" s="419">
        <f t="shared" ref="O59" si="133">SUM(O55:O58)+O48</f>
        <v>270.639971</v>
      </c>
      <c r="P59" s="419">
        <f t="shared" ref="P59" si="134">SUM(P55:P58)+P48</f>
        <v>317.18169399999999</v>
      </c>
      <c r="Q59" s="419">
        <f t="shared" ref="Q59" si="135">SUM(Q55:Q58)+Q48</f>
        <v>323.37477000000001</v>
      </c>
      <c r="R59" s="419">
        <f t="shared" ref="R59" si="136">SUM(R55:R58)+R48</f>
        <v>336.76455399999998</v>
      </c>
      <c r="S59" s="419">
        <f t="shared" ref="S59" si="137">SUM(S55:S58)+S48</f>
        <v>265.45228800000001</v>
      </c>
      <c r="T59" s="419">
        <f t="shared" ref="T59" si="138">SUM(T55:T58)+T48</f>
        <v>242.99443799999997</v>
      </c>
      <c r="U59" s="419">
        <f t="shared" ref="U59" si="139">SUM(U55:U58)+U48</f>
        <v>271.87952899999999</v>
      </c>
      <c r="V59" s="419">
        <f t="shared" ref="V59" si="140">SUM(V55:V58)+V48</f>
        <v>351.93390299999999</v>
      </c>
      <c r="W59" s="419">
        <f t="shared" ref="W59" si="141">SUM(W55:W58)+W48</f>
        <v>378.45996200000002</v>
      </c>
      <c r="X59" s="419">
        <f t="shared" ref="X59" si="142">SUM(X55:X58)+X48</f>
        <v>376.44713100000001</v>
      </c>
      <c r="Y59" s="360">
        <f>SUM(Y55:Y58)+Y48</f>
        <v>368.21355000000005</v>
      </c>
      <c r="Z59" s="540">
        <f t="shared" ref="Z59" si="143">SUM(Z55:Z58)+Z48</f>
        <v>462.575603</v>
      </c>
      <c r="AA59" s="419">
        <f t="shared" ref="AA59" si="144">SUM(AA55:AA58)+AA48</f>
        <v>419.02204700000004</v>
      </c>
      <c r="AB59" s="419">
        <f t="shared" ref="AB59" si="145">SUM(AB55:AB58)+AB48</f>
        <v>458.08843899999999</v>
      </c>
      <c r="AC59" s="419">
        <f t="shared" ref="AC59" si="146">SUM(AC55:AC58)+AC48</f>
        <v>440.14234299999998</v>
      </c>
      <c r="AD59" s="419">
        <f t="shared" ref="AD59" si="147">SUM(AD55:AD58)+AD48</f>
        <v>411.41437800000006</v>
      </c>
      <c r="AE59" s="419">
        <f t="shared" ref="AE59" si="148">SUM(AE55:AE58)+AE48</f>
        <v>371.03905199999997</v>
      </c>
      <c r="AF59" s="419">
        <f t="shared" ref="AF59" si="149">SUM(AF55:AF58)+AF48</f>
        <v>319.83790499999998</v>
      </c>
      <c r="AG59" s="419">
        <f t="shared" ref="AG59" si="150">SUM(AG55:AG58)+AG48</f>
        <v>316.071865</v>
      </c>
      <c r="AH59" s="419">
        <f t="shared" ref="AH59" si="151">SUM(AH55:AH58)+AH48</f>
        <v>377.89555900000005</v>
      </c>
      <c r="AI59" s="419">
        <f t="shared" ref="AI59" si="152">SUM(AI55:AI58)+AI48</f>
        <v>425.15660400000002</v>
      </c>
      <c r="AJ59" s="419">
        <f t="shared" ref="AJ59" si="153">SUM(AJ55:AJ58)+AJ48</f>
        <v>418.99001999999996</v>
      </c>
      <c r="AK59" s="360">
        <f>SUM(AK55:AK58)+AK48</f>
        <v>406.35814899999997</v>
      </c>
      <c r="AL59" s="540">
        <f t="shared" ref="AL59:AV59" si="154">SUM(AL55:AL58)+AL48</f>
        <v>470.00173599999999</v>
      </c>
      <c r="AM59" s="419">
        <f t="shared" si="154"/>
        <v>412.16403800000001</v>
      </c>
      <c r="AN59" s="419">
        <f t="shared" si="154"/>
        <v>407.86850299999998</v>
      </c>
      <c r="AO59" s="419">
        <f t="shared" si="154"/>
        <v>377.269474</v>
      </c>
      <c r="AP59" s="419">
        <f t="shared" si="154"/>
        <v>374.26100700000006</v>
      </c>
      <c r="AQ59" s="419">
        <f t="shared" si="154"/>
        <v>303.888192</v>
      </c>
      <c r="AR59" s="419">
        <f t="shared" si="154"/>
        <v>619.34469000000001</v>
      </c>
      <c r="AS59" s="419">
        <f t="shared" si="154"/>
        <v>1281.6734859999999</v>
      </c>
      <c r="AT59" s="419">
        <f t="shared" si="154"/>
        <v>1358.6518489999999</v>
      </c>
      <c r="AU59" s="419">
        <f t="shared" si="154"/>
        <v>1449.0481760000002</v>
      </c>
      <c r="AV59" s="419">
        <f t="shared" si="154"/>
        <v>1398.124693</v>
      </c>
      <c r="AW59" s="541">
        <f>SUM(AW55:AW58)+AW48</f>
        <v>1397.2755839999998</v>
      </c>
      <c r="AX59" s="540">
        <f>SUM(AX55:AX58)+AX48</f>
        <v>1513.5142980000001</v>
      </c>
      <c r="AY59" s="419">
        <f>SUM(AY55:AY58)+AY48</f>
        <v>1377.2984700000002</v>
      </c>
      <c r="AZ59" s="419">
        <f t="shared" ref="AZ59:BA59" si="155">SUM(AZ55:AZ58)+AZ48</f>
        <v>1362.3276830000002</v>
      </c>
      <c r="BA59" s="419">
        <f t="shared" si="155"/>
        <v>1276.4435909999997</v>
      </c>
      <c r="BB59" s="419">
        <f t="shared" ref="BB59:BC59" si="156">SUM(BB55:BB58)+BB48</f>
        <v>1313.2401420000001</v>
      </c>
      <c r="BC59" s="419">
        <f t="shared" si="156"/>
        <v>1151.3193159999998</v>
      </c>
      <c r="BD59" s="419">
        <f t="shared" ref="BD59:BE59" si="157">SUM(BD55:BD58)+BD48</f>
        <v>1080.521313</v>
      </c>
      <c r="BE59" s="419">
        <f t="shared" si="157"/>
        <v>1081.5654569999999</v>
      </c>
      <c r="BF59" s="419">
        <f t="shared" ref="BF59:BG59" si="158">SUM(BF55:BF58)+BF48</f>
        <v>1301.9404130433841</v>
      </c>
      <c r="BG59" s="419">
        <f t="shared" si="158"/>
        <v>1331.2917831051916</v>
      </c>
      <c r="BH59" s="419">
        <f t="shared" ref="BH59:BL59" si="159">SUM(BH55:BH58)+BH48</f>
        <v>1311.3770335948698</v>
      </c>
      <c r="BI59" s="541">
        <f t="shared" si="159"/>
        <v>1390.8916546554701</v>
      </c>
      <c r="BJ59" s="419">
        <f t="shared" si="159"/>
        <v>1541.7001808922141</v>
      </c>
      <c r="BK59" s="419">
        <f t="shared" si="159"/>
        <v>1382.9981870792906</v>
      </c>
      <c r="BL59" s="419">
        <f t="shared" si="159"/>
        <v>1430.6728344784049</v>
      </c>
      <c r="BN59" s="260"/>
      <c r="BO59" s="117"/>
      <c r="BP59" s="118"/>
      <c r="BQ59" s="118"/>
      <c r="BR59" s="118"/>
      <c r="BS59" s="118"/>
      <c r="BT59" s="118"/>
      <c r="BU59" s="118"/>
      <c r="BV59" s="118"/>
      <c r="BW59" s="118"/>
      <c r="BX59" s="118"/>
      <c r="BY59" s="118"/>
      <c r="BZ59" s="118"/>
      <c r="CA59" s="118"/>
      <c r="CB59" s="118"/>
      <c r="CC59" s="118"/>
      <c r="CD59" s="118"/>
      <c r="CE59" s="119"/>
      <c r="CQ59" s="117"/>
      <c r="CR59" s="118"/>
      <c r="CS59" s="118"/>
      <c r="CT59" s="118"/>
      <c r="CU59" s="118"/>
      <c r="CV59" s="118"/>
      <c r="CW59" s="119"/>
      <c r="CY59" s="99" t="s">
        <v>360</v>
      </c>
      <c r="CZ59" s="260">
        <f t="shared" si="124"/>
        <v>0.29458709229701602</v>
      </c>
      <c r="DA59" s="99">
        <v>84.9</v>
      </c>
      <c r="DJ59" s="128" t="s">
        <v>359</v>
      </c>
      <c r="DK59" s="139">
        <f>DL59/DL$67</f>
        <v>7.4034944288456611E-2</v>
      </c>
      <c r="DL59" s="160">
        <f>DL11+DL24+DL34+DL44</f>
        <v>28.403209199999999</v>
      </c>
      <c r="DM59" s="121"/>
      <c r="DN59" s="121"/>
      <c r="DO59" s="122"/>
      <c r="DQ59" s="131" t="s">
        <v>288</v>
      </c>
      <c r="DR59" s="224">
        <f t="shared" ref="DR59:EI59" si="160">DR36</f>
        <v>0.17399999999999999</v>
      </c>
      <c r="DS59" s="224">
        <f t="shared" si="160"/>
        <v>0.17399999999999999</v>
      </c>
      <c r="DT59" s="224">
        <f t="shared" si="160"/>
        <v>0.187</v>
      </c>
      <c r="DU59" s="224">
        <f t="shared" si="160"/>
        <v>0.188</v>
      </c>
      <c r="DV59" s="224">
        <f t="shared" si="160"/>
        <v>0.193</v>
      </c>
      <c r="DW59" s="224">
        <f t="shared" si="160"/>
        <v>0.20699999999999999</v>
      </c>
      <c r="DX59" s="224">
        <f t="shared" si="160"/>
        <v>0.21199999999999999</v>
      </c>
      <c r="DY59" s="224">
        <f t="shared" si="160"/>
        <v>0.224</v>
      </c>
      <c r="DZ59" s="224">
        <f t="shared" si="160"/>
        <v>0.217</v>
      </c>
      <c r="EA59" s="224">
        <f t="shared" si="160"/>
        <v>0.223</v>
      </c>
      <c r="EB59" s="224">
        <f t="shared" si="160"/>
        <v>0.23300000000000001</v>
      </c>
      <c r="EC59" s="225">
        <f t="shared" si="160"/>
        <v>0.23</v>
      </c>
      <c r="ED59" s="240">
        <f t="shared" si="160"/>
        <v>0.23899999999999999</v>
      </c>
      <c r="EE59" s="224">
        <f t="shared" si="160"/>
        <v>0.22500000000000001</v>
      </c>
      <c r="EF59" s="224">
        <f t="shared" si="160"/>
        <v>0.22800000000000001</v>
      </c>
      <c r="EG59" s="224">
        <f t="shared" si="160"/>
        <v>0.24203821656050956</v>
      </c>
      <c r="EH59" s="224">
        <f t="shared" si="160"/>
        <v>0.26264343391415212</v>
      </c>
      <c r="EI59" s="369">
        <f t="shared" si="160"/>
        <v>0.27569035762788591</v>
      </c>
      <c r="EJ59" s="372">
        <f>EJ36</f>
        <v>0.2438765867251467</v>
      </c>
      <c r="EM59" s="392" t="s">
        <v>288</v>
      </c>
      <c r="EN59" s="402">
        <f>EN36</f>
        <v>37.1</v>
      </c>
      <c r="EO59" s="126">
        <f>EO36</f>
        <v>208.4</v>
      </c>
      <c r="EP59" s="126">
        <f t="shared" si="120"/>
        <v>245.5</v>
      </c>
      <c r="EQ59" s="205">
        <f t="shared" si="121"/>
        <v>0.24387658672514673</v>
      </c>
      <c r="ER59" s="126">
        <f>ER36</f>
        <v>4.2665000000000006</v>
      </c>
      <c r="ES59" s="126">
        <f>ES36</f>
        <v>7.2940000000000005</v>
      </c>
      <c r="ET59" s="126">
        <f t="shared" si="122"/>
        <v>11.560500000000001</v>
      </c>
      <c r="EU59" s="175">
        <f t="shared" si="123"/>
        <v>0.26609187476531676</v>
      </c>
      <c r="EV59" s="406">
        <f t="shared" si="126"/>
        <v>0.36139872020043512</v>
      </c>
      <c r="EW59" s="407">
        <f t="shared" si="127"/>
        <v>0.23053097345132745</v>
      </c>
    </row>
    <row r="60" spans="1:172">
      <c r="A60" s="170" t="s">
        <v>183</v>
      </c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71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71"/>
      <c r="Z60" s="204">
        <f t="shared" ref="Z60:AU60" si="161">Z59/N59-1</f>
        <v>0.76257880830798963</v>
      </c>
      <c r="AA60" s="204">
        <f t="shared" si="161"/>
        <v>0.54826371526621265</v>
      </c>
      <c r="AB60" s="204">
        <f t="shared" si="161"/>
        <v>0.44424614555466757</v>
      </c>
      <c r="AC60" s="204">
        <f t="shared" si="161"/>
        <v>0.36109054828241538</v>
      </c>
      <c r="AD60" s="204">
        <f t="shared" si="161"/>
        <v>0.22166769962375588</v>
      </c>
      <c r="AE60" s="204">
        <f t="shared" si="161"/>
        <v>0.39776174014367482</v>
      </c>
      <c r="AF60" s="204">
        <f t="shared" si="161"/>
        <v>0.31623549753842517</v>
      </c>
      <c r="AG60" s="204">
        <f t="shared" si="161"/>
        <v>0.16254381549998942</v>
      </c>
      <c r="AH60" s="204">
        <f t="shared" si="161"/>
        <v>7.3768556478061242E-2</v>
      </c>
      <c r="AI60" s="204">
        <f t="shared" si="161"/>
        <v>0.12338595013651665</v>
      </c>
      <c r="AJ60" s="204">
        <f t="shared" si="161"/>
        <v>0.11301159046421305</v>
      </c>
      <c r="AK60" s="233">
        <f t="shared" si="161"/>
        <v>0.10359368632686095</v>
      </c>
      <c r="AL60" s="204">
        <f t="shared" si="161"/>
        <v>1.6053879521181758E-2</v>
      </c>
      <c r="AM60" s="204">
        <f t="shared" si="161"/>
        <v>-1.6366702060428895E-2</v>
      </c>
      <c r="AN60" s="204">
        <f t="shared" si="161"/>
        <v>-0.10962934604861319</v>
      </c>
      <c r="AO60" s="204">
        <f t="shared" si="161"/>
        <v>-0.14284667221849179</v>
      </c>
      <c r="AP60" s="204">
        <f t="shared" si="161"/>
        <v>-9.0306447675973067E-2</v>
      </c>
      <c r="AQ60" s="204">
        <f t="shared" si="161"/>
        <v>-0.18098057236304055</v>
      </c>
      <c r="AR60" s="204">
        <f t="shared" si="161"/>
        <v>0.93643305036030688</v>
      </c>
      <c r="AS60" s="204">
        <f t="shared" si="161"/>
        <v>3.0550065599796419</v>
      </c>
      <c r="AT60" s="204">
        <f t="shared" si="161"/>
        <v>2.5953104413169346</v>
      </c>
      <c r="AU60" s="204">
        <f t="shared" si="161"/>
        <v>2.4082692409500952</v>
      </c>
      <c r="AV60" s="204">
        <f t="shared" ref="AV60" si="162">AV59/AJ59-1</f>
        <v>2.3368925899476083</v>
      </c>
      <c r="AW60" s="542">
        <f t="shared" ref="AW60:AX60" si="163">AW59/AK59-1</f>
        <v>2.4385322096739834</v>
      </c>
      <c r="AX60" s="204">
        <f t="shared" si="163"/>
        <v>2.2202312929329269</v>
      </c>
      <c r="AY60" s="204">
        <f t="shared" ref="AY60" si="164">AY59/AM59-1</f>
        <v>2.3416269810516561</v>
      </c>
      <c r="AZ60" s="204">
        <f t="shared" ref="AZ60:BC60" si="165">AZ59/AN59-1</f>
        <v>2.3401149463115085</v>
      </c>
      <c r="BA60" s="204">
        <f t="shared" si="165"/>
        <v>2.3833736333515279</v>
      </c>
      <c r="BB60" s="204">
        <f t="shared" si="165"/>
        <v>2.5088884960970566</v>
      </c>
      <c r="BC60" s="204">
        <f t="shared" si="165"/>
        <v>2.7886280096069012</v>
      </c>
      <c r="BD60" s="204">
        <f t="shared" ref="BD60" si="166">BD59/AR59-1</f>
        <v>0.74462029052029166</v>
      </c>
      <c r="BE60" s="204">
        <f t="shared" ref="BE60" si="167">BE59/AS59-1</f>
        <v>-0.15613027123196643</v>
      </c>
      <c r="BF60" s="204">
        <f t="shared" ref="BF60" si="168">BF59/AT59-1</f>
        <v>-4.1740962556637839E-2</v>
      </c>
      <c r="BG60" s="204">
        <f t="shared" ref="BG60" si="169">BG59/AU59-1</f>
        <v>-8.1264650026935059E-2</v>
      </c>
      <c r="BH60" s="204">
        <f t="shared" ref="BH60" si="170">BH59/AV59-1</f>
        <v>-6.2045724418894999E-2</v>
      </c>
      <c r="BI60" s="542">
        <f t="shared" ref="BI60" si="171">BI59/AW59-1</f>
        <v>-4.5688405477281036E-3</v>
      </c>
      <c r="BJ60" s="204">
        <f t="shared" ref="BJ60" si="172">BJ59/AX59-1</f>
        <v>1.8622805829756395E-2</v>
      </c>
      <c r="BK60" s="204">
        <f t="shared" ref="BK60" si="173">BK59/AY59-1</f>
        <v>4.1383310904936632E-3</v>
      </c>
      <c r="BL60" s="204">
        <f t="shared" ref="BL60" si="174">BL59/AZ59-1</f>
        <v>5.0167923863883468E-2</v>
      </c>
      <c r="BN60" s="260"/>
      <c r="BO60" s="117"/>
      <c r="BP60" s="118"/>
      <c r="BQ60" s="118"/>
      <c r="BR60" s="118"/>
      <c r="BS60" s="118"/>
      <c r="BT60" s="118"/>
      <c r="BU60" s="118"/>
      <c r="BV60" s="118"/>
      <c r="BW60" s="118"/>
      <c r="BX60" s="118"/>
      <c r="BY60" s="118"/>
      <c r="BZ60" s="118"/>
      <c r="CA60" s="118"/>
      <c r="CB60" s="118"/>
      <c r="CC60" s="118"/>
      <c r="CD60" s="118"/>
      <c r="CE60" s="119"/>
      <c r="CQ60" s="117"/>
      <c r="CR60" s="118"/>
      <c r="CS60" s="118"/>
      <c r="CT60" s="118"/>
      <c r="CU60" s="118"/>
      <c r="CV60" s="118"/>
      <c r="CW60" s="119"/>
      <c r="CY60" s="99" t="s">
        <v>304</v>
      </c>
      <c r="CZ60" s="260">
        <f t="shared" si="124"/>
        <v>0.18667591950034698</v>
      </c>
      <c r="DA60" s="99">
        <v>53.8</v>
      </c>
      <c r="DJ60" s="128" t="s">
        <v>247</v>
      </c>
      <c r="DK60" s="139">
        <f t="shared" ref="DK60:DK66" si="175">DL60/DL$67</f>
        <v>0.1548640599070415</v>
      </c>
      <c r="DL60" s="160">
        <f>DL10+DL28+DL35+DL45</f>
        <v>59.412974958999996</v>
      </c>
      <c r="DM60" s="121"/>
      <c r="DN60" s="121"/>
      <c r="DO60" s="122"/>
      <c r="DQ60" s="131" t="s">
        <v>216</v>
      </c>
      <c r="DR60" s="224">
        <f t="shared" ref="DR60:EI60" si="176">DR41+DR46+DR48</f>
        <v>4.4000000000000004E-2</v>
      </c>
      <c r="DS60" s="224">
        <f t="shared" si="176"/>
        <v>8.1000000000000003E-2</v>
      </c>
      <c r="DT60" s="224">
        <f t="shared" si="176"/>
        <v>7.6999999999999999E-2</v>
      </c>
      <c r="DU60" s="224">
        <f t="shared" si="176"/>
        <v>7.2000000000000008E-2</v>
      </c>
      <c r="DV60" s="224">
        <f t="shared" si="176"/>
        <v>8.2000000000000003E-2</v>
      </c>
      <c r="DW60" s="224">
        <f t="shared" si="176"/>
        <v>8.299999999999999E-2</v>
      </c>
      <c r="DX60" s="224">
        <f t="shared" si="176"/>
        <v>0.08</v>
      </c>
      <c r="DY60" s="224">
        <f t="shared" si="176"/>
        <v>7.6999999999999999E-2</v>
      </c>
      <c r="DZ60" s="224">
        <f t="shared" si="176"/>
        <v>7.5999999999999998E-2</v>
      </c>
      <c r="EA60" s="224">
        <f t="shared" si="176"/>
        <v>5.7000000000000002E-2</v>
      </c>
      <c r="EB60" s="224">
        <f t="shared" si="176"/>
        <v>6.0999999999999999E-2</v>
      </c>
      <c r="EC60" s="225">
        <f t="shared" si="176"/>
        <v>5.5000000000000007E-2</v>
      </c>
      <c r="ED60" s="240">
        <f t="shared" si="176"/>
        <v>5.8000000000000003E-2</v>
      </c>
      <c r="EE60" s="224">
        <f t="shared" si="176"/>
        <v>7.6999999999999999E-2</v>
      </c>
      <c r="EF60" s="224">
        <f t="shared" si="176"/>
        <v>9.9999999999999839E-2</v>
      </c>
      <c r="EG60" s="224">
        <f t="shared" si="176"/>
        <v>5.6900212314225047E-2</v>
      </c>
      <c r="EH60" s="224">
        <f t="shared" si="176"/>
        <v>1.4449638759031127E-2</v>
      </c>
      <c r="EI60" s="369">
        <f t="shared" si="176"/>
        <v>4.6248981439565594E-2</v>
      </c>
      <c r="EJ60" s="372">
        <f>EJ41+EJ46+EJ48</f>
        <v>0.1018544852480493</v>
      </c>
      <c r="EM60" s="392" t="s">
        <v>216</v>
      </c>
      <c r="EN60" s="402">
        <f>EN47+EN48</f>
        <v>8.7999999999999989</v>
      </c>
      <c r="EO60" s="126">
        <f>EO47+EO48</f>
        <v>94.332499999999996</v>
      </c>
      <c r="EP60" s="126">
        <f t="shared" si="120"/>
        <v>103.13249999999999</v>
      </c>
      <c r="EQ60" s="205">
        <f t="shared" si="121"/>
        <v>0.10245051763923092</v>
      </c>
      <c r="ER60" s="126">
        <f>ER47+ER48</f>
        <v>1.012</v>
      </c>
      <c r="ES60" s="126">
        <f>ES47+ES48</f>
        <v>3.3016375</v>
      </c>
      <c r="ET60" s="126">
        <f t="shared" si="122"/>
        <v>4.3136375000000005</v>
      </c>
      <c r="EU60" s="175">
        <f t="shared" si="123"/>
        <v>9.9288429517146656E-2</v>
      </c>
      <c r="EV60" s="406">
        <f t="shared" si="126"/>
        <v>8.5722607486895641E-2</v>
      </c>
      <c r="EW60" s="407">
        <f t="shared" si="127"/>
        <v>0.10435011061946903</v>
      </c>
    </row>
    <row r="61" spans="1:172" ht="16" thickBot="1">
      <c r="A61" s="429" t="s">
        <v>252</v>
      </c>
      <c r="B61" s="430"/>
      <c r="C61" s="430"/>
      <c r="D61" s="430"/>
      <c r="E61" s="430"/>
      <c r="F61" s="430"/>
      <c r="G61" s="430"/>
      <c r="H61" s="430"/>
      <c r="I61" s="430"/>
      <c r="J61" s="430"/>
      <c r="K61" s="430"/>
      <c r="L61" s="430"/>
      <c r="M61" s="431"/>
      <c r="N61" s="432">
        <f t="shared" ref="N61:AU61" si="177">N59/N23</f>
        <v>5.8024543961821218E-2</v>
      </c>
      <c r="O61" s="432">
        <f t="shared" si="177"/>
        <v>6.5910307025498049E-2</v>
      </c>
      <c r="P61" s="432">
        <f t="shared" si="177"/>
        <v>6.9970196407180676E-2</v>
      </c>
      <c r="Q61" s="432">
        <f t="shared" si="177"/>
        <v>7.2806019585762813E-2</v>
      </c>
      <c r="R61" s="432">
        <f t="shared" si="177"/>
        <v>7.7564794885132418E-2</v>
      </c>
      <c r="S61" s="432">
        <f t="shared" si="177"/>
        <v>6.4530059036137496E-2</v>
      </c>
      <c r="T61" s="432">
        <f t="shared" si="177"/>
        <v>5.6851126087680282E-2</v>
      </c>
      <c r="U61" s="432">
        <f t="shared" si="177"/>
        <v>6.1826918169445369E-2</v>
      </c>
      <c r="V61" s="432">
        <f t="shared" si="177"/>
        <v>7.9962784701638798E-2</v>
      </c>
      <c r="W61" s="432">
        <f t="shared" si="177"/>
        <v>8.0998265355391411E-2</v>
      </c>
      <c r="X61" s="432">
        <f t="shared" si="177"/>
        <v>8.1771016537878091E-2</v>
      </c>
      <c r="Y61" s="433">
        <f t="shared" si="177"/>
        <v>6.8622658235996656E-2</v>
      </c>
      <c r="Z61" s="432">
        <f t="shared" si="177"/>
        <v>8.8443615133454487E-2</v>
      </c>
      <c r="AA61" s="432">
        <f t="shared" si="177"/>
        <v>8.7112932566971932E-2</v>
      </c>
      <c r="AB61" s="432">
        <f t="shared" si="177"/>
        <v>8.7168925322216831E-2</v>
      </c>
      <c r="AC61" s="432">
        <f t="shared" si="177"/>
        <v>8.7171694919135442E-2</v>
      </c>
      <c r="AD61" s="432">
        <f t="shared" si="177"/>
        <v>8.2719080892085545E-2</v>
      </c>
      <c r="AE61" s="432">
        <f t="shared" si="177"/>
        <v>7.87684269550675E-2</v>
      </c>
      <c r="AF61" s="432">
        <f t="shared" si="177"/>
        <v>7.0322625777435296E-2</v>
      </c>
      <c r="AG61" s="432">
        <f t="shared" si="177"/>
        <v>7.0034214320314134E-2</v>
      </c>
      <c r="AH61" s="432">
        <f t="shared" si="177"/>
        <v>7.5470164519526775E-2</v>
      </c>
      <c r="AI61" s="432">
        <f t="shared" si="177"/>
        <v>7.6044541968491072E-2</v>
      </c>
      <c r="AJ61" s="432">
        <f t="shared" si="177"/>
        <v>7.7963936875506665E-2</v>
      </c>
      <c r="AK61" s="433">
        <f t="shared" si="177"/>
        <v>6.8041732481259831E-2</v>
      </c>
      <c r="AL61" s="432">
        <f t="shared" si="177"/>
        <v>7.9904624886339232E-2</v>
      </c>
      <c r="AM61" s="432">
        <f t="shared" si="177"/>
        <v>7.2036471224280904E-2</v>
      </c>
      <c r="AN61" s="432">
        <f t="shared" si="177"/>
        <v>6.3594266283672138E-2</v>
      </c>
      <c r="AO61" s="432">
        <f t="shared" si="177"/>
        <v>6.2945655606514828E-2</v>
      </c>
      <c r="AP61" s="432">
        <f t="shared" si="177"/>
        <v>6.182742856848205E-2</v>
      </c>
      <c r="AQ61" s="432">
        <f t="shared" si="177"/>
        <v>5.2456932034781391E-2</v>
      </c>
      <c r="AR61" s="432">
        <f t="shared" si="177"/>
        <v>0.10161062436619869</v>
      </c>
      <c r="AS61" s="432">
        <f t="shared" si="177"/>
        <v>0.19939011982311269</v>
      </c>
      <c r="AT61" s="432">
        <f t="shared" si="177"/>
        <v>0.19691476446425102</v>
      </c>
      <c r="AU61" s="432">
        <f t="shared" si="177"/>
        <v>0.20263461507746533</v>
      </c>
      <c r="AV61" s="432">
        <f t="shared" ref="AV61:AW61" si="178">AV59/AV23</f>
        <v>0.19547207664997834</v>
      </c>
      <c r="AW61" s="433">
        <f t="shared" si="178"/>
        <v>0.17804294111196456</v>
      </c>
      <c r="AX61" s="432">
        <f t="shared" ref="AX61:AZ61" si="179">AX59/AX23</f>
        <v>0.18163087670704248</v>
      </c>
      <c r="AY61" s="432">
        <f t="shared" si="179"/>
        <v>0.19380817907813466</v>
      </c>
      <c r="AZ61" s="432">
        <f t="shared" si="179"/>
        <v>0.17672058220257608</v>
      </c>
      <c r="BA61" s="432">
        <f t="shared" ref="BA61:BB61" si="180">BA59/BA23</f>
        <v>0.1759209494472081</v>
      </c>
      <c r="BB61" s="432">
        <f t="shared" si="180"/>
        <v>0.17568823243509007</v>
      </c>
      <c r="BC61" s="432">
        <f t="shared" ref="BC61:BE61" si="181">BC59/BC23</f>
        <v>0.16959650144181859</v>
      </c>
      <c r="BD61" s="432">
        <f t="shared" si="181"/>
        <v>0.17391267651621051</v>
      </c>
      <c r="BE61" s="432">
        <f t="shared" si="181"/>
        <v>0.18020881341468678</v>
      </c>
      <c r="BF61" s="432">
        <f t="shared" ref="BF61:BG61" si="182">BF59/BF23</f>
        <v>0.19402871396655896</v>
      </c>
      <c r="BG61" s="432">
        <f t="shared" si="182"/>
        <v>0.18910498543990389</v>
      </c>
      <c r="BH61" s="432">
        <f t="shared" ref="BH61:BL61" si="183">BH59/BH23</f>
        <v>3.1665403568121073</v>
      </c>
      <c r="BI61" s="433">
        <f t="shared" si="183"/>
        <v>3.7595923013409673</v>
      </c>
      <c r="BJ61" s="432" t="e">
        <f t="shared" si="183"/>
        <v>#DIV/0!</v>
      </c>
      <c r="BK61" s="432" t="e">
        <f t="shared" si="183"/>
        <v>#DIV/0!</v>
      </c>
      <c r="BL61" s="432" t="e">
        <f t="shared" si="183"/>
        <v>#DIV/0!</v>
      </c>
      <c r="BN61" s="260"/>
      <c r="BO61" s="117"/>
      <c r="BP61" s="118"/>
      <c r="BQ61" s="118"/>
      <c r="BR61" s="118"/>
      <c r="BS61" s="118"/>
      <c r="BT61" s="118"/>
      <c r="BU61" s="118"/>
      <c r="BV61" s="118"/>
      <c r="BW61" s="118"/>
      <c r="BX61" s="118"/>
      <c r="BY61" s="118"/>
      <c r="BZ61" s="118"/>
      <c r="CA61" s="118"/>
      <c r="CB61" s="118"/>
      <c r="CC61" s="118"/>
      <c r="CD61" s="118"/>
      <c r="CE61" s="119"/>
      <c r="CQ61" s="117"/>
      <c r="CR61" s="118"/>
      <c r="CS61" s="118"/>
      <c r="CT61" s="118"/>
      <c r="CU61" s="118"/>
      <c r="CV61" s="118"/>
      <c r="CW61" s="119"/>
      <c r="CY61" s="99" t="s">
        <v>132</v>
      </c>
      <c r="CZ61" s="260">
        <f t="shared" si="124"/>
        <v>0.15822345593337961</v>
      </c>
      <c r="DA61" s="99">
        <v>45.6</v>
      </c>
      <c r="DJ61" s="128" t="s">
        <v>270</v>
      </c>
      <c r="DK61" s="139">
        <f t="shared" si="175"/>
        <v>6.7036386665075137E-2</v>
      </c>
      <c r="DL61" s="160">
        <f>DL14+DL25+DL36+DL46+DL56</f>
        <v>25.718240659999999</v>
      </c>
      <c r="DM61" s="121"/>
      <c r="DN61" s="121"/>
      <c r="DO61" s="122"/>
      <c r="DQ61" s="278"/>
      <c r="DR61" s="279">
        <f t="shared" ref="DR61:EI61" si="184">SUM(DR55:DR60)</f>
        <v>1</v>
      </c>
      <c r="DS61" s="279">
        <f t="shared" si="184"/>
        <v>1</v>
      </c>
      <c r="DT61" s="279">
        <f t="shared" si="184"/>
        <v>1</v>
      </c>
      <c r="DU61" s="279">
        <f t="shared" si="184"/>
        <v>1</v>
      </c>
      <c r="DV61" s="279">
        <f t="shared" si="184"/>
        <v>0.99999999999999989</v>
      </c>
      <c r="DW61" s="279">
        <f t="shared" si="184"/>
        <v>0.99999999999999989</v>
      </c>
      <c r="DX61" s="279">
        <f t="shared" si="184"/>
        <v>0.99999999999999989</v>
      </c>
      <c r="DY61" s="279">
        <f t="shared" si="184"/>
        <v>0.99999999999999989</v>
      </c>
      <c r="DZ61" s="279">
        <f t="shared" si="184"/>
        <v>0.99999999999999989</v>
      </c>
      <c r="EA61" s="279">
        <f t="shared" si="184"/>
        <v>1</v>
      </c>
      <c r="EB61" s="279">
        <f t="shared" si="184"/>
        <v>1</v>
      </c>
      <c r="EC61" s="280">
        <f t="shared" si="184"/>
        <v>1</v>
      </c>
      <c r="ED61" s="281">
        <f t="shared" si="184"/>
        <v>1</v>
      </c>
      <c r="EE61" s="279">
        <f t="shared" si="184"/>
        <v>0.99999999999999989</v>
      </c>
      <c r="EF61" s="279">
        <f t="shared" si="184"/>
        <v>0.99999999999999978</v>
      </c>
      <c r="EG61" s="279">
        <f t="shared" si="184"/>
        <v>1</v>
      </c>
      <c r="EH61" s="279">
        <f t="shared" si="184"/>
        <v>1</v>
      </c>
      <c r="EI61" s="370">
        <f t="shared" si="184"/>
        <v>1.0000000000000002</v>
      </c>
      <c r="EJ61" s="373">
        <f>SUM(EJ55:EJ60)</f>
        <v>0.99999999999999989</v>
      </c>
      <c r="EM61" s="278"/>
      <c r="EN61" s="401">
        <f>SUM(EN55:EN60)</f>
        <v>102.65669999999999</v>
      </c>
      <c r="EO61" s="398">
        <f>SUM(EO55:EO60)</f>
        <v>904</v>
      </c>
      <c r="EP61" s="398">
        <f>SUM(EP55:EP60)</f>
        <v>1006.6567</v>
      </c>
      <c r="EQ61" s="399">
        <f t="shared" si="121"/>
        <v>1</v>
      </c>
      <c r="ER61" s="398">
        <f>SUM(ER55:ER60)</f>
        <v>11.8055205</v>
      </c>
      <c r="ES61" s="398">
        <f>SUM(ES55:ES60)</f>
        <v>31.64</v>
      </c>
      <c r="ET61" s="398">
        <f>SUM(ET55:ET60)</f>
        <v>43.445520500000001</v>
      </c>
      <c r="EU61" s="400">
        <f t="shared" si="123"/>
        <v>1</v>
      </c>
      <c r="EV61" s="408">
        <f t="shared" si="126"/>
        <v>1</v>
      </c>
      <c r="EW61" s="409">
        <f t="shared" si="127"/>
        <v>1</v>
      </c>
    </row>
    <row r="62" spans="1:172" ht="16" thickBot="1">
      <c r="A62" s="5"/>
      <c r="D62" s="196"/>
      <c r="G62" s="196"/>
      <c r="J62" s="173"/>
      <c r="K62" s="173"/>
      <c r="L62" s="173"/>
      <c r="M62" s="205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205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205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205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205"/>
      <c r="BJ62" s="173"/>
      <c r="BK62" s="173"/>
      <c r="BL62" s="173"/>
      <c r="BN62" s="260"/>
      <c r="BO62" s="192"/>
      <c r="BP62" s="182"/>
      <c r="BQ62" s="182"/>
      <c r="BR62" s="182"/>
      <c r="BS62" s="182"/>
      <c r="BT62" s="182"/>
      <c r="BU62" s="182"/>
      <c r="BV62" s="182"/>
      <c r="BW62" s="182"/>
      <c r="BX62" s="182"/>
      <c r="BY62" s="182"/>
      <c r="BZ62" s="182"/>
      <c r="CA62" s="182"/>
      <c r="CB62" s="182"/>
      <c r="CC62" s="182"/>
      <c r="CD62" s="182"/>
      <c r="CE62" s="193"/>
      <c r="CQ62" s="117"/>
      <c r="CR62" s="118"/>
      <c r="CS62" s="118"/>
      <c r="CT62" s="118"/>
      <c r="CU62" s="118"/>
      <c r="CV62" s="118"/>
      <c r="CW62" s="119"/>
      <c r="CY62" s="99" t="s">
        <v>193</v>
      </c>
      <c r="CZ62" s="260">
        <f t="shared" si="124"/>
        <v>2.0471894517696047E-2</v>
      </c>
      <c r="DA62" s="99">
        <v>5.9</v>
      </c>
      <c r="DJ62" s="128" t="s">
        <v>360</v>
      </c>
      <c r="DK62" s="139">
        <f t="shared" si="175"/>
        <v>0.28190404925805745</v>
      </c>
      <c r="DL62" s="160">
        <f>DL12+DL21+DL37+DL47</f>
        <v>108.151356935</v>
      </c>
      <c r="DM62" s="121"/>
      <c r="DN62" s="121"/>
      <c r="DO62" s="122"/>
    </row>
    <row r="63" spans="1:172" ht="16" thickBot="1">
      <c r="A63" s="79" t="s">
        <v>153</v>
      </c>
      <c r="B63" s="206">
        <f t="shared" ref="B63:AU63" si="185">B47/B9</f>
        <v>0.28221898079852309</v>
      </c>
      <c r="C63" s="206">
        <f t="shared" si="185"/>
        <v>0.27168520444049277</v>
      </c>
      <c r="D63" s="206">
        <f t="shared" si="185"/>
        <v>0.27291829692053149</v>
      </c>
      <c r="E63" s="206">
        <f t="shared" si="185"/>
        <v>0.26497622446260977</v>
      </c>
      <c r="F63" s="206">
        <f t="shared" si="185"/>
        <v>0.27642174531938329</v>
      </c>
      <c r="G63" s="206">
        <f t="shared" si="185"/>
        <v>0.25010213385373342</v>
      </c>
      <c r="H63" s="206">
        <f t="shared" si="185"/>
        <v>0.27752835844567808</v>
      </c>
      <c r="I63" s="206">
        <f t="shared" si="185"/>
        <v>0.23603195628415302</v>
      </c>
      <c r="J63" s="206">
        <f t="shared" si="185"/>
        <v>0.273161286901691</v>
      </c>
      <c r="K63" s="206">
        <f t="shared" si="185"/>
        <v>0.273932884057971</v>
      </c>
      <c r="L63" s="206">
        <f t="shared" si="185"/>
        <v>0.28270298010471201</v>
      </c>
      <c r="M63" s="207">
        <f t="shared" si="185"/>
        <v>0.23834899451326699</v>
      </c>
      <c r="N63" s="206">
        <f t="shared" si="185"/>
        <v>0.28464708427546548</v>
      </c>
      <c r="O63" s="206">
        <f t="shared" si="185"/>
        <v>0.27798226381909547</v>
      </c>
      <c r="P63" s="206">
        <f t="shared" si="185"/>
        <v>0.28546715328467154</v>
      </c>
      <c r="Q63" s="206">
        <f t="shared" si="185"/>
        <v>0.28559372248803827</v>
      </c>
      <c r="R63" s="206">
        <f t="shared" si="185"/>
        <v>0.28871304047619051</v>
      </c>
      <c r="S63" s="206">
        <f t="shared" si="185"/>
        <v>0.31336678680203045</v>
      </c>
      <c r="T63" s="206">
        <f t="shared" si="185"/>
        <v>0.30797483098591549</v>
      </c>
      <c r="U63" s="206">
        <f t="shared" si="185"/>
        <v>0.29216330402930402</v>
      </c>
      <c r="V63" s="206">
        <f t="shared" si="185"/>
        <v>0.30149385230024212</v>
      </c>
      <c r="W63" s="206">
        <f t="shared" si="185"/>
        <v>0.30265785221674874</v>
      </c>
      <c r="X63" s="206">
        <f t="shared" si="185"/>
        <v>0.29923083627204028</v>
      </c>
      <c r="Y63" s="207">
        <f t="shared" si="185"/>
        <v>0.29868988922155687</v>
      </c>
      <c r="Z63" s="206">
        <f t="shared" si="185"/>
        <v>0.31065178444444447</v>
      </c>
      <c r="AA63" s="206">
        <f t="shared" si="185"/>
        <v>0.31029654398148143</v>
      </c>
      <c r="AB63" s="206">
        <f t="shared" si="185"/>
        <v>0.30857166885964915</v>
      </c>
      <c r="AC63" s="206">
        <f t="shared" si="185"/>
        <v>0.32214089220183484</v>
      </c>
      <c r="AD63" s="206">
        <f t="shared" si="185"/>
        <v>0.30451204559270517</v>
      </c>
      <c r="AE63" s="206">
        <f t="shared" si="185"/>
        <v>0.28943164739884392</v>
      </c>
      <c r="AF63" s="206">
        <f t="shared" si="185"/>
        <v>0.27153166203703705</v>
      </c>
      <c r="AG63" s="206">
        <f t="shared" si="185"/>
        <v>0.30347679916709908</v>
      </c>
      <c r="AH63" s="206">
        <f t="shared" si="185"/>
        <v>0.28719659714285717</v>
      </c>
      <c r="AI63" s="206">
        <f t="shared" si="185"/>
        <v>0.29417942141230069</v>
      </c>
      <c r="AJ63" s="206">
        <f t="shared" si="185"/>
        <v>0.29341657173913044</v>
      </c>
      <c r="AK63" s="207">
        <f t="shared" si="185"/>
        <v>0.3044859264186483</v>
      </c>
      <c r="AL63" s="206">
        <f t="shared" si="185"/>
        <v>0.31494035900883177</v>
      </c>
      <c r="AM63" s="206">
        <f t="shared" si="185"/>
        <v>0.30134232356523771</v>
      </c>
      <c r="AN63" s="206">
        <f t="shared" si="185"/>
        <v>0.29949959887565614</v>
      </c>
      <c r="AO63" s="206">
        <f t="shared" si="185"/>
        <v>0.29362355134609863</v>
      </c>
      <c r="AP63" s="206">
        <f t="shared" si="185"/>
        <v>0.28836102019796311</v>
      </c>
      <c r="AQ63" s="206">
        <f t="shared" si="185"/>
        <v>0.31232621046469949</v>
      </c>
      <c r="AR63" s="206">
        <f t="shared" si="185"/>
        <v>0.26478061106993234</v>
      </c>
      <c r="AS63" s="206">
        <f t="shared" si="185"/>
        <v>0.26898334379182309</v>
      </c>
      <c r="AT63" s="206">
        <f t="shared" si="185"/>
        <v>0.274434203238686</v>
      </c>
      <c r="AU63" s="206">
        <f t="shared" si="185"/>
        <v>0.28749521163634673</v>
      </c>
      <c r="AV63" s="206">
        <f t="shared" ref="AV63:AW63" si="186">AV47/AV9</f>
        <v>0.29157483731928258</v>
      </c>
      <c r="AW63" s="207">
        <f t="shared" si="186"/>
        <v>0.28773919397584674</v>
      </c>
      <c r="AX63" s="206">
        <f t="shared" ref="AX63:AZ63" si="187">AX47/AX9</f>
        <v>0.30260201273355392</v>
      </c>
      <c r="AY63" s="206">
        <f t="shared" si="187"/>
        <v>0.29699729491967475</v>
      </c>
      <c r="AZ63" s="206">
        <f t="shared" si="187"/>
        <v>0.28150998156782231</v>
      </c>
      <c r="BA63" s="206">
        <f t="shared" ref="BA63:BB63" si="188">BA47/BA9</f>
        <v>0.28628150210575742</v>
      </c>
      <c r="BB63" s="206">
        <f t="shared" si="188"/>
        <v>0.31425660052457793</v>
      </c>
      <c r="BC63" s="206">
        <f t="shared" ref="BC63:BE63" si="189">BC47/BC9</f>
        <v>0.32719620583975556</v>
      </c>
      <c r="BD63" s="206">
        <f t="shared" si="189"/>
        <v>0.33188499019363005</v>
      </c>
      <c r="BE63" s="206">
        <f t="shared" si="189"/>
        <v>0.33783025235004566</v>
      </c>
      <c r="BF63" s="206">
        <f t="shared" ref="BF63:BG63" si="190">BF47/BF9</f>
        <v>0.33254046723525682</v>
      </c>
      <c r="BG63" s="206">
        <f t="shared" si="190"/>
        <v>0.36427837697563575</v>
      </c>
      <c r="BH63" s="206">
        <f t="shared" ref="BH63:BL63" si="191">BH47/BH9</f>
        <v>0.40518503080630641</v>
      </c>
      <c r="BI63" s="207">
        <f t="shared" si="191"/>
        <v>0.26359004349331799</v>
      </c>
      <c r="BJ63" s="206" t="e">
        <f t="shared" si="191"/>
        <v>#DIV/0!</v>
      </c>
      <c r="BK63" s="206" t="e">
        <f t="shared" si="191"/>
        <v>#DIV/0!</v>
      </c>
      <c r="BL63" s="206" t="e">
        <f t="shared" si="191"/>
        <v>#DIV/0!</v>
      </c>
      <c r="BN63" s="260"/>
      <c r="CQ63" s="117"/>
      <c r="CR63" s="118"/>
      <c r="CS63" s="118"/>
      <c r="CT63" s="118"/>
      <c r="CU63" s="118"/>
      <c r="CV63" s="118"/>
      <c r="CW63" s="119"/>
      <c r="CY63" s="99" t="s">
        <v>81</v>
      </c>
      <c r="CZ63" s="260">
        <f t="shared" si="124"/>
        <v>2.5676613462873008E-2</v>
      </c>
      <c r="DA63" s="99">
        <v>7.4</v>
      </c>
      <c r="DJ63" s="128" t="s">
        <v>193</v>
      </c>
      <c r="DK63" s="139">
        <f t="shared" si="175"/>
        <v>2.6289136263763755E-2</v>
      </c>
      <c r="DL63" s="160">
        <f>DL16+DL26+DL38+DL48</f>
        <v>10.085721603</v>
      </c>
      <c r="DM63" s="121"/>
      <c r="DN63" s="121"/>
      <c r="DO63" s="122"/>
      <c r="EI63" s="291" t="s">
        <v>321</v>
      </c>
      <c r="ET63" s="291" t="s">
        <v>108</v>
      </c>
      <c r="FE63" s="291" t="s">
        <v>97</v>
      </c>
      <c r="FP63" s="291" t="s">
        <v>98</v>
      </c>
    </row>
    <row r="64" spans="1:172">
      <c r="A64" s="76"/>
      <c r="B64" s="209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5">
        <f>SUM(B47:M47)/SUM(B9:M9)</f>
        <v>0.26677074666164191</v>
      </c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5">
        <f>SUM(N47:Y47)/SUM(N9:Y9)</f>
        <v>0.29318038553187614</v>
      </c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5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10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10"/>
      <c r="BJ64" s="209"/>
      <c r="BK64" s="209"/>
      <c r="BL64" s="209"/>
      <c r="BN64" s="126"/>
      <c r="BO64" s="104" t="s">
        <v>249</v>
      </c>
      <c r="BP64" s="105"/>
      <c r="BQ64" s="105"/>
      <c r="BR64" s="105"/>
      <c r="BS64" s="105"/>
      <c r="BT64" s="105"/>
      <c r="BU64" s="105"/>
      <c r="BV64" s="105"/>
      <c r="BW64" s="105"/>
      <c r="BX64" s="105"/>
      <c r="BY64" s="105"/>
      <c r="BZ64" s="105"/>
      <c r="CA64" s="105"/>
      <c r="CB64" s="105"/>
      <c r="CC64" s="105"/>
      <c r="CD64" s="105"/>
      <c r="CE64" s="106"/>
      <c r="CQ64" s="117"/>
      <c r="CR64" s="118"/>
      <c r="CS64" s="118"/>
      <c r="CT64" s="118"/>
      <c r="CU64" s="118"/>
      <c r="CV64" s="118"/>
      <c r="CW64" s="119"/>
      <c r="CY64" s="99" t="s">
        <v>200</v>
      </c>
      <c r="CZ64" s="260">
        <f t="shared" si="124"/>
        <v>1.0756419153365719E-2</v>
      </c>
      <c r="DA64" s="99">
        <v>3.1</v>
      </c>
      <c r="DJ64" s="128" t="s">
        <v>132</v>
      </c>
      <c r="DK64" s="139">
        <f t="shared" si="175"/>
        <v>0.14416533164248982</v>
      </c>
      <c r="DL64" s="160">
        <f>DL15+DL23+DL39+DL51</f>
        <v>55.308450805</v>
      </c>
      <c r="DM64" s="121"/>
      <c r="DN64" s="121"/>
      <c r="DO64" s="122"/>
      <c r="DQ64" s="291" t="s">
        <v>322</v>
      </c>
      <c r="DZ64" s="291" t="s">
        <v>322</v>
      </c>
    </row>
    <row r="65" spans="1:119">
      <c r="A65" s="242" t="s">
        <v>376</v>
      </c>
      <c r="B65" s="246"/>
      <c r="C65" s="246"/>
      <c r="D65" s="246"/>
      <c r="E65" s="246"/>
      <c r="F65" s="246"/>
      <c r="G65" s="246"/>
      <c r="H65" s="246"/>
      <c r="I65" s="246"/>
      <c r="J65" s="246"/>
      <c r="K65" s="246"/>
      <c r="L65" s="246"/>
      <c r="M65" s="250"/>
      <c r="N65" s="246">
        <v>23.802</v>
      </c>
      <c r="O65" s="246">
        <v>22.925999999999998</v>
      </c>
      <c r="P65" s="246">
        <v>22.178156999999999</v>
      </c>
      <c r="Q65" s="246">
        <v>23.077999999999999</v>
      </c>
      <c r="R65" s="246">
        <v>22.315000000000001</v>
      </c>
      <c r="S65" s="246">
        <v>15.641999999999999</v>
      </c>
      <c r="T65" s="246">
        <v>4.7149999999999999</v>
      </c>
      <c r="U65" s="246">
        <v>11.677</v>
      </c>
      <c r="V65" s="246">
        <v>17.893999999999998</v>
      </c>
      <c r="W65" s="246">
        <v>21.341999999999999</v>
      </c>
      <c r="X65" s="246">
        <v>20.322875</v>
      </c>
      <c r="Y65" s="250">
        <f>226.606-SUM(N65:X65)</f>
        <v>20.713967999999966</v>
      </c>
      <c r="Z65" s="246">
        <v>33.935000000000002</v>
      </c>
      <c r="AA65" s="246">
        <v>27.977</v>
      </c>
      <c r="AB65" s="246">
        <v>27.898420999999999</v>
      </c>
      <c r="AC65" s="246">
        <v>29.668620000000001</v>
      </c>
      <c r="AD65" s="246">
        <v>18.553999999999998</v>
      </c>
      <c r="AE65" s="246">
        <v>51.45693</v>
      </c>
      <c r="AF65" s="246">
        <v>17.403915000000001</v>
      </c>
      <c r="AG65" s="246">
        <v>13.552</v>
      </c>
      <c r="AH65" s="246">
        <v>24.21444</v>
      </c>
      <c r="AI65" s="246">
        <v>27.415694999999999</v>
      </c>
      <c r="AJ65" s="246">
        <v>30.225000000000001</v>
      </c>
      <c r="AK65" s="250">
        <v>23.698979000000008</v>
      </c>
      <c r="AL65" s="246">
        <v>40.319831000000001</v>
      </c>
      <c r="AM65" s="246">
        <v>31.788679999999999</v>
      </c>
      <c r="AN65" s="246">
        <v>29.533000000000001</v>
      </c>
      <c r="AO65" s="246">
        <v>32.531948999999997</v>
      </c>
      <c r="AP65" s="246">
        <v>28.672485000000002</v>
      </c>
      <c r="AQ65" s="246">
        <v>29.672485000000002</v>
      </c>
      <c r="AR65" s="246">
        <v>14.566700000000001</v>
      </c>
      <c r="AS65" s="246">
        <v>15.175483</v>
      </c>
      <c r="AT65" s="246">
        <v>25.201367000000001</v>
      </c>
      <c r="AU65" s="246">
        <v>26.201367000000001</v>
      </c>
      <c r="AV65" s="246">
        <v>32.799793000000001</v>
      </c>
      <c r="AW65" s="250">
        <v>27.014239</v>
      </c>
      <c r="AX65" s="246">
        <v>37.959052999999997</v>
      </c>
      <c r="AY65" s="246">
        <v>34.062193999999998</v>
      </c>
      <c r="AZ65" s="246">
        <f>AZ397</f>
        <v>36.724129000000005</v>
      </c>
      <c r="BA65" s="246">
        <f>BA397</f>
        <v>38.732526000000007</v>
      </c>
      <c r="BB65" s="246">
        <f>BB397</f>
        <v>36.318181999999979</v>
      </c>
      <c r="BC65" s="246">
        <v>50.809089999999998</v>
      </c>
      <c r="BD65" s="246"/>
      <c r="BE65" s="246"/>
      <c r="BF65" s="246"/>
      <c r="BG65" s="246"/>
      <c r="BH65" s="246"/>
      <c r="BI65" s="250"/>
      <c r="BJ65" s="246"/>
      <c r="BK65" s="246"/>
      <c r="BL65" s="246"/>
      <c r="BN65" s="126"/>
      <c r="BO65" s="117"/>
      <c r="BP65" s="118"/>
      <c r="BQ65" s="118"/>
      <c r="BR65" s="118"/>
      <c r="BS65" s="118"/>
      <c r="BT65" s="118"/>
      <c r="BU65" s="118"/>
      <c r="BV65" s="118"/>
      <c r="BW65" s="118"/>
      <c r="BX65" s="118"/>
      <c r="BY65" s="118"/>
      <c r="BZ65" s="118"/>
      <c r="CA65" s="118"/>
      <c r="CB65" s="118"/>
      <c r="CC65" s="118"/>
      <c r="CD65" s="118"/>
      <c r="CE65" s="119"/>
      <c r="CQ65" s="117"/>
      <c r="CR65" s="118"/>
      <c r="CS65" s="118"/>
      <c r="CT65" s="118"/>
      <c r="CU65" s="118"/>
      <c r="CV65" s="118"/>
      <c r="CW65" s="119"/>
      <c r="CY65" s="99" t="s">
        <v>299</v>
      </c>
      <c r="CZ65" s="260">
        <f t="shared" si="124"/>
        <v>7.911172796668979E-2</v>
      </c>
      <c r="DA65" s="99">
        <f>DA66-DA56-DA57-DA58-DA59-DA60-DA61-DA62-DA63-DA64</f>
        <v>22.799999999999997</v>
      </c>
      <c r="DJ65" s="128" t="s">
        <v>288</v>
      </c>
      <c r="DK65" s="139">
        <f t="shared" si="175"/>
        <v>0.14928657703458939</v>
      </c>
      <c r="DL65" s="160">
        <f>DL22</f>
        <v>57.273196042999999</v>
      </c>
      <c r="DM65" s="121"/>
      <c r="DN65" s="121"/>
      <c r="DO65" s="122"/>
    </row>
    <row r="66" spans="1:119">
      <c r="A66" s="243" t="s">
        <v>73</v>
      </c>
      <c r="B66" s="244"/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5"/>
      <c r="N66" s="257">
        <f t="shared" ref="N66:AW66" si="192">N65/N9</f>
        <v>6.6443346453395863E-2</v>
      </c>
      <c r="O66" s="258">
        <f t="shared" si="192"/>
        <v>5.7603015075376879E-2</v>
      </c>
      <c r="P66" s="258">
        <f t="shared" si="192"/>
        <v>5.3961452554744521E-2</v>
      </c>
      <c r="Q66" s="258">
        <f t="shared" si="192"/>
        <v>5.5210526315789474E-2</v>
      </c>
      <c r="R66" s="258">
        <f t="shared" si="192"/>
        <v>5.3130952380952383E-2</v>
      </c>
      <c r="S66" s="258">
        <f t="shared" si="192"/>
        <v>7.9401015228426394E-2</v>
      </c>
      <c r="T66" s="258">
        <f t="shared" si="192"/>
        <v>3.3204225352112676E-2</v>
      </c>
      <c r="U66" s="258">
        <f t="shared" si="192"/>
        <v>4.2772893772893769E-2</v>
      </c>
      <c r="V66" s="258">
        <f t="shared" si="192"/>
        <v>4.3326876513317188E-2</v>
      </c>
      <c r="W66" s="258">
        <f t="shared" si="192"/>
        <v>5.2566502463054186E-2</v>
      </c>
      <c r="X66" s="258">
        <f t="shared" si="192"/>
        <v>5.1191120906801009E-2</v>
      </c>
      <c r="Y66" s="259">
        <f t="shared" si="192"/>
        <v>6.2017868263472949E-2</v>
      </c>
      <c r="Z66" s="257">
        <f t="shared" si="192"/>
        <v>7.5411111111111109E-2</v>
      </c>
      <c r="AA66" s="258">
        <f t="shared" si="192"/>
        <v>6.4761574074074069E-2</v>
      </c>
      <c r="AB66" s="258">
        <f t="shared" si="192"/>
        <v>6.1180747807017544E-2</v>
      </c>
      <c r="AC66" s="258">
        <f t="shared" si="192"/>
        <v>6.8047293577981657E-2</v>
      </c>
      <c r="AD66" s="258">
        <f t="shared" si="192"/>
        <v>5.6395136778115494E-2</v>
      </c>
      <c r="AE66" s="258">
        <f t="shared" si="192"/>
        <v>0.14871945086705202</v>
      </c>
      <c r="AF66" s="258">
        <f t="shared" si="192"/>
        <v>8.0573680555555569E-2</v>
      </c>
      <c r="AG66" s="258">
        <f t="shared" si="192"/>
        <v>6.1410646134569369E-2</v>
      </c>
      <c r="AH66" s="258">
        <f t="shared" si="192"/>
        <v>6.918411428571429E-2</v>
      </c>
      <c r="AI66" s="258">
        <f t="shared" si="192"/>
        <v>6.2450330296127558E-2</v>
      </c>
      <c r="AJ66" s="258">
        <f t="shared" si="192"/>
        <v>6.5706521739130441E-2</v>
      </c>
      <c r="AK66" s="259">
        <f t="shared" si="192"/>
        <v>6.7069316875379884E-2</v>
      </c>
      <c r="AL66" s="258">
        <f t="shared" si="192"/>
        <v>9.2120155966840575E-2</v>
      </c>
      <c r="AM66" s="258">
        <f t="shared" si="192"/>
        <v>7.3922313143130775E-2</v>
      </c>
      <c r="AN66" s="258">
        <f t="shared" si="192"/>
        <v>8.4279760301889411E-2</v>
      </c>
      <c r="AO66" s="258">
        <f t="shared" si="192"/>
        <v>8.9246489734757017E-2</v>
      </c>
      <c r="AP66" s="258">
        <f t="shared" si="192"/>
        <v>8.4851846227803784E-2</v>
      </c>
      <c r="AQ66" s="258">
        <f t="shared" si="192"/>
        <v>0.1801807480786245</v>
      </c>
      <c r="AR66" s="258">
        <f t="shared" si="192"/>
        <v>9.165608534189737E-2</v>
      </c>
      <c r="AS66" s="258">
        <f t="shared" si="192"/>
        <v>7.8688123696634929E-2</v>
      </c>
      <c r="AT66" s="258">
        <f t="shared" si="192"/>
        <v>7.3874189633252305E-2</v>
      </c>
      <c r="AU66" s="258">
        <f t="shared" si="192"/>
        <v>6.5166432104622182E-2</v>
      </c>
      <c r="AV66" s="258">
        <f>AV65/AV9</f>
        <v>9.4373076544796514E-2</v>
      </c>
      <c r="AW66" s="259">
        <f t="shared" si="192"/>
        <v>8.4124888885221169E-2</v>
      </c>
      <c r="AX66" s="258">
        <f t="shared" ref="AX66:AZ66" si="193">AX65/AX9</f>
        <v>0.10929191812895019</v>
      </c>
      <c r="AY66" s="258">
        <f t="shared" si="193"/>
        <v>9.99713248113826E-2</v>
      </c>
      <c r="AZ66" s="258">
        <f t="shared" si="193"/>
        <v>9.7605473767183232E-2</v>
      </c>
      <c r="BA66" s="258">
        <f t="shared" ref="BA66:BE66" si="194">BA65/BA9</f>
        <v>0.10486477014361745</v>
      </c>
      <c r="BB66" s="258">
        <f t="shared" si="194"/>
        <v>0.12112816226532523</v>
      </c>
      <c r="BC66" s="258">
        <f t="shared" si="194"/>
        <v>0.19498506021581136</v>
      </c>
      <c r="BD66" s="258">
        <f t="shared" si="194"/>
        <v>0</v>
      </c>
      <c r="BE66" s="258">
        <f t="shared" si="194"/>
        <v>0</v>
      </c>
      <c r="BF66" s="258">
        <f t="shared" ref="BF66:BG66" si="195">BF65/BF9</f>
        <v>0</v>
      </c>
      <c r="BG66" s="258">
        <f t="shared" si="195"/>
        <v>0</v>
      </c>
      <c r="BH66" s="258">
        <f t="shared" ref="BH66:BL66" si="196">BH65/BH9</f>
        <v>0</v>
      </c>
      <c r="BI66" s="259">
        <f t="shared" si="196"/>
        <v>0</v>
      </c>
      <c r="BJ66" s="258" t="e">
        <f t="shared" si="196"/>
        <v>#DIV/0!</v>
      </c>
      <c r="BK66" s="258" t="e">
        <f t="shared" si="196"/>
        <v>#DIV/0!</v>
      </c>
      <c r="BL66" s="258" t="e">
        <f t="shared" si="196"/>
        <v>#DIV/0!</v>
      </c>
      <c r="BN66" s="260"/>
      <c r="BO66" s="117"/>
      <c r="BP66" s="118"/>
      <c r="BQ66" s="118"/>
      <c r="BR66" s="118"/>
      <c r="BS66" s="118"/>
      <c r="BT66" s="118"/>
      <c r="BU66" s="118"/>
      <c r="BV66" s="118"/>
      <c r="BW66" s="118"/>
      <c r="BX66" s="118"/>
      <c r="BY66" s="118"/>
      <c r="BZ66" s="118"/>
      <c r="CA66" s="118"/>
      <c r="CB66" s="118"/>
      <c r="CC66" s="118"/>
      <c r="CD66" s="118"/>
      <c r="CE66" s="119"/>
      <c r="CQ66" s="117"/>
      <c r="CR66" s="118"/>
      <c r="CS66" s="118"/>
      <c r="CT66" s="118"/>
      <c r="CU66" s="118"/>
      <c r="CV66" s="118"/>
      <c r="CW66" s="119"/>
      <c r="CY66" s="129"/>
      <c r="CZ66" s="129"/>
      <c r="DA66" s="129">
        <v>288.2</v>
      </c>
      <c r="DJ66" s="128" t="s">
        <v>299</v>
      </c>
      <c r="DK66" s="139">
        <f t="shared" si="175"/>
        <v>0.10241951494052638</v>
      </c>
      <c r="DL66" s="160">
        <f>DL17+DL27+DL29+DL30+DL40+DL52</f>
        <v>39.292835794999966</v>
      </c>
      <c r="DM66" s="121"/>
      <c r="DN66" s="121"/>
      <c r="DO66" s="122"/>
    </row>
    <row r="67" spans="1:119">
      <c r="A67" s="241"/>
      <c r="B67" s="209"/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10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10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10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50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10"/>
      <c r="BJ67" s="209"/>
      <c r="BK67" s="209"/>
      <c r="BL67" s="209"/>
      <c r="BN67" s="126"/>
      <c r="BO67" s="117"/>
      <c r="BP67" s="118"/>
      <c r="BQ67" s="118"/>
      <c r="BR67" s="118"/>
      <c r="BS67" s="118"/>
      <c r="BT67" s="118"/>
      <c r="BU67" s="118"/>
      <c r="BV67" s="118"/>
      <c r="BW67" s="118"/>
      <c r="BX67" s="118"/>
      <c r="BY67" s="118"/>
      <c r="BZ67" s="118"/>
      <c r="CA67" s="118"/>
      <c r="CB67" s="118"/>
      <c r="CC67" s="118"/>
      <c r="CD67" s="118"/>
      <c r="CE67" s="119"/>
      <c r="CQ67" s="117"/>
      <c r="CR67" s="118"/>
      <c r="CS67" s="118"/>
      <c r="CT67" s="118"/>
      <c r="CU67" s="118"/>
      <c r="CV67" s="118"/>
      <c r="CW67" s="119"/>
      <c r="DJ67" s="132"/>
      <c r="DK67" s="156"/>
      <c r="DL67" s="194">
        <f>SUM(DL59:DL66)</f>
        <v>383.64598599999994</v>
      </c>
      <c r="DM67" s="121"/>
      <c r="DN67" s="121"/>
      <c r="DO67" s="122"/>
    </row>
    <row r="68" spans="1:119" ht="16" thickBot="1">
      <c r="A68" s="242" t="s">
        <v>139</v>
      </c>
      <c r="B68" s="246"/>
      <c r="C68" s="246"/>
      <c r="D68" s="246"/>
      <c r="E68" s="246"/>
      <c r="F68" s="246"/>
      <c r="G68" s="246"/>
      <c r="H68" s="246"/>
      <c r="I68" s="246"/>
      <c r="J68" s="246"/>
      <c r="K68" s="246"/>
      <c r="L68" s="246"/>
      <c r="M68" s="250"/>
      <c r="N68" s="246"/>
      <c r="O68" s="246"/>
      <c r="P68" s="246"/>
      <c r="Q68" s="246"/>
      <c r="R68" s="246"/>
      <c r="S68" s="246"/>
      <c r="T68" s="246"/>
      <c r="U68" s="246"/>
      <c r="V68" s="246"/>
      <c r="W68" s="246"/>
      <c r="X68" s="246"/>
      <c r="Y68" s="250"/>
      <c r="Z68" s="246"/>
      <c r="AA68" s="246"/>
      <c r="AB68" s="246"/>
      <c r="AC68" s="246"/>
      <c r="AD68" s="246"/>
      <c r="AE68" s="246"/>
      <c r="AF68" s="246"/>
      <c r="AG68" s="246">
        <f t="shared" ref="AG68:AP68" si="197">AG70-AG69</f>
        <v>68.123406336299993</v>
      </c>
      <c r="AH68" s="246">
        <f t="shared" si="197"/>
        <v>98.244999999999976</v>
      </c>
      <c r="AI68" s="246">
        <f t="shared" si="197"/>
        <v>15.189399999999985</v>
      </c>
      <c r="AJ68" s="246">
        <f t="shared" si="197"/>
        <v>100.55600000000001</v>
      </c>
      <c r="AK68" s="250">
        <f t="shared" si="197"/>
        <v>38.055852619500001</v>
      </c>
      <c r="AL68" s="246">
        <f t="shared" si="197"/>
        <v>73.006257319199975</v>
      </c>
      <c r="AM68" s="246">
        <f t="shared" si="197"/>
        <v>128.49053916699998</v>
      </c>
      <c r="AN68" s="246">
        <f>AN70-AN69</f>
        <v>29.101012741654692</v>
      </c>
      <c r="AO68" s="246">
        <f t="shared" si="197"/>
        <v>105.48869050130001</v>
      </c>
      <c r="AP68" s="246">
        <f t="shared" si="197"/>
        <v>28.492537576450012</v>
      </c>
      <c r="AQ68" s="246">
        <f>AQ70-AQ69</f>
        <v>13.352186933980009</v>
      </c>
      <c r="AR68" s="246">
        <f>AR70-AR69</f>
        <v>33.609789280000008</v>
      </c>
      <c r="AS68" s="246">
        <f>AS70-AS69</f>
        <v>35.639699280900018</v>
      </c>
      <c r="AT68" s="246">
        <f>AT70-AT69</f>
        <v>68.690235999999999</v>
      </c>
      <c r="AU68" s="246">
        <f>AU70-AU69</f>
        <v>106.63135689200001</v>
      </c>
      <c r="AV68" s="246">
        <f t="shared" ref="AV68:AW68" si="198">AV70-AV69</f>
        <v>95.775097137400024</v>
      </c>
      <c r="AW68" s="250">
        <f t="shared" si="198"/>
        <v>68.380461140000008</v>
      </c>
      <c r="AX68" s="246">
        <f t="shared" ref="AX68:AY68" si="199">AX70-AX69</f>
        <v>15.112407749319992</v>
      </c>
      <c r="AY68" s="246">
        <f t="shared" si="199"/>
        <v>105.81311883620003</v>
      </c>
      <c r="AZ68" s="246">
        <f>AZ70-AZ69</f>
        <v>95.229055207199977</v>
      </c>
      <c r="BA68" s="246">
        <f>BA70-BA69</f>
        <v>82.551266256000005</v>
      </c>
      <c r="BB68" s="246">
        <f>BB70-BB69</f>
        <v>35</v>
      </c>
      <c r="BC68" s="246">
        <f>BC70-BC69</f>
        <v>35.20427694</v>
      </c>
      <c r="BD68" s="246">
        <f t="shared" ref="BD68:BE68" si="200">BD70-BD69</f>
        <v>43</v>
      </c>
      <c r="BE68" s="246">
        <f t="shared" si="200"/>
        <v>41</v>
      </c>
      <c r="BF68" s="246">
        <f t="shared" ref="BF68:BG68" si="201">BF70-BF69</f>
        <v>-8</v>
      </c>
      <c r="BG68" s="246">
        <f t="shared" si="201"/>
        <v>88</v>
      </c>
      <c r="BH68" s="246">
        <f t="shared" ref="BH68:BL68" si="202">BH70-BH69</f>
        <v>81.089154857937075</v>
      </c>
      <c r="BI68" s="250">
        <f t="shared" si="202"/>
        <v>72.439055262248417</v>
      </c>
      <c r="BJ68" s="246">
        <f t="shared" si="202"/>
        <v>0</v>
      </c>
      <c r="BK68" s="246">
        <f t="shared" si="202"/>
        <v>0</v>
      </c>
      <c r="BL68" s="246">
        <f t="shared" si="202"/>
        <v>0</v>
      </c>
      <c r="BN68" s="126"/>
      <c r="BO68" s="117"/>
      <c r="BP68" s="118"/>
      <c r="BQ68" s="118"/>
      <c r="BR68" s="118"/>
      <c r="BS68" s="118"/>
      <c r="BT68" s="118"/>
      <c r="BU68" s="118"/>
      <c r="BV68" s="118"/>
      <c r="BW68" s="118"/>
      <c r="BX68" s="118"/>
      <c r="BY68" s="118"/>
      <c r="BZ68" s="118"/>
      <c r="CA68" s="118"/>
      <c r="CB68" s="118"/>
      <c r="CC68" s="118"/>
      <c r="CD68" s="118"/>
      <c r="CE68" s="119"/>
      <c r="CQ68" s="117"/>
      <c r="CR68" s="118"/>
      <c r="CS68" s="118"/>
      <c r="CT68" s="118"/>
      <c r="CU68" s="118"/>
      <c r="CV68" s="118"/>
      <c r="CW68" s="119"/>
      <c r="DJ68" s="186"/>
      <c r="DK68" s="189"/>
      <c r="DL68" s="189"/>
      <c r="DM68" s="189"/>
      <c r="DN68" s="189"/>
      <c r="DO68" s="190"/>
    </row>
    <row r="69" spans="1:119">
      <c r="A69" s="76" t="s">
        <v>74</v>
      </c>
      <c r="B69" s="209"/>
      <c r="C69" s="209"/>
      <c r="D69" s="209"/>
      <c r="E69" s="209"/>
      <c r="F69" s="209"/>
      <c r="G69" s="209"/>
      <c r="H69" s="209"/>
      <c r="I69" s="209"/>
      <c r="J69" s="209"/>
      <c r="K69" s="209"/>
      <c r="L69" s="209"/>
      <c r="M69" s="210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10"/>
      <c r="Z69" s="209"/>
      <c r="AA69" s="209"/>
      <c r="AB69" s="209"/>
      <c r="AC69" s="209"/>
      <c r="AD69" s="209"/>
      <c r="AE69" s="209"/>
      <c r="AF69" s="209"/>
      <c r="AG69" s="209"/>
      <c r="AH69" s="209"/>
      <c r="AI69" s="209"/>
      <c r="AJ69" s="209"/>
      <c r="AK69" s="210"/>
      <c r="AL69" s="209"/>
      <c r="AM69" s="209">
        <f>31.788-30.109</f>
        <v>1.6789999999999985</v>
      </c>
      <c r="AN69" s="209">
        <f>AN65*(AM69+AO69)/(AM65+AO65)</f>
        <v>1.5253700429453192</v>
      </c>
      <c r="AO69" s="209">
        <f>29.746-28.10286</f>
        <v>1.6431399999999989</v>
      </c>
      <c r="AP69" s="209">
        <f>26.955-25.914</f>
        <v>1.0409999999999968</v>
      </c>
      <c r="AQ69" s="209">
        <f>26.955-25.914</f>
        <v>1.0409999999999968</v>
      </c>
      <c r="AR69" s="209">
        <f>AR65-13.5938</f>
        <v>0.97290000000000099</v>
      </c>
      <c r="AS69" s="209">
        <f>AS65-14.7318099</f>
        <v>0.44367309999999982</v>
      </c>
      <c r="AT69" s="209">
        <f>AT65-23.891603</f>
        <v>1.3097640000000013</v>
      </c>
      <c r="AU69" s="209">
        <f>35.101285-33.093744</f>
        <v>2.0075409999999962</v>
      </c>
      <c r="AV69" s="209">
        <f>32.799493-31.74589</f>
        <v>1.053602999999999</v>
      </c>
      <c r="AW69" s="210">
        <f>AW65-26.161088</f>
        <v>0.85315100000000044</v>
      </c>
      <c r="AX69" s="209">
        <f>AX65-36.157073</f>
        <v>1.8019800000000004</v>
      </c>
      <c r="AY69" s="209">
        <f>AY65-32.173834</f>
        <v>1.8883599999999987</v>
      </c>
      <c r="AZ69" s="209"/>
      <c r="BA69" s="209"/>
      <c r="BB69" s="209"/>
      <c r="BC69" s="209"/>
      <c r="BD69" s="209"/>
      <c r="BE69" s="209"/>
      <c r="BF69" s="209"/>
      <c r="BG69" s="209"/>
      <c r="BH69" s="209"/>
      <c r="BI69" s="210"/>
      <c r="BJ69" s="209"/>
      <c r="BK69" s="209"/>
      <c r="BL69" s="209"/>
      <c r="BN69" s="126"/>
      <c r="BO69" s="117"/>
      <c r="BP69" s="118"/>
      <c r="BQ69" s="118"/>
      <c r="BR69" s="118"/>
      <c r="BS69" s="118"/>
      <c r="BT69" s="118"/>
      <c r="BU69" s="118"/>
      <c r="BV69" s="118"/>
      <c r="BW69" s="118"/>
      <c r="BX69" s="118"/>
      <c r="BY69" s="118"/>
      <c r="BZ69" s="118"/>
      <c r="CA69" s="118"/>
      <c r="CB69" s="118"/>
      <c r="CC69" s="118"/>
      <c r="CD69" s="118"/>
      <c r="CE69" s="119"/>
      <c r="CQ69" s="117"/>
      <c r="CR69" s="118"/>
      <c r="CS69" s="118"/>
      <c r="CT69" s="118"/>
      <c r="CU69" s="118"/>
      <c r="CV69" s="118"/>
      <c r="CW69" s="119"/>
    </row>
    <row r="70" spans="1:119">
      <c r="A70" s="247" t="s">
        <v>143</v>
      </c>
      <c r="B70" s="248"/>
      <c r="C70" s="248"/>
      <c r="D70" s="248"/>
      <c r="E70" s="248"/>
      <c r="F70" s="248"/>
      <c r="G70" s="248"/>
      <c r="H70" s="248"/>
      <c r="I70" s="248"/>
      <c r="J70" s="248"/>
      <c r="K70" s="248"/>
      <c r="L70" s="248"/>
      <c r="M70" s="249">
        <f>M71*SUM(B9:M9)</f>
        <v>878.56017142339783</v>
      </c>
      <c r="N70" s="248">
        <f t="shared" ref="N70:X70" si="203">N9*N71</f>
        <v>101.59402799999999</v>
      </c>
      <c r="O70" s="248">
        <f t="shared" si="203"/>
        <v>156.21499999999997</v>
      </c>
      <c r="P70" s="248">
        <f t="shared" si="203"/>
        <v>109.24380000000002</v>
      </c>
      <c r="Q70" s="248">
        <f t="shared" si="203"/>
        <v>73.48439999999998</v>
      </c>
      <c r="R70" s="248">
        <f t="shared" si="203"/>
        <v>57.749999999999979</v>
      </c>
      <c r="S70" s="248">
        <f t="shared" si="203"/>
        <v>42.630800000000008</v>
      </c>
      <c r="T70" s="248">
        <f t="shared" si="203"/>
        <v>29.067399999999999</v>
      </c>
      <c r="U70" s="248">
        <f>U9*U71</f>
        <v>4.1495999999999977</v>
      </c>
      <c r="V70" s="248">
        <f t="shared" si="203"/>
        <v>110.93179999999998</v>
      </c>
      <c r="W70" s="248">
        <f t="shared" si="203"/>
        <v>119.85120000000001</v>
      </c>
      <c r="X70" s="248">
        <f t="shared" si="203"/>
        <v>130.33510000000001</v>
      </c>
      <c r="Y70" s="249">
        <v>43.212476000000152</v>
      </c>
      <c r="Z70" s="248">
        <f t="shared" ref="Z70:AS70" si="204">Z9*Z71</f>
        <v>71.550000000000011</v>
      </c>
      <c r="AA70" s="248">
        <f t="shared" si="204"/>
        <v>69.595200000000006</v>
      </c>
      <c r="AB70" s="248">
        <f t="shared" si="204"/>
        <v>90.470400000000012</v>
      </c>
      <c r="AC70" s="248">
        <f t="shared" si="204"/>
        <v>82.752799999999979</v>
      </c>
      <c r="AD70" s="248">
        <f t="shared" si="204"/>
        <v>48.757799999999996</v>
      </c>
      <c r="AE70" s="248">
        <f t="shared" si="204"/>
        <v>62.467939660728554</v>
      </c>
      <c r="AF70" s="248">
        <f t="shared" si="204"/>
        <v>64.519199999999998</v>
      </c>
      <c r="AG70" s="248">
        <f t="shared" si="204"/>
        <v>68.123406336299993</v>
      </c>
      <c r="AH70" s="248">
        <f t="shared" si="204"/>
        <v>98.244999999999976</v>
      </c>
      <c r="AI70" s="248">
        <f t="shared" si="204"/>
        <v>15.189399999999985</v>
      </c>
      <c r="AJ70" s="248">
        <f t="shared" si="204"/>
        <v>100.55600000000001</v>
      </c>
      <c r="AK70" s="249">
        <f t="shared" si="204"/>
        <v>38.055852619500001</v>
      </c>
      <c r="AL70" s="248">
        <f t="shared" si="204"/>
        <v>73.006257319199975</v>
      </c>
      <c r="AM70" s="248">
        <f t="shared" si="204"/>
        <v>130.16953916699998</v>
      </c>
      <c r="AN70" s="248">
        <f t="shared" si="204"/>
        <v>30.626382784600011</v>
      </c>
      <c r="AO70" s="248">
        <f t="shared" si="204"/>
        <v>107.13183050130002</v>
      </c>
      <c r="AP70" s="248">
        <f t="shared" si="204"/>
        <v>29.533537576450009</v>
      </c>
      <c r="AQ70" s="248">
        <f t="shared" si="204"/>
        <v>14.393186933980006</v>
      </c>
      <c r="AR70" s="248">
        <f>AR9*AR71</f>
        <v>34.582689280000011</v>
      </c>
      <c r="AS70" s="248">
        <f t="shared" si="204"/>
        <v>36.083372380900016</v>
      </c>
      <c r="AT70" s="248">
        <v>70</v>
      </c>
      <c r="AU70" s="248">
        <f>AU9*0.2702</f>
        <v>108.638897892</v>
      </c>
      <c r="AV70" s="248">
        <f>AV9*0.2786</f>
        <v>96.82870013740002</v>
      </c>
      <c r="AW70" s="249">
        <f>AW9*(1-0.7844)</f>
        <v>69.233612140000005</v>
      </c>
      <c r="AX70" s="248">
        <f>AX9*(1-0.9513)</f>
        <v>16.914387749319992</v>
      </c>
      <c r="AY70" s="248">
        <f>AY9*(1-0.6839)</f>
        <v>107.70147883620002</v>
      </c>
      <c r="AZ70" s="248">
        <f t="shared" ref="AZ70:BA70" si="205">AZ120</f>
        <v>95.229055207199977</v>
      </c>
      <c r="BA70" s="248">
        <f t="shared" si="205"/>
        <v>82.551266256000005</v>
      </c>
      <c r="BB70" s="248">
        <f t="shared" ref="BB70" si="206">BB120</f>
        <v>35</v>
      </c>
      <c r="BC70" s="248">
        <f>BC120</f>
        <v>35.20427694</v>
      </c>
      <c r="BD70" s="248">
        <f t="shared" ref="BD70:BE70" si="207">BD120</f>
        <v>43</v>
      </c>
      <c r="BE70" s="248">
        <f t="shared" si="207"/>
        <v>41</v>
      </c>
      <c r="BF70" s="248">
        <f t="shared" ref="BF70:BG70" si="208">BF120</f>
        <v>-8</v>
      </c>
      <c r="BG70" s="248">
        <f t="shared" si="208"/>
        <v>88</v>
      </c>
      <c r="BH70" s="248">
        <f t="shared" ref="BH70:BL70" si="209">BH120</f>
        <v>81.089154857937075</v>
      </c>
      <c r="BI70" s="249">
        <f t="shared" si="209"/>
        <v>72.439055262248417</v>
      </c>
      <c r="BJ70" s="248">
        <f t="shared" si="209"/>
        <v>0</v>
      </c>
      <c r="BK70" s="248">
        <f t="shared" si="209"/>
        <v>0</v>
      </c>
      <c r="BL70" s="248">
        <f t="shared" si="209"/>
        <v>0</v>
      </c>
      <c r="BN70" s="126"/>
      <c r="BO70" s="117"/>
      <c r="BP70" s="118"/>
      <c r="BQ70" s="118"/>
      <c r="BR70" s="118"/>
      <c r="BS70" s="118"/>
      <c r="BT70" s="118"/>
      <c r="BU70" s="118"/>
      <c r="BV70" s="118"/>
      <c r="BW70" s="118"/>
      <c r="BX70" s="118"/>
      <c r="BY70" s="118"/>
      <c r="BZ70" s="118"/>
      <c r="CA70" s="118"/>
      <c r="CB70" s="118"/>
      <c r="CC70" s="118"/>
      <c r="CD70" s="118"/>
      <c r="CE70" s="119"/>
      <c r="CQ70" s="117"/>
      <c r="CR70" s="118"/>
      <c r="CS70" s="118"/>
      <c r="CT70" s="118"/>
      <c r="CU70" s="118"/>
      <c r="CV70" s="118"/>
      <c r="CW70" s="119"/>
    </row>
    <row r="71" spans="1:119">
      <c r="A71" s="251" t="s">
        <v>144</v>
      </c>
      <c r="B71" s="252"/>
      <c r="C71" s="252"/>
      <c r="D71" s="252"/>
      <c r="E71" s="252"/>
      <c r="F71" s="252"/>
      <c r="G71" s="252"/>
      <c r="H71" s="252"/>
      <c r="I71" s="252"/>
      <c r="J71" s="252"/>
      <c r="K71" s="252"/>
      <c r="L71" s="252"/>
      <c r="M71" s="256">
        <f>1-0.7809</f>
        <v>0.21909999999999996</v>
      </c>
      <c r="N71" s="253">
        <f>1-0.7164</f>
        <v>0.28359999999999996</v>
      </c>
      <c r="O71" s="254">
        <f>1-0.6075</f>
        <v>0.39249999999999996</v>
      </c>
      <c r="P71" s="254">
        <f>1-0.7342</f>
        <v>0.26580000000000004</v>
      </c>
      <c r="Q71" s="254">
        <f>1-0.8242</f>
        <v>0.17579999999999996</v>
      </c>
      <c r="R71" s="254">
        <f>1-0.8625</f>
        <v>0.13749999999999996</v>
      </c>
      <c r="S71" s="254">
        <f>1-0.7836</f>
        <v>0.21640000000000004</v>
      </c>
      <c r="T71" s="255">
        <f>1-0.7953</f>
        <v>0.20469999999999999</v>
      </c>
      <c r="U71" s="255">
        <f>1-0.9848</f>
        <v>1.5199999999999991E-2</v>
      </c>
      <c r="V71" s="255">
        <f>1-0.7314</f>
        <v>0.26859999999999995</v>
      </c>
      <c r="W71" s="255">
        <f>1-0.7048</f>
        <v>0.29520000000000002</v>
      </c>
      <c r="X71" s="255">
        <f>1-0.6717</f>
        <v>0.32830000000000004</v>
      </c>
      <c r="Y71" s="256">
        <f>Y70/Y9</f>
        <v>0.12937867065868308</v>
      </c>
      <c r="Z71" s="253">
        <f>1-0.841</f>
        <v>0.15900000000000003</v>
      </c>
      <c r="AA71" s="254">
        <f>1-0.8389</f>
        <v>0.16110000000000002</v>
      </c>
      <c r="AB71" s="254">
        <f>1-0.8016</f>
        <v>0.19840000000000002</v>
      </c>
      <c r="AC71" s="254">
        <f>1-0.8102</f>
        <v>0.18979999999999997</v>
      </c>
      <c r="AD71" s="254">
        <f>1-0.8518</f>
        <v>0.1482</v>
      </c>
      <c r="AE71" s="254">
        <v>0.18054317821019814</v>
      </c>
      <c r="AF71" s="255">
        <f>1-0.7013</f>
        <v>0.29869999999999997</v>
      </c>
      <c r="AG71" s="255">
        <f>1-0.6913</f>
        <v>0.30869999999999997</v>
      </c>
      <c r="AH71" s="255">
        <f>1-0.7193</f>
        <v>0.28069999999999995</v>
      </c>
      <c r="AI71" s="255">
        <f>1-0.9654</f>
        <v>3.4599999999999964E-2</v>
      </c>
      <c r="AJ71" s="255">
        <f>1-0.7814</f>
        <v>0.21860000000000002</v>
      </c>
      <c r="AK71" s="256">
        <f>1-0.8923</f>
        <v>0.10770000000000002</v>
      </c>
      <c r="AL71" s="255">
        <f>1-0.8332</f>
        <v>0.16679999999999995</v>
      </c>
      <c r="AM71" s="255">
        <f>1-0.6973</f>
        <v>0.30269999999999997</v>
      </c>
      <c r="AN71" s="255">
        <f>1-0.9126</f>
        <v>8.7400000000000033E-2</v>
      </c>
      <c r="AO71" s="255">
        <f>1-0.7061</f>
        <v>0.29390000000000005</v>
      </c>
      <c r="AP71" s="255">
        <f>1-0.9126</f>
        <v>8.7400000000000033E-2</v>
      </c>
      <c r="AQ71" s="255">
        <f>1-0.9126</f>
        <v>8.7400000000000033E-2</v>
      </c>
      <c r="AR71" s="255">
        <f>1-0.7824</f>
        <v>0.21760000000000002</v>
      </c>
      <c r="AS71" s="255">
        <f>1-0.8129</f>
        <v>0.18710000000000004</v>
      </c>
      <c r="AT71" s="255">
        <f>AT70/AT9</f>
        <v>0.20519495130274723</v>
      </c>
      <c r="AU71" s="255">
        <f>AU70/AU9</f>
        <v>0.2702</v>
      </c>
      <c r="AV71" s="255">
        <f>AV70/AV9</f>
        <v>0.27860000000000001</v>
      </c>
      <c r="AW71" s="256">
        <f t="shared" ref="AW71" si="210">AW70/AW9</f>
        <v>0.21560000000000001</v>
      </c>
      <c r="AX71" s="255">
        <f t="shared" ref="AX71:AZ71" si="211">AX70/AX9</f>
        <v>4.8699999999999972E-2</v>
      </c>
      <c r="AY71" s="255">
        <f t="shared" si="211"/>
        <v>0.31610000000000005</v>
      </c>
      <c r="AZ71" s="255">
        <f t="shared" si="211"/>
        <v>0.25309999999999999</v>
      </c>
      <c r="BA71" s="255">
        <f t="shared" ref="BA71:BC71" si="212">BA70/BA9</f>
        <v>0.22350000000000003</v>
      </c>
      <c r="BB71" s="255">
        <f t="shared" si="212"/>
        <v>0.11673177030960374</v>
      </c>
      <c r="BC71" s="255">
        <f t="shared" si="212"/>
        <v>0.1351</v>
      </c>
      <c r="BD71" s="255">
        <f t="shared" ref="BD71:BE71" si="213">BD70/BD9</f>
        <v>0.2564693997525872</v>
      </c>
      <c r="BE71" s="255">
        <f t="shared" si="213"/>
        <v>0.19624778260348416</v>
      </c>
      <c r="BF71" s="255">
        <f t="shared" ref="BF71:BG71" si="214">BF70/BF9</f>
        <v>-2.0885552490336759E-2</v>
      </c>
      <c r="BG71" s="255">
        <f t="shared" si="214"/>
        <v>0.21784263845399199</v>
      </c>
      <c r="BH71" s="255">
        <f t="shared" ref="BH71:BL71" si="215">BH70/BH9</f>
        <v>0.19580339961693288</v>
      </c>
      <c r="BI71" s="256">
        <f t="shared" si="215"/>
        <v>0.19580339961693291</v>
      </c>
      <c r="BJ71" s="255" t="e">
        <f t="shared" si="215"/>
        <v>#DIV/0!</v>
      </c>
      <c r="BK71" s="255" t="e">
        <f t="shared" si="215"/>
        <v>#DIV/0!</v>
      </c>
      <c r="BL71" s="255" t="e">
        <f t="shared" si="215"/>
        <v>#DIV/0!</v>
      </c>
      <c r="BN71" s="126"/>
      <c r="BO71" s="117"/>
      <c r="BP71" s="118"/>
      <c r="BQ71" s="118"/>
      <c r="BR71" s="118"/>
      <c r="BS71" s="118"/>
      <c r="BT71" s="118"/>
      <c r="BU71" s="118"/>
      <c r="BV71" s="118"/>
      <c r="BW71" s="118"/>
      <c r="BX71" s="118"/>
      <c r="BY71" s="118"/>
      <c r="BZ71" s="118"/>
      <c r="CA71" s="118"/>
      <c r="CB71" s="118"/>
      <c r="CC71" s="118"/>
      <c r="CD71" s="118"/>
      <c r="CE71" s="119"/>
      <c r="CQ71" s="117"/>
      <c r="CR71" s="118"/>
      <c r="CS71" s="118"/>
      <c r="CT71" s="118"/>
      <c r="CU71" s="118"/>
      <c r="CV71" s="118"/>
      <c r="CW71" s="119"/>
    </row>
    <row r="72" spans="1:119">
      <c r="A72" s="251"/>
      <c r="B72" s="252"/>
      <c r="C72" s="252"/>
      <c r="D72" s="252"/>
      <c r="E72" s="252"/>
      <c r="F72" s="252"/>
      <c r="G72" s="252"/>
      <c r="H72" s="252"/>
      <c r="I72" s="252"/>
      <c r="J72" s="252"/>
      <c r="K72" s="252"/>
      <c r="L72" s="252"/>
      <c r="M72" s="296"/>
      <c r="N72" s="173"/>
      <c r="O72" s="254"/>
      <c r="P72" s="254"/>
      <c r="Q72" s="254"/>
      <c r="R72" s="254"/>
      <c r="S72" s="254"/>
      <c r="T72" s="297"/>
      <c r="U72" s="297"/>
      <c r="V72" s="297"/>
      <c r="W72" s="297"/>
      <c r="X72" s="297"/>
      <c r="Y72" s="296"/>
      <c r="Z72" s="173"/>
      <c r="AA72" s="254"/>
      <c r="AB72" s="254"/>
      <c r="AC72" s="254"/>
      <c r="AD72" s="254"/>
      <c r="AE72" s="254"/>
      <c r="AF72" s="297"/>
      <c r="AG72" s="297"/>
      <c r="AH72" s="297"/>
      <c r="AI72" s="297"/>
      <c r="AJ72" s="297"/>
      <c r="AK72" s="296"/>
      <c r="AL72" s="297"/>
      <c r="AM72" s="297"/>
      <c r="AN72" s="297"/>
      <c r="AO72" s="297"/>
      <c r="AP72" s="297"/>
      <c r="AQ72" s="297"/>
      <c r="AR72" s="297"/>
      <c r="AS72" s="297"/>
      <c r="AT72" s="297"/>
      <c r="AU72" s="297"/>
      <c r="AV72" s="297"/>
      <c r="AW72" s="296"/>
      <c r="AX72" s="297"/>
      <c r="AY72" s="297"/>
      <c r="AZ72" s="297"/>
      <c r="BA72" s="297"/>
      <c r="BB72" s="297"/>
      <c r="BC72" s="297"/>
      <c r="BD72" s="297"/>
      <c r="BE72" s="297"/>
      <c r="BF72" s="297"/>
      <c r="BG72" s="297"/>
      <c r="BH72" s="297"/>
      <c r="BI72" s="296"/>
      <c r="BJ72" s="297"/>
      <c r="BK72" s="297"/>
      <c r="BL72" s="297"/>
      <c r="BN72" s="126"/>
      <c r="BO72" s="117"/>
      <c r="BP72" s="118"/>
      <c r="BQ72" s="118"/>
      <c r="BR72" s="118"/>
      <c r="BS72" s="118"/>
      <c r="BT72" s="118"/>
      <c r="BU72" s="118"/>
      <c r="BV72" s="118"/>
      <c r="BW72" s="118"/>
      <c r="BX72" s="118"/>
      <c r="BY72" s="118"/>
      <c r="BZ72" s="118"/>
      <c r="CA72" s="118"/>
      <c r="CB72" s="118"/>
      <c r="CC72" s="118"/>
      <c r="CD72" s="118"/>
      <c r="CE72" s="119"/>
      <c r="CQ72" s="117"/>
      <c r="CR72" s="118"/>
      <c r="CS72" s="118"/>
      <c r="CT72" s="118"/>
      <c r="CU72" s="118"/>
      <c r="CV72" s="118"/>
      <c r="CW72" s="119"/>
    </row>
    <row r="73" spans="1:119">
      <c r="A73" s="298" t="s">
        <v>323</v>
      </c>
      <c r="B73" s="299"/>
      <c r="C73" s="299"/>
      <c r="D73" s="299"/>
      <c r="E73" s="299"/>
      <c r="F73" s="299"/>
      <c r="G73" s="299"/>
      <c r="H73" s="299"/>
      <c r="I73" s="299"/>
      <c r="J73" s="299"/>
      <c r="K73" s="299"/>
      <c r="L73" s="299"/>
      <c r="M73" s="300"/>
      <c r="N73" s="301"/>
      <c r="O73" s="254"/>
      <c r="P73" s="254"/>
      <c r="Q73" s="254"/>
      <c r="R73" s="254"/>
      <c r="S73" s="254"/>
      <c r="T73" s="301"/>
      <c r="U73" s="301"/>
      <c r="V73" s="301"/>
      <c r="W73" s="301"/>
      <c r="X73" s="301"/>
      <c r="Y73" s="300"/>
      <c r="Z73" s="302">
        <v>4.1700000000000001E-2</v>
      </c>
      <c r="AA73" s="303">
        <v>4.1700000000000001E-2</v>
      </c>
      <c r="AB73" s="303">
        <v>4.2099999999999999E-2</v>
      </c>
      <c r="AC73" s="303">
        <v>4.1700000000000001E-2</v>
      </c>
      <c r="AD73" s="303">
        <v>4.1500000000000002E-2</v>
      </c>
      <c r="AE73" s="303">
        <v>3.61E-2</v>
      </c>
      <c r="AF73" s="302">
        <v>3.8399999999999997E-2</v>
      </c>
      <c r="AG73" s="302">
        <v>4.19E-2</v>
      </c>
      <c r="AH73" s="302">
        <v>4.2099999999999999E-2</v>
      </c>
      <c r="AI73" s="302">
        <v>4.2099999999999999E-2</v>
      </c>
      <c r="AJ73" s="302">
        <v>4.19E-2</v>
      </c>
      <c r="AK73" s="304">
        <v>4.1300000000000003E-2</v>
      </c>
      <c r="AL73" s="302">
        <v>4.1200000000000001E-2</v>
      </c>
      <c r="AM73" s="302">
        <v>4.1399999999999999E-2</v>
      </c>
      <c r="AN73" s="302">
        <v>4.1099999999999998E-2</v>
      </c>
      <c r="AO73" s="302">
        <v>4.0500000000000001E-2</v>
      </c>
      <c r="AP73" s="302">
        <v>4.0899999999999999E-2</v>
      </c>
      <c r="AQ73" s="302">
        <v>4.0399999999999998E-2</v>
      </c>
      <c r="AR73" s="302">
        <v>4.1599999999999998E-2</v>
      </c>
      <c r="AS73" s="302">
        <v>4.1799999999999997E-2</v>
      </c>
      <c r="AT73" s="302">
        <v>4.2099999999999999E-2</v>
      </c>
      <c r="AU73" s="302">
        <v>4.2200000000000001E-2</v>
      </c>
      <c r="AV73" s="302">
        <v>4.1599999999999998E-2</v>
      </c>
      <c r="AW73" s="557">
        <v>9.1200000000000003E-2</v>
      </c>
      <c r="AX73" s="302">
        <v>4.0800000000000003E-2</v>
      </c>
      <c r="AY73" s="302">
        <v>4.1000000000000002E-2</v>
      </c>
      <c r="AZ73" s="302">
        <v>4.1000000000000002E-2</v>
      </c>
      <c r="BA73" s="302">
        <v>4.1200000000000001E-2</v>
      </c>
      <c r="BB73" s="302">
        <v>4.0500000000000001E-2</v>
      </c>
      <c r="BC73" s="302">
        <v>3.5400000000000001E-2</v>
      </c>
      <c r="BD73" s="302"/>
      <c r="BE73" s="302"/>
      <c r="BF73" s="302"/>
      <c r="BG73" s="302"/>
      <c r="BH73" s="302"/>
      <c r="BI73" s="304"/>
      <c r="BJ73" s="302"/>
      <c r="BK73" s="302"/>
      <c r="BL73" s="302"/>
      <c r="BO73" s="117"/>
      <c r="BP73" s="118"/>
      <c r="BQ73" s="118"/>
      <c r="BR73" s="118"/>
      <c r="BS73" s="118"/>
      <c r="BT73" s="118"/>
      <c r="BU73" s="118"/>
      <c r="BV73" s="118"/>
      <c r="BW73" s="118"/>
      <c r="BX73" s="118"/>
      <c r="BY73" s="118"/>
      <c r="BZ73" s="118"/>
      <c r="CA73" s="118"/>
      <c r="CB73" s="118"/>
      <c r="CC73" s="118"/>
      <c r="CD73" s="118"/>
      <c r="CE73" s="119"/>
      <c r="CQ73" s="117"/>
      <c r="CR73" s="118"/>
      <c r="CS73" s="118"/>
      <c r="CT73" s="118"/>
      <c r="CU73" s="118"/>
      <c r="CV73" s="118"/>
      <c r="CW73" s="119"/>
    </row>
    <row r="74" spans="1:119">
      <c r="A74" s="247" t="s">
        <v>324</v>
      </c>
      <c r="B74" s="248"/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9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9"/>
      <c r="Z74" s="248">
        <f t="shared" ref="Z74:AU74" si="216">Z70-(Z73*Z9)</f>
        <v>52.785000000000011</v>
      </c>
      <c r="AA74" s="248">
        <f t="shared" si="216"/>
        <v>51.580800000000004</v>
      </c>
      <c r="AB74" s="248">
        <f t="shared" si="216"/>
        <v>71.272800000000018</v>
      </c>
      <c r="AC74" s="248">
        <f t="shared" si="216"/>
        <v>64.571599999999975</v>
      </c>
      <c r="AD74" s="248">
        <f t="shared" si="216"/>
        <v>35.104299999999995</v>
      </c>
      <c r="AE74" s="248">
        <f t="shared" si="216"/>
        <v>49.977339660728553</v>
      </c>
      <c r="AF74" s="248">
        <f t="shared" si="216"/>
        <v>56.224800000000002</v>
      </c>
      <c r="AG74" s="248">
        <f t="shared" si="216"/>
        <v>58.876983513199995</v>
      </c>
      <c r="AH74" s="248">
        <f t="shared" si="216"/>
        <v>83.509999999999977</v>
      </c>
      <c r="AI74" s="248">
        <f t="shared" si="216"/>
        <v>-3.2925000000000146</v>
      </c>
      <c r="AJ74" s="248">
        <f t="shared" si="216"/>
        <v>81.282000000000011</v>
      </c>
      <c r="AK74" s="249">
        <f t="shared" si="216"/>
        <v>23.462475523999998</v>
      </c>
      <c r="AL74" s="248">
        <f t="shared" si="216"/>
        <v>54.973536686399974</v>
      </c>
      <c r="AM74" s="248">
        <f t="shared" si="216"/>
        <v>112.36637127299998</v>
      </c>
      <c r="AN74" s="248">
        <f t="shared" si="216"/>
        <v>16.224273717700015</v>
      </c>
      <c r="AO74" s="248">
        <f t="shared" si="216"/>
        <v>92.36885283780002</v>
      </c>
      <c r="AP74" s="248">
        <f t="shared" si="216"/>
        <v>15.71292331012501</v>
      </c>
      <c r="AQ74" s="248">
        <f t="shared" si="216"/>
        <v>7.7400433169000058</v>
      </c>
      <c r="AR74" s="248">
        <f t="shared" si="216"/>
        <v>27.971292800000008</v>
      </c>
      <c r="AS74" s="248">
        <f t="shared" si="216"/>
        <v>28.021988278700015</v>
      </c>
      <c r="AT74" s="248">
        <f t="shared" si="216"/>
        <v>55.63804820104</v>
      </c>
      <c r="AU74" s="248">
        <f t="shared" si="216"/>
        <v>91.671608880000008</v>
      </c>
      <c r="AV74" s="248">
        <f t="shared" ref="AV74:AW74" si="217">AV70-(AV73*AV9)</f>
        <v>82.370430483000021</v>
      </c>
      <c r="AW74" s="249">
        <f t="shared" si="217"/>
        <v>39.947408860000003</v>
      </c>
      <c r="AX74" s="248">
        <f t="shared" ref="AX74:AZ74" si="218">AX70-(AX73*AX9)</f>
        <v>2.7438123864399895</v>
      </c>
      <c r="AY74" s="248">
        <f t="shared" si="218"/>
        <v>93.731973514200021</v>
      </c>
      <c r="AZ74" s="248">
        <f t="shared" si="218"/>
        <v>79.802776015199981</v>
      </c>
      <c r="BA74" s="248">
        <f t="shared" ref="BA74:BB74" si="219">BA70-(BA73*BA9)</f>
        <v>67.333762140800005</v>
      </c>
      <c r="BB74" s="248">
        <f t="shared" si="219"/>
        <v>22.856776298</v>
      </c>
      <c r="BC74" s="248">
        <f>BC70-(BC73*BC9)</f>
        <v>25.979766179999999</v>
      </c>
      <c r="BD74" s="248">
        <f t="shared" ref="BD74:BE74" si="220">BD70-(BD73*BD9)</f>
        <v>43</v>
      </c>
      <c r="BE74" s="248">
        <f t="shared" si="220"/>
        <v>41</v>
      </c>
      <c r="BF74" s="248">
        <f t="shared" ref="BF74:BG74" si="221">BF70-(BF73*BF9)</f>
        <v>-8</v>
      </c>
      <c r="BG74" s="248">
        <f t="shared" si="221"/>
        <v>88</v>
      </c>
      <c r="BH74" s="248">
        <f t="shared" ref="BH74:BL74" si="222">BH70-(BH73*BH9)</f>
        <v>81.089154857937075</v>
      </c>
      <c r="BI74" s="249">
        <f t="shared" si="222"/>
        <v>72.439055262248417</v>
      </c>
      <c r="BJ74" s="248">
        <f t="shared" si="222"/>
        <v>0</v>
      </c>
      <c r="BK74" s="248">
        <f t="shared" si="222"/>
        <v>0</v>
      </c>
      <c r="BL74" s="248">
        <f t="shared" si="222"/>
        <v>0</v>
      </c>
      <c r="BO74" s="117"/>
      <c r="BP74" s="118"/>
      <c r="BQ74" s="118"/>
      <c r="BR74" s="118"/>
      <c r="BS74" s="118"/>
      <c r="BT74" s="118"/>
      <c r="BU74" s="118"/>
      <c r="BV74" s="118"/>
      <c r="BW74" s="118"/>
      <c r="BX74" s="118"/>
      <c r="BY74" s="118"/>
      <c r="BZ74" s="118"/>
      <c r="CA74" s="118"/>
      <c r="CB74" s="118"/>
      <c r="CC74" s="118"/>
      <c r="CD74" s="118"/>
      <c r="CE74" s="119"/>
      <c r="CQ74" s="117"/>
      <c r="CR74" s="118"/>
      <c r="CS74" s="118"/>
      <c r="CT74" s="118"/>
      <c r="CU74" s="118"/>
      <c r="CV74" s="118"/>
      <c r="CW74" s="119"/>
    </row>
    <row r="75" spans="1:119">
      <c r="A75" s="241"/>
      <c r="B75" s="209"/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115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10"/>
      <c r="Z75" s="308">
        <f t="shared" ref="Z75:AU75" si="223">Z73*Z47</f>
        <v>5.8293807351000009</v>
      </c>
      <c r="AA75" s="308">
        <f t="shared" si="223"/>
        <v>5.5898060618999992</v>
      </c>
      <c r="AB75" s="308">
        <f t="shared" si="223"/>
        <v>5.9238354701000002</v>
      </c>
      <c r="AC75" s="308">
        <f t="shared" si="223"/>
        <v>5.8569079892999998</v>
      </c>
      <c r="AD75" s="308">
        <f t="shared" si="223"/>
        <v>4.1576552145000001</v>
      </c>
      <c r="AE75" s="308">
        <f t="shared" si="223"/>
        <v>3.6151749349999998</v>
      </c>
      <c r="AF75" s="308">
        <f t="shared" si="223"/>
        <v>2.2521922175999998</v>
      </c>
      <c r="AG75" s="308">
        <f t="shared" si="223"/>
        <v>2.8060748020999999</v>
      </c>
      <c r="AH75" s="308">
        <f t="shared" si="223"/>
        <v>4.2318418589000002</v>
      </c>
      <c r="AI75" s="308">
        <f t="shared" si="223"/>
        <v>5.4369946485999998</v>
      </c>
      <c r="AJ75" s="308">
        <f t="shared" si="223"/>
        <v>5.6553110036999996</v>
      </c>
      <c r="AK75" s="308">
        <f t="shared" si="223"/>
        <v>4.4434779445000006</v>
      </c>
      <c r="AL75" s="307">
        <f t="shared" si="223"/>
        <v>5.6792315100000001</v>
      </c>
      <c r="AM75" s="308">
        <f t="shared" si="223"/>
        <v>5.3648479800000004</v>
      </c>
      <c r="AN75" s="308">
        <f t="shared" si="223"/>
        <v>4.3134258884999994</v>
      </c>
      <c r="AO75" s="308">
        <f t="shared" si="223"/>
        <v>4.3347579300000003</v>
      </c>
      <c r="AP75" s="308">
        <f t="shared" si="223"/>
        <v>3.9853264295999997</v>
      </c>
      <c r="AQ75" s="308">
        <f t="shared" si="223"/>
        <v>2.0779511336000001</v>
      </c>
      <c r="AR75" s="308">
        <f t="shared" si="223"/>
        <v>1.7505695999999999</v>
      </c>
      <c r="AS75" s="308">
        <f t="shared" si="223"/>
        <v>2.1683780514</v>
      </c>
      <c r="AT75" s="308">
        <f t="shared" si="223"/>
        <v>3.9414107988999998</v>
      </c>
      <c r="AU75" s="308">
        <f t="shared" si="223"/>
        <v>4.8780143454000005</v>
      </c>
      <c r="AV75" s="308">
        <f t="shared" ref="AV75:AW75" si="224">AV73*AV47</f>
        <v>4.2156676223999998</v>
      </c>
      <c r="AW75" s="545">
        <f t="shared" si="224"/>
        <v>8.4267885263999993</v>
      </c>
      <c r="AX75" s="307">
        <f t="shared" ref="AX75:AZ75" si="225">AX73*AX47</f>
        <v>4.2880446264000005</v>
      </c>
      <c r="AY75" s="308">
        <f t="shared" si="225"/>
        <v>4.1489052920000002</v>
      </c>
      <c r="AZ75" s="308">
        <f t="shared" si="225"/>
        <v>4.3426515710000002</v>
      </c>
      <c r="BA75" s="308">
        <f t="shared" ref="BA75:BB75" si="226">BA73*BA47</f>
        <v>4.3564899364</v>
      </c>
      <c r="BB75" s="308">
        <f t="shared" si="226"/>
        <v>3.8160882000000003</v>
      </c>
      <c r="BC75" s="308">
        <f>BC73*BC47</f>
        <v>3.0182249214000003</v>
      </c>
      <c r="BD75" s="308">
        <f t="shared" ref="BD75:BE75" si="227">BD73*BD47</f>
        <v>0</v>
      </c>
      <c r="BE75" s="308">
        <f t="shared" si="227"/>
        <v>0</v>
      </c>
      <c r="BF75" s="308">
        <f t="shared" ref="BF75:BG75" si="228">BF73*BF47</f>
        <v>0</v>
      </c>
      <c r="BG75" s="308">
        <f t="shared" si="228"/>
        <v>0</v>
      </c>
      <c r="BH75" s="308">
        <f t="shared" ref="BH75:BL75" si="229">BH73*BH47</f>
        <v>0</v>
      </c>
      <c r="BI75" s="545">
        <f t="shared" si="229"/>
        <v>0</v>
      </c>
      <c r="BJ75" s="308">
        <f t="shared" si="229"/>
        <v>0</v>
      </c>
      <c r="BK75" s="308">
        <f t="shared" si="229"/>
        <v>0</v>
      </c>
      <c r="BL75" s="308">
        <f t="shared" si="229"/>
        <v>0</v>
      </c>
      <c r="BO75" s="117"/>
      <c r="BP75" s="118"/>
      <c r="BQ75" s="118"/>
      <c r="BR75" s="118"/>
      <c r="BS75" s="118"/>
      <c r="BT75" s="118"/>
      <c r="BU75" s="118"/>
      <c r="BV75" s="118"/>
      <c r="BW75" s="118"/>
      <c r="BX75" s="118"/>
      <c r="BY75" s="118"/>
      <c r="BZ75" s="118"/>
      <c r="CA75" s="118"/>
      <c r="CB75" s="118"/>
      <c r="CC75" s="118"/>
      <c r="CD75" s="118"/>
      <c r="CE75" s="119"/>
      <c r="CQ75" s="117"/>
      <c r="CR75" s="118"/>
      <c r="CS75" s="118"/>
      <c r="CT75" s="118"/>
      <c r="CU75" s="118"/>
      <c r="CV75" s="118"/>
      <c r="CW75" s="119"/>
    </row>
    <row r="76" spans="1:119">
      <c r="A76" s="80" t="s">
        <v>306</v>
      </c>
      <c r="B76" s="209"/>
      <c r="C76" s="209"/>
      <c r="D76" s="209"/>
      <c r="E76" s="209"/>
      <c r="F76" s="209"/>
      <c r="G76" s="209"/>
      <c r="H76" s="209"/>
      <c r="I76" s="209"/>
      <c r="J76" s="209"/>
      <c r="K76" s="209"/>
      <c r="L76" s="209"/>
      <c r="M76" s="115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10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10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5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09"/>
      <c r="BI76" s="205"/>
      <c r="BJ76" s="209"/>
      <c r="BK76" s="209"/>
      <c r="BL76" s="209"/>
      <c r="BO76" s="117"/>
      <c r="BP76" s="118"/>
      <c r="BQ76" s="118"/>
      <c r="BR76" s="118"/>
      <c r="BS76" s="118"/>
      <c r="BT76" s="118"/>
      <c r="BU76" s="118"/>
      <c r="BV76" s="118"/>
      <c r="BW76" s="118"/>
      <c r="BX76" s="118"/>
      <c r="BY76" s="118"/>
      <c r="BZ76" s="118"/>
      <c r="CA76" s="118"/>
      <c r="CB76" s="118"/>
      <c r="CC76" s="118"/>
      <c r="CD76" s="118"/>
      <c r="CE76" s="119"/>
      <c r="CQ76" s="117"/>
      <c r="CR76" s="118"/>
      <c r="CS76" s="118"/>
      <c r="CT76" s="118"/>
      <c r="CU76" s="118"/>
      <c r="CV76" s="118"/>
      <c r="CW76" s="119"/>
    </row>
    <row r="77" spans="1:119">
      <c r="A77" s="76" t="s">
        <v>219</v>
      </c>
      <c r="B77" s="209"/>
      <c r="C77" s="209"/>
      <c r="D77" s="209"/>
      <c r="E77" s="209"/>
      <c r="F77" s="209"/>
      <c r="G77" s="209"/>
      <c r="H77" s="209"/>
      <c r="I77" s="209"/>
      <c r="J77" s="209">
        <v>2.02</v>
      </c>
      <c r="K77" s="209">
        <v>5.33</v>
      </c>
      <c r="L77" s="209">
        <v>8.44</v>
      </c>
      <c r="M77" s="210">
        <v>11.71</v>
      </c>
      <c r="N77" s="209">
        <v>17.47</v>
      </c>
      <c r="O77" s="209">
        <v>18.72</v>
      </c>
      <c r="P77" s="209">
        <v>25.14</v>
      </c>
      <c r="Q77" s="209">
        <v>26.94</v>
      </c>
      <c r="R77" s="209">
        <v>28.79</v>
      </c>
      <c r="S77" s="209"/>
      <c r="T77" s="209"/>
      <c r="U77" s="209"/>
      <c r="V77" s="209"/>
      <c r="W77" s="209"/>
      <c r="X77" s="209"/>
      <c r="Y77" s="210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10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5"/>
      <c r="AX77" s="173"/>
      <c r="AY77" s="209"/>
      <c r="AZ77" s="209"/>
      <c r="BA77" s="209"/>
      <c r="BB77" s="209"/>
      <c r="BC77" s="209"/>
      <c r="BD77" s="209"/>
      <c r="BE77" s="209"/>
      <c r="BF77" s="209"/>
      <c r="BG77" s="209"/>
      <c r="BH77" s="209"/>
      <c r="BI77" s="205"/>
      <c r="BJ77" s="209"/>
      <c r="BK77" s="209"/>
      <c r="BL77" s="209"/>
      <c r="BO77" s="117"/>
      <c r="BP77" s="118"/>
      <c r="BQ77" s="118"/>
      <c r="BR77" s="118"/>
      <c r="BS77" s="118"/>
      <c r="BT77" s="118"/>
      <c r="BU77" s="118"/>
      <c r="BV77" s="118"/>
      <c r="BW77" s="118"/>
      <c r="BX77" s="118"/>
      <c r="BY77" s="118"/>
      <c r="BZ77" s="118"/>
      <c r="CA77" s="118"/>
      <c r="CB77" s="118"/>
      <c r="CC77" s="118"/>
      <c r="CD77" s="118"/>
      <c r="CE77" s="119"/>
      <c r="CQ77" s="117"/>
      <c r="CR77" s="118"/>
      <c r="CS77" s="118"/>
      <c r="CT77" s="118"/>
      <c r="CU77" s="118"/>
      <c r="CV77" s="118"/>
      <c r="CW77" s="119"/>
    </row>
    <row r="78" spans="1:119">
      <c r="A78" s="76" t="s">
        <v>253</v>
      </c>
      <c r="B78" s="209"/>
      <c r="C78" s="209"/>
      <c r="D78" s="209"/>
      <c r="E78" s="209"/>
      <c r="F78" s="209"/>
      <c r="G78" s="209"/>
      <c r="H78" s="209"/>
      <c r="I78" s="209"/>
      <c r="J78" s="209">
        <v>0.24</v>
      </c>
      <c r="K78" s="209">
        <v>0.79</v>
      </c>
      <c r="L78" s="209">
        <v>1.27</v>
      </c>
      <c r="M78" s="210">
        <v>2.2400000000000002</v>
      </c>
      <c r="N78" s="209">
        <v>3.75</v>
      </c>
      <c r="O78" s="209">
        <v>3.95</v>
      </c>
      <c r="P78" s="209">
        <v>5.78</v>
      </c>
      <c r="Q78" s="209">
        <v>6.43</v>
      </c>
      <c r="R78" s="209">
        <v>7.26</v>
      </c>
      <c r="S78" s="209"/>
      <c r="T78" s="209"/>
      <c r="U78" s="209"/>
      <c r="V78" s="209"/>
      <c r="W78" s="209"/>
      <c r="X78" s="209"/>
      <c r="Y78" s="210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10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10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10"/>
      <c r="BJ78" s="209"/>
      <c r="BK78" s="209"/>
      <c r="BL78" s="209"/>
      <c r="BO78" s="117"/>
      <c r="BP78" s="118"/>
      <c r="BQ78" s="118"/>
      <c r="BR78" s="118"/>
      <c r="BS78" s="118"/>
      <c r="BT78" s="118"/>
      <c r="BU78" s="118"/>
      <c r="BV78" s="118"/>
      <c r="BW78" s="118"/>
      <c r="BX78" s="118"/>
      <c r="BY78" s="118"/>
      <c r="BZ78" s="118"/>
      <c r="CA78" s="118"/>
      <c r="CB78" s="118"/>
      <c r="CC78" s="118"/>
      <c r="CD78" s="118"/>
      <c r="CE78" s="119"/>
      <c r="CQ78" s="117"/>
      <c r="CR78" s="118"/>
      <c r="CS78" s="118"/>
      <c r="CT78" s="118"/>
      <c r="CU78" s="118"/>
      <c r="CV78" s="118"/>
      <c r="CW78" s="119"/>
    </row>
    <row r="79" spans="1:119">
      <c r="A79" s="76" t="s">
        <v>357</v>
      </c>
      <c r="B79" s="209"/>
      <c r="C79" s="209"/>
      <c r="D79" s="209"/>
      <c r="E79" s="209"/>
      <c r="F79" s="209"/>
      <c r="G79" s="209"/>
      <c r="H79" s="209"/>
      <c r="I79" s="209"/>
      <c r="J79" s="209">
        <f>J77/J78</f>
        <v>8.4166666666666679</v>
      </c>
      <c r="K79" s="209">
        <f t="shared" ref="K79:R79" si="230">K77/K78</f>
        <v>6.7468354430379742</v>
      </c>
      <c r="L79" s="209">
        <f t="shared" si="230"/>
        <v>6.6456692913385824</v>
      </c>
      <c r="M79" s="210">
        <f t="shared" si="230"/>
        <v>5.2276785714285712</v>
      </c>
      <c r="N79" s="209">
        <f t="shared" si="230"/>
        <v>4.6586666666666661</v>
      </c>
      <c r="O79" s="209">
        <f t="shared" si="230"/>
        <v>4.7392405063291134</v>
      </c>
      <c r="P79" s="209">
        <f t="shared" si="230"/>
        <v>4.3494809688581313</v>
      </c>
      <c r="Q79" s="209">
        <f t="shared" si="230"/>
        <v>4.1897356143079323</v>
      </c>
      <c r="R79" s="209">
        <f t="shared" si="230"/>
        <v>3.9655647382920112</v>
      </c>
      <c r="S79" s="209"/>
      <c r="T79" s="209"/>
      <c r="U79" s="209"/>
      <c r="V79" s="209"/>
      <c r="W79" s="209"/>
      <c r="X79" s="209"/>
      <c r="Y79" s="210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10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10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10"/>
      <c r="BJ79" s="209"/>
      <c r="BK79" s="209"/>
      <c r="BL79" s="209"/>
      <c r="BO79" s="117"/>
      <c r="BP79" s="118"/>
      <c r="BQ79" s="118"/>
      <c r="BR79" s="118"/>
      <c r="BS79" s="118"/>
      <c r="BT79" s="118"/>
      <c r="BU79" s="118"/>
      <c r="BV79" s="118"/>
      <c r="BW79" s="118"/>
      <c r="BX79" s="118"/>
      <c r="BY79" s="118"/>
      <c r="BZ79" s="118"/>
      <c r="CA79" s="118"/>
      <c r="CB79" s="118"/>
      <c r="CC79" s="118"/>
      <c r="CD79" s="118"/>
      <c r="CE79" s="119"/>
      <c r="CQ79" s="117"/>
      <c r="CR79" s="118"/>
      <c r="CS79" s="118"/>
      <c r="CT79" s="118"/>
      <c r="CU79" s="118"/>
      <c r="CV79" s="118"/>
      <c r="CW79" s="119"/>
    </row>
    <row r="80" spans="1:119">
      <c r="A80" s="76" t="s">
        <v>305</v>
      </c>
      <c r="B80" s="209"/>
      <c r="C80" s="209"/>
      <c r="D80" s="209"/>
      <c r="E80" s="209"/>
      <c r="F80" s="209"/>
      <c r="G80" s="209"/>
      <c r="H80" s="209"/>
      <c r="I80" s="209"/>
      <c r="J80" s="196">
        <f t="shared" ref="J80:R80" si="231">J55/J77</f>
        <v>8.9821930693069305</v>
      </c>
      <c r="K80" s="196">
        <f t="shared" si="231"/>
        <v>9.5417168855534715</v>
      </c>
      <c r="L80" s="196">
        <f t="shared" si="231"/>
        <v>8.7509450236966817</v>
      </c>
      <c r="M80" s="197">
        <f t="shared" si="231"/>
        <v>8.5023807856532869</v>
      </c>
      <c r="N80" s="196">
        <f t="shared" si="231"/>
        <v>8.1102942186605613</v>
      </c>
      <c r="O80" s="196">
        <f t="shared" si="231"/>
        <v>7.6488175213675227</v>
      </c>
      <c r="P80" s="196">
        <f t="shared" si="231"/>
        <v>7.2433211614956239</v>
      </c>
      <c r="Q80" s="196">
        <f t="shared" si="231"/>
        <v>6.9633951744617661</v>
      </c>
      <c r="R80" s="196">
        <f t="shared" si="231"/>
        <v>6.937100833622786</v>
      </c>
      <c r="S80" s="196"/>
      <c r="T80" s="196"/>
      <c r="U80" s="196"/>
      <c r="V80" s="196"/>
      <c r="W80" s="196"/>
      <c r="X80" s="196"/>
      <c r="Y80" s="197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7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7"/>
      <c r="AX80" s="196"/>
      <c r="AY80" s="196"/>
      <c r="AZ80" s="196"/>
      <c r="BA80" s="196"/>
      <c r="BB80" s="196"/>
      <c r="BC80" s="196"/>
      <c r="BD80" s="196"/>
      <c r="BE80" s="196"/>
      <c r="BF80" s="196"/>
      <c r="BG80" s="196"/>
      <c r="BH80" s="196"/>
      <c r="BI80" s="197"/>
      <c r="BJ80" s="196"/>
      <c r="BK80" s="196"/>
      <c r="BL80" s="196"/>
      <c r="BO80" s="117"/>
      <c r="BP80" s="118"/>
      <c r="BQ80" s="118"/>
      <c r="BR80" s="118"/>
      <c r="BS80" s="118"/>
      <c r="BT80" s="118"/>
      <c r="BU80" s="118"/>
      <c r="BV80" s="118"/>
      <c r="BW80" s="118"/>
      <c r="BX80" s="118"/>
      <c r="BY80" s="118"/>
      <c r="BZ80" s="118"/>
      <c r="CA80" s="118"/>
      <c r="CB80" s="118"/>
      <c r="CC80" s="118"/>
      <c r="CD80" s="118"/>
      <c r="CE80" s="119"/>
      <c r="CQ80" s="117"/>
      <c r="CR80" s="118"/>
      <c r="CS80" s="118"/>
      <c r="CT80" s="118"/>
      <c r="CU80" s="118"/>
      <c r="CV80" s="118"/>
      <c r="CW80" s="119"/>
    </row>
    <row r="81" spans="1:101">
      <c r="A81" s="5"/>
      <c r="M81" s="115"/>
      <c r="Y81" s="115"/>
      <c r="AK81" s="115"/>
      <c r="AW81" s="115"/>
      <c r="BI81" s="115"/>
      <c r="BO81" s="117"/>
      <c r="BP81" s="118"/>
      <c r="BQ81" s="118"/>
      <c r="BR81" s="118"/>
      <c r="BS81" s="118"/>
      <c r="BT81" s="118"/>
      <c r="BU81" s="118"/>
      <c r="BV81" s="118"/>
      <c r="BW81" s="118"/>
      <c r="BX81" s="118"/>
      <c r="BY81" s="118"/>
      <c r="BZ81" s="118"/>
      <c r="CA81" s="118"/>
      <c r="CB81" s="118"/>
      <c r="CC81" s="118"/>
      <c r="CD81" s="118"/>
      <c r="CE81" s="119"/>
      <c r="CQ81" s="117"/>
      <c r="CR81" s="118"/>
      <c r="CS81" s="118"/>
      <c r="CT81" s="118"/>
      <c r="CU81" s="118"/>
      <c r="CV81" s="118"/>
      <c r="CW81" s="119"/>
    </row>
    <row r="82" spans="1:101">
      <c r="A82" s="420"/>
      <c r="B82" s="421"/>
      <c r="C82" s="421"/>
      <c r="D82" s="421"/>
      <c r="E82" s="421"/>
      <c r="F82" s="421"/>
      <c r="G82" s="421"/>
      <c r="H82" s="421"/>
      <c r="I82" s="421"/>
      <c r="J82" s="422"/>
      <c r="K82" s="422"/>
      <c r="L82" s="422"/>
      <c r="M82" s="423"/>
      <c r="N82" s="422"/>
      <c r="O82" s="422"/>
      <c r="P82" s="422"/>
      <c r="Q82" s="422"/>
      <c r="R82" s="422"/>
      <c r="S82" s="422"/>
      <c r="T82" s="422"/>
      <c r="U82" s="422"/>
      <c r="V82" s="422"/>
      <c r="W82" s="422"/>
      <c r="X82" s="422"/>
      <c r="Y82" s="423"/>
      <c r="Z82" s="422"/>
      <c r="AA82" s="422"/>
      <c r="AB82" s="422"/>
      <c r="AC82" s="422"/>
      <c r="AD82" s="422"/>
      <c r="AE82" s="422"/>
      <c r="AF82" s="422"/>
      <c r="AG82" s="422"/>
      <c r="AH82" s="422"/>
      <c r="AI82" s="422"/>
      <c r="AJ82" s="422"/>
      <c r="AK82" s="423"/>
      <c r="AL82" s="422"/>
      <c r="AM82" s="422"/>
      <c r="AN82" s="422"/>
      <c r="AO82" s="422"/>
      <c r="AP82" s="422"/>
      <c r="AQ82" s="422"/>
      <c r="AR82" s="422"/>
      <c r="AS82" s="422"/>
      <c r="AT82" s="422"/>
      <c r="AU82" s="422"/>
      <c r="AV82" s="422"/>
      <c r="AW82" s="423"/>
      <c r="AX82" s="422"/>
      <c r="AY82" s="422"/>
      <c r="AZ82" s="422"/>
      <c r="BA82" s="422"/>
      <c r="BB82" s="422"/>
      <c r="BC82" s="422"/>
      <c r="BD82" s="422"/>
      <c r="BE82" s="422"/>
      <c r="BF82" s="422"/>
      <c r="BG82" s="422"/>
      <c r="BH82" s="422"/>
      <c r="BI82" s="423"/>
      <c r="BJ82" s="422"/>
      <c r="BK82" s="422"/>
      <c r="BL82" s="422"/>
      <c r="BO82" s="117"/>
      <c r="BP82" s="118"/>
      <c r="BQ82" s="118"/>
      <c r="BR82" s="118"/>
      <c r="BS82" s="118"/>
      <c r="BT82" s="118"/>
      <c r="BU82" s="118"/>
      <c r="BV82" s="118"/>
      <c r="BW82" s="118"/>
      <c r="BX82" s="118"/>
      <c r="BY82" s="118"/>
      <c r="BZ82" s="118"/>
      <c r="CA82" s="118"/>
      <c r="CB82" s="118"/>
      <c r="CC82" s="118"/>
      <c r="CD82" s="118"/>
      <c r="CE82" s="119"/>
      <c r="CQ82" s="117"/>
      <c r="CR82" s="118"/>
      <c r="CS82" s="118"/>
      <c r="CT82" s="118"/>
      <c r="CU82" s="118"/>
      <c r="CV82" s="118"/>
      <c r="CW82" s="119"/>
    </row>
    <row r="83" spans="1:101" ht="16" thickBot="1">
      <c r="A83" s="181" t="s">
        <v>154</v>
      </c>
      <c r="B83" s="182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3"/>
      <c r="N83" s="182"/>
      <c r="O83" s="182"/>
      <c r="P83" s="182"/>
      <c r="Q83" s="182"/>
      <c r="R83" s="182"/>
      <c r="S83" s="182"/>
      <c r="T83" s="182"/>
      <c r="U83" s="182"/>
      <c r="V83" s="182"/>
      <c r="W83" s="182"/>
      <c r="X83" s="182"/>
      <c r="Y83" s="183"/>
      <c r="Z83" s="182"/>
      <c r="AA83" s="182"/>
      <c r="AB83" s="182"/>
      <c r="AC83" s="182"/>
      <c r="AD83" s="182"/>
      <c r="AE83" s="182"/>
      <c r="AF83" s="182"/>
      <c r="AG83" s="182"/>
      <c r="AH83" s="182"/>
      <c r="AI83" s="182"/>
      <c r="AJ83" s="182"/>
      <c r="AK83" s="183"/>
      <c r="AL83" s="182"/>
      <c r="AM83" s="182"/>
      <c r="AN83" s="182"/>
      <c r="AO83" s="182"/>
      <c r="AP83" s="182"/>
      <c r="AQ83" s="182"/>
      <c r="AR83" s="182"/>
      <c r="AS83" s="182"/>
      <c r="AT83" s="182"/>
      <c r="AU83" s="182"/>
      <c r="AV83" s="182"/>
      <c r="AW83" s="183"/>
      <c r="AX83" s="182"/>
      <c r="AY83" s="182"/>
      <c r="AZ83" s="182"/>
      <c r="BA83" s="182"/>
      <c r="BB83" s="182"/>
      <c r="BC83" s="182"/>
      <c r="BD83" s="182"/>
      <c r="BE83" s="182"/>
      <c r="BF83" s="182"/>
      <c r="BG83" s="182"/>
      <c r="BH83" s="182"/>
      <c r="BI83" s="183"/>
      <c r="BJ83" s="182"/>
      <c r="BK83" s="182"/>
      <c r="BL83" s="182"/>
      <c r="BO83" s="117"/>
      <c r="BP83" s="118"/>
      <c r="BQ83" s="118"/>
      <c r="BR83" s="118"/>
      <c r="BS83" s="118"/>
      <c r="BT83" s="118"/>
      <c r="BU83" s="118"/>
      <c r="BV83" s="118"/>
      <c r="BW83" s="118"/>
      <c r="BX83" s="118"/>
      <c r="BY83" s="118"/>
      <c r="BZ83" s="118"/>
      <c r="CA83" s="118"/>
      <c r="CB83" s="118"/>
      <c r="CC83" s="118"/>
      <c r="CD83" s="118"/>
      <c r="CE83" s="119"/>
      <c r="CQ83" s="117"/>
      <c r="CR83" s="118"/>
      <c r="CS83" s="118"/>
      <c r="CT83" s="118"/>
      <c r="CU83" s="118"/>
      <c r="CV83" s="118"/>
      <c r="CW83" s="119"/>
    </row>
    <row r="84" spans="1:101">
      <c r="BO84" s="117"/>
      <c r="BP84" s="118"/>
      <c r="BQ84" s="118"/>
      <c r="BR84" s="118"/>
      <c r="BS84" s="118"/>
      <c r="BT84" s="118"/>
      <c r="BU84" s="118"/>
      <c r="BV84" s="118"/>
      <c r="BW84" s="118"/>
      <c r="BX84" s="118"/>
      <c r="BY84" s="118"/>
      <c r="BZ84" s="118"/>
      <c r="CA84" s="118"/>
      <c r="CB84" s="118"/>
      <c r="CC84" s="118"/>
      <c r="CD84" s="118"/>
      <c r="CE84" s="119"/>
      <c r="CQ84" s="117"/>
      <c r="CR84" s="118"/>
      <c r="CS84" s="118"/>
      <c r="CT84" s="118"/>
      <c r="CU84" s="118"/>
      <c r="CV84" s="118"/>
      <c r="CW84" s="119"/>
    </row>
    <row r="85" spans="1:101" ht="16" thickBot="1">
      <c r="J85" s="209"/>
      <c r="K85" s="209"/>
      <c r="L85" s="209"/>
      <c r="M85" s="209"/>
      <c r="N85" s="209"/>
      <c r="O85" s="209"/>
      <c r="P85" s="209"/>
      <c r="BO85" s="117"/>
      <c r="BP85" s="118"/>
      <c r="BQ85" s="118"/>
      <c r="BR85" s="118"/>
      <c r="BS85" s="118"/>
      <c r="BT85" s="118"/>
      <c r="BU85" s="118"/>
      <c r="BV85" s="118"/>
      <c r="BW85" s="118"/>
      <c r="BX85" s="118"/>
      <c r="BY85" s="118"/>
      <c r="BZ85" s="118"/>
      <c r="CA85" s="118"/>
      <c r="CB85" s="118"/>
      <c r="CC85" s="118"/>
      <c r="CD85" s="118"/>
      <c r="CE85" s="119"/>
      <c r="CQ85" s="117"/>
      <c r="CR85" s="118"/>
      <c r="CS85" s="118"/>
      <c r="CT85" s="118"/>
      <c r="CU85" s="118"/>
      <c r="CV85" s="118"/>
      <c r="CW85" s="119"/>
    </row>
    <row r="86" spans="1:101">
      <c r="A86" s="104" t="s">
        <v>206</v>
      </c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6"/>
      <c r="T86" s="104" t="s">
        <v>386</v>
      </c>
      <c r="U86" s="105"/>
      <c r="V86" s="105"/>
      <c r="W86" s="558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6"/>
      <c r="AO86" s="104" t="s">
        <v>201</v>
      </c>
      <c r="AP86" s="105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5"/>
      <c r="BB86" s="105"/>
      <c r="BC86" s="105"/>
      <c r="BD86" s="105"/>
      <c r="BE86" s="105"/>
      <c r="BF86" s="105"/>
      <c r="BG86" s="105"/>
      <c r="BH86" s="105"/>
      <c r="BI86" s="105"/>
      <c r="BJ86" s="105"/>
      <c r="BK86" s="105"/>
      <c r="BL86" s="106"/>
      <c r="BO86" s="117"/>
      <c r="BP86" s="118"/>
      <c r="BQ86" s="118"/>
      <c r="BR86" s="118"/>
      <c r="BS86" s="118"/>
      <c r="BT86" s="118"/>
      <c r="BU86" s="118"/>
      <c r="BV86" s="118"/>
      <c r="BW86" s="118"/>
      <c r="BX86" s="118"/>
      <c r="BY86" s="118"/>
      <c r="BZ86" s="118"/>
      <c r="CA86" s="118"/>
      <c r="CB86" s="118"/>
      <c r="CC86" s="118"/>
      <c r="CD86" s="118"/>
      <c r="CE86" s="119"/>
      <c r="CQ86" s="117"/>
      <c r="CR86" s="118"/>
      <c r="CS86" s="118"/>
      <c r="CT86" s="118"/>
      <c r="CU86" s="118"/>
      <c r="CV86" s="118"/>
      <c r="CW86" s="119"/>
    </row>
    <row r="87" spans="1:101">
      <c r="A87" s="117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9"/>
      <c r="T87" s="117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9"/>
      <c r="AO87" s="117"/>
      <c r="AP87" s="118"/>
      <c r="AQ87" s="118"/>
      <c r="AR87" s="118"/>
      <c r="AS87" s="118"/>
      <c r="AT87" s="118"/>
      <c r="AU87" s="118"/>
      <c r="AV87" s="118"/>
      <c r="AW87" s="118"/>
      <c r="AX87" s="118"/>
      <c r="AY87" s="118"/>
      <c r="AZ87" s="118"/>
      <c r="BA87" s="118"/>
      <c r="BB87" s="118"/>
      <c r="BC87" s="118"/>
      <c r="BD87" s="118"/>
      <c r="BE87" s="118"/>
      <c r="BF87" s="118"/>
      <c r="BG87" s="118"/>
      <c r="BH87" s="118"/>
      <c r="BI87" s="118"/>
      <c r="BJ87" s="118"/>
      <c r="BK87" s="118"/>
      <c r="BL87" s="119"/>
      <c r="BO87" s="117"/>
      <c r="BP87" s="118"/>
      <c r="BQ87" s="118"/>
      <c r="BR87" s="118"/>
      <c r="BS87" s="118"/>
      <c r="BT87" s="118"/>
      <c r="BU87" s="118"/>
      <c r="BV87" s="118"/>
      <c r="BW87" s="118"/>
      <c r="BX87" s="118"/>
      <c r="BY87" s="118"/>
      <c r="BZ87" s="118"/>
      <c r="CA87" s="118"/>
      <c r="CB87" s="118"/>
      <c r="CC87" s="118"/>
      <c r="CD87" s="118"/>
      <c r="CE87" s="119"/>
      <c r="CQ87" s="117"/>
      <c r="CR87" s="118"/>
      <c r="CS87" s="118"/>
      <c r="CT87" s="118"/>
      <c r="CU87" s="118"/>
      <c r="CV87" s="118"/>
      <c r="CW87" s="119"/>
    </row>
    <row r="88" spans="1:101">
      <c r="A88" s="117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9"/>
      <c r="T88" s="117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  <c r="AL88" s="118"/>
      <c r="AM88" s="119"/>
      <c r="AO88" s="117"/>
      <c r="AP88" s="118"/>
      <c r="AQ88" s="118"/>
      <c r="AR88" s="118"/>
      <c r="AS88" s="118"/>
      <c r="AT88" s="118"/>
      <c r="AU88" s="118"/>
      <c r="AV88" s="118"/>
      <c r="AW88" s="118"/>
      <c r="AX88" s="118"/>
      <c r="AY88" s="118"/>
      <c r="AZ88" s="118"/>
      <c r="BA88" s="118"/>
      <c r="BB88" s="118"/>
      <c r="BC88" s="118"/>
      <c r="BD88" s="118"/>
      <c r="BE88" s="118"/>
      <c r="BF88" s="118"/>
      <c r="BG88" s="118"/>
      <c r="BH88" s="118"/>
      <c r="BI88" s="118"/>
      <c r="BJ88" s="118"/>
      <c r="BK88" s="118"/>
      <c r="BL88" s="119"/>
      <c r="BO88" s="117"/>
      <c r="BP88" s="118"/>
      <c r="BQ88" s="118"/>
      <c r="BR88" s="118"/>
      <c r="BS88" s="118"/>
      <c r="BT88" s="118"/>
      <c r="BU88" s="118"/>
      <c r="BV88" s="118"/>
      <c r="BW88" s="118"/>
      <c r="BX88" s="118"/>
      <c r="BY88" s="118"/>
      <c r="BZ88" s="118"/>
      <c r="CA88" s="118"/>
      <c r="CB88" s="118"/>
      <c r="CC88" s="118"/>
      <c r="CD88" s="118"/>
      <c r="CE88" s="119"/>
      <c r="CQ88" s="117"/>
      <c r="CR88" s="118"/>
      <c r="CS88" s="118"/>
      <c r="CT88" s="118"/>
      <c r="CU88" s="118"/>
      <c r="CV88" s="118"/>
      <c r="CW88" s="119"/>
    </row>
    <row r="89" spans="1:101">
      <c r="A89" s="117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9"/>
      <c r="T89" s="117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  <c r="AL89" s="118"/>
      <c r="AM89" s="119"/>
      <c r="AO89" s="117"/>
      <c r="AP89" s="118"/>
      <c r="AQ89" s="118"/>
      <c r="AR89" s="118"/>
      <c r="AS89" s="118"/>
      <c r="AT89" s="118"/>
      <c r="AU89" s="118"/>
      <c r="AV89" s="118"/>
      <c r="AW89" s="118"/>
      <c r="AX89" s="118"/>
      <c r="AY89" s="118"/>
      <c r="AZ89" s="118"/>
      <c r="BA89" s="118"/>
      <c r="BB89" s="118"/>
      <c r="BC89" s="118"/>
      <c r="BD89" s="118"/>
      <c r="BE89" s="118"/>
      <c r="BF89" s="118"/>
      <c r="BG89" s="118"/>
      <c r="BH89" s="118"/>
      <c r="BI89" s="118"/>
      <c r="BJ89" s="118"/>
      <c r="BK89" s="118"/>
      <c r="BL89" s="119"/>
      <c r="BO89" s="117"/>
      <c r="BP89" s="118"/>
      <c r="BQ89" s="118"/>
      <c r="BR89" s="118"/>
      <c r="BS89" s="118"/>
      <c r="BT89" s="118"/>
      <c r="BU89" s="118"/>
      <c r="BV89" s="118"/>
      <c r="BW89" s="118"/>
      <c r="BX89" s="118"/>
      <c r="BY89" s="118"/>
      <c r="BZ89" s="118"/>
      <c r="CA89" s="118"/>
      <c r="CB89" s="118"/>
      <c r="CC89" s="118"/>
      <c r="CD89" s="118"/>
      <c r="CE89" s="119"/>
      <c r="CQ89" s="117"/>
      <c r="CR89" s="118"/>
      <c r="CS89" s="118"/>
      <c r="CT89" s="118"/>
      <c r="CU89" s="118"/>
      <c r="CV89" s="118"/>
      <c r="CW89" s="119"/>
    </row>
    <row r="90" spans="1:101" ht="16" thickBot="1">
      <c r="A90" s="117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9"/>
      <c r="T90" s="117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9"/>
      <c r="AO90" s="117"/>
      <c r="AP90" s="118"/>
      <c r="AQ90" s="118"/>
      <c r="AR90" s="118"/>
      <c r="AS90" s="118"/>
      <c r="AT90" s="118"/>
      <c r="AU90" s="118"/>
      <c r="AV90" s="118"/>
      <c r="AW90" s="118"/>
      <c r="AX90" s="118"/>
      <c r="AY90" s="118"/>
      <c r="AZ90" s="118"/>
      <c r="BA90" s="118"/>
      <c r="BB90" s="118"/>
      <c r="BC90" s="118"/>
      <c r="BD90" s="118"/>
      <c r="BE90" s="118"/>
      <c r="BF90" s="118"/>
      <c r="BG90" s="118"/>
      <c r="BH90" s="118"/>
      <c r="BI90" s="118"/>
      <c r="BJ90" s="118"/>
      <c r="BK90" s="118"/>
      <c r="BL90" s="119"/>
      <c r="BO90" s="192"/>
      <c r="BP90" s="182"/>
      <c r="BQ90" s="182"/>
      <c r="BR90" s="182"/>
      <c r="BS90" s="182"/>
      <c r="BT90" s="182"/>
      <c r="BU90" s="182"/>
      <c r="BV90" s="182"/>
      <c r="BW90" s="182"/>
      <c r="BX90" s="182"/>
      <c r="BY90" s="182"/>
      <c r="BZ90" s="182"/>
      <c r="CA90" s="182"/>
      <c r="CB90" s="182"/>
      <c r="CC90" s="182"/>
      <c r="CD90" s="182"/>
      <c r="CE90" s="193"/>
      <c r="CQ90" s="117"/>
      <c r="CR90" s="118"/>
      <c r="CS90" s="118"/>
      <c r="CT90" s="118"/>
      <c r="CU90" s="118"/>
      <c r="CV90" s="118"/>
      <c r="CW90" s="119"/>
    </row>
    <row r="91" spans="1:101">
      <c r="A91" s="117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9"/>
      <c r="T91" s="117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8"/>
      <c r="AM91" s="119"/>
      <c r="AO91" s="117"/>
      <c r="AP91" s="118"/>
      <c r="AQ91" s="118"/>
      <c r="AR91" s="118"/>
      <c r="AS91" s="118"/>
      <c r="AT91" s="118"/>
      <c r="AU91" s="118"/>
      <c r="AV91" s="118"/>
      <c r="AW91" s="118"/>
      <c r="AX91" s="118"/>
      <c r="AY91" s="118"/>
      <c r="AZ91" s="118"/>
      <c r="BA91" s="118"/>
      <c r="BB91" s="118"/>
      <c r="BC91" s="118"/>
      <c r="BD91" s="118"/>
      <c r="BE91" s="118"/>
      <c r="BF91" s="118"/>
      <c r="BG91" s="118"/>
      <c r="BH91" s="118"/>
      <c r="BI91" s="118"/>
      <c r="BJ91" s="118"/>
      <c r="BK91" s="118"/>
      <c r="BL91" s="119"/>
      <c r="CQ91" s="117"/>
      <c r="CR91" s="118"/>
      <c r="CS91" s="118"/>
      <c r="CT91" s="118"/>
      <c r="CU91" s="118"/>
      <c r="CV91" s="118"/>
      <c r="CW91" s="119"/>
    </row>
    <row r="92" spans="1:101" ht="16" thickBot="1">
      <c r="A92" s="117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9"/>
      <c r="T92" s="117"/>
      <c r="U92" s="118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8"/>
      <c r="AH92" s="118"/>
      <c r="AI92" s="118"/>
      <c r="AJ92" s="118"/>
      <c r="AK92" s="118"/>
      <c r="AL92" s="118"/>
      <c r="AM92" s="119"/>
      <c r="AO92" s="117"/>
      <c r="AP92" s="118"/>
      <c r="AQ92" s="118"/>
      <c r="AR92" s="118"/>
      <c r="AS92" s="118"/>
      <c r="AT92" s="118"/>
      <c r="AU92" s="118"/>
      <c r="AV92" s="118"/>
      <c r="AW92" s="118"/>
      <c r="AX92" s="118"/>
      <c r="AY92" s="118"/>
      <c r="AZ92" s="118"/>
      <c r="BA92" s="118"/>
      <c r="BB92" s="118"/>
      <c r="BC92" s="118"/>
      <c r="BD92" s="118"/>
      <c r="BE92" s="118"/>
      <c r="BF92" s="118"/>
      <c r="BG92" s="118"/>
      <c r="BH92" s="118"/>
      <c r="BI92" s="118"/>
      <c r="BJ92" s="118"/>
      <c r="BK92" s="118"/>
      <c r="BL92" s="119"/>
      <c r="CQ92" s="117"/>
      <c r="CR92" s="118"/>
      <c r="CS92" s="118"/>
      <c r="CT92" s="118"/>
      <c r="CU92" s="118"/>
      <c r="CV92" s="118"/>
      <c r="CW92" s="119"/>
    </row>
    <row r="93" spans="1:101">
      <c r="A93" s="117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9"/>
      <c r="T93" s="117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  <c r="AL93" s="118"/>
      <c r="AM93" s="119"/>
      <c r="AO93" s="117"/>
      <c r="AP93" s="118"/>
      <c r="AQ93" s="118"/>
      <c r="AR93" s="118"/>
      <c r="AS93" s="118"/>
      <c r="AT93" s="118"/>
      <c r="AU93" s="118"/>
      <c r="AV93" s="118"/>
      <c r="AW93" s="118"/>
      <c r="AX93" s="118"/>
      <c r="AY93" s="118"/>
      <c r="AZ93" s="118"/>
      <c r="BA93" s="118"/>
      <c r="BB93" s="118"/>
      <c r="BC93" s="118"/>
      <c r="BD93" s="118"/>
      <c r="BE93" s="118"/>
      <c r="BF93" s="118"/>
      <c r="BG93" s="118"/>
      <c r="BH93" s="118"/>
      <c r="BI93" s="118"/>
      <c r="BJ93" s="118"/>
      <c r="BK93" s="118"/>
      <c r="BL93" s="119"/>
      <c r="BO93" s="104" t="s">
        <v>331</v>
      </c>
      <c r="BP93" s="105"/>
      <c r="BQ93" s="105"/>
      <c r="BR93" s="105"/>
      <c r="BS93" s="105"/>
      <c r="BT93" s="105"/>
      <c r="BU93" s="105"/>
      <c r="BV93" s="105"/>
      <c r="BW93" s="105"/>
      <c r="BX93" s="105"/>
      <c r="BY93" s="105"/>
      <c r="BZ93" s="105"/>
      <c r="CA93" s="105"/>
      <c r="CB93" s="105"/>
      <c r="CC93" s="105"/>
      <c r="CD93" s="105"/>
      <c r="CE93" s="106"/>
      <c r="CQ93" s="117"/>
      <c r="CR93" s="118"/>
      <c r="CS93" s="118"/>
      <c r="CT93" s="118"/>
      <c r="CU93" s="118"/>
      <c r="CV93" s="118"/>
      <c r="CW93" s="119"/>
    </row>
    <row r="94" spans="1:101">
      <c r="A94" s="117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9"/>
      <c r="T94" s="117"/>
      <c r="U94" s="118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8"/>
      <c r="AH94" s="118"/>
      <c r="AI94" s="118"/>
      <c r="AJ94" s="118"/>
      <c r="AK94" s="118"/>
      <c r="AL94" s="118"/>
      <c r="AM94" s="119"/>
      <c r="AO94" s="117"/>
      <c r="AP94" s="118"/>
      <c r="AQ94" s="118"/>
      <c r="AR94" s="118"/>
      <c r="AS94" s="118"/>
      <c r="AT94" s="118"/>
      <c r="AU94" s="118"/>
      <c r="AV94" s="118"/>
      <c r="AW94" s="118"/>
      <c r="AX94" s="118"/>
      <c r="AY94" s="118"/>
      <c r="AZ94" s="118"/>
      <c r="BA94" s="118"/>
      <c r="BB94" s="118"/>
      <c r="BC94" s="118"/>
      <c r="BD94" s="118"/>
      <c r="BE94" s="118"/>
      <c r="BF94" s="118"/>
      <c r="BG94" s="118"/>
      <c r="BH94" s="118"/>
      <c r="BI94" s="118"/>
      <c r="BJ94" s="118"/>
      <c r="BK94" s="118"/>
      <c r="BL94" s="119"/>
      <c r="BO94" s="117"/>
      <c r="BP94" s="118"/>
      <c r="BQ94" s="118"/>
      <c r="BR94" s="118"/>
      <c r="BS94" s="118"/>
      <c r="BT94" s="118"/>
      <c r="BU94" s="118"/>
      <c r="BV94" s="118"/>
      <c r="BW94" s="118"/>
      <c r="BX94" s="118"/>
      <c r="BY94" s="118"/>
      <c r="BZ94" s="118"/>
      <c r="CA94" s="118"/>
      <c r="CB94" s="118"/>
      <c r="CC94" s="118"/>
      <c r="CD94" s="118"/>
      <c r="CE94" s="119"/>
      <c r="CQ94" s="117"/>
      <c r="CR94" s="118"/>
      <c r="CS94" s="118"/>
      <c r="CT94" s="118"/>
      <c r="CU94" s="118"/>
      <c r="CV94" s="118"/>
      <c r="CW94" s="119"/>
    </row>
    <row r="95" spans="1:101">
      <c r="A95" s="117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9"/>
      <c r="T95" s="117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  <c r="AL95" s="118"/>
      <c r="AM95" s="119"/>
      <c r="AO95" s="117"/>
      <c r="AP95" s="118"/>
      <c r="AQ95" s="118"/>
      <c r="AR95" s="118"/>
      <c r="AS95" s="118"/>
      <c r="AT95" s="118"/>
      <c r="AU95" s="118"/>
      <c r="AV95" s="118"/>
      <c r="AW95" s="118"/>
      <c r="AX95" s="118"/>
      <c r="AY95" s="118"/>
      <c r="AZ95" s="118"/>
      <c r="BA95" s="118"/>
      <c r="BB95" s="118"/>
      <c r="BC95" s="118"/>
      <c r="BD95" s="118"/>
      <c r="BE95" s="118"/>
      <c r="BF95" s="118"/>
      <c r="BG95" s="118"/>
      <c r="BH95" s="118"/>
      <c r="BI95" s="118"/>
      <c r="BJ95" s="118"/>
      <c r="BK95" s="118"/>
      <c r="BL95" s="119"/>
      <c r="BO95" s="117"/>
      <c r="BP95" s="118"/>
      <c r="BQ95" s="118"/>
      <c r="BR95" s="118"/>
      <c r="BS95" s="118"/>
      <c r="BT95" s="118"/>
      <c r="BU95" s="118"/>
      <c r="BV95" s="118"/>
      <c r="BW95" s="118"/>
      <c r="BX95" s="118"/>
      <c r="BY95" s="118"/>
      <c r="BZ95" s="118"/>
      <c r="CA95" s="118"/>
      <c r="CB95" s="118"/>
      <c r="CC95" s="118"/>
      <c r="CD95" s="118"/>
      <c r="CE95" s="119"/>
      <c r="CQ95" s="117"/>
      <c r="CR95" s="118"/>
      <c r="CS95" s="118"/>
      <c r="CT95" s="118"/>
      <c r="CU95" s="118"/>
      <c r="CV95" s="118"/>
      <c r="CW95" s="119"/>
    </row>
    <row r="96" spans="1:101" ht="16" thickBot="1">
      <c r="A96" s="117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9"/>
      <c r="T96" s="117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9"/>
      <c r="AO96" s="117"/>
      <c r="AP96" s="118"/>
      <c r="AQ96" s="118"/>
      <c r="AR96" s="118"/>
      <c r="AS96" s="118"/>
      <c r="AT96" s="118"/>
      <c r="AU96" s="118"/>
      <c r="AV96" s="118"/>
      <c r="AW96" s="118"/>
      <c r="AX96" s="118"/>
      <c r="AY96" s="118"/>
      <c r="AZ96" s="118"/>
      <c r="BA96" s="118"/>
      <c r="BB96" s="118"/>
      <c r="BC96" s="118"/>
      <c r="BD96" s="118"/>
      <c r="BE96" s="118"/>
      <c r="BF96" s="118"/>
      <c r="BG96" s="118"/>
      <c r="BH96" s="118"/>
      <c r="BI96" s="118"/>
      <c r="BJ96" s="118"/>
      <c r="BK96" s="118"/>
      <c r="BL96" s="119"/>
      <c r="BO96" s="117"/>
      <c r="BP96" s="118"/>
      <c r="BQ96" s="118"/>
      <c r="BR96" s="118"/>
      <c r="BS96" s="118"/>
      <c r="BT96" s="118"/>
      <c r="BU96" s="118"/>
      <c r="BV96" s="118"/>
      <c r="BW96" s="118"/>
      <c r="BX96" s="118"/>
      <c r="BY96" s="118"/>
      <c r="BZ96" s="118"/>
      <c r="CA96" s="118"/>
      <c r="CB96" s="118"/>
      <c r="CC96" s="118"/>
      <c r="CD96" s="118"/>
      <c r="CE96" s="119"/>
      <c r="CP96" s="192"/>
      <c r="CQ96" s="182"/>
      <c r="CR96" s="182"/>
      <c r="CS96" s="182"/>
      <c r="CT96" s="182"/>
      <c r="CU96" s="182"/>
      <c r="CV96" s="193"/>
    </row>
    <row r="97" spans="1:181" ht="16" thickBot="1">
      <c r="A97" s="117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9"/>
      <c r="T97" s="117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8"/>
      <c r="AH97" s="118"/>
      <c r="AI97" s="118"/>
      <c r="AJ97" s="118"/>
      <c r="AK97" s="118"/>
      <c r="AL97" s="118"/>
      <c r="AM97" s="119"/>
      <c r="AO97" s="117"/>
      <c r="AP97" s="118"/>
      <c r="AQ97" s="118"/>
      <c r="AR97" s="118"/>
      <c r="AS97" s="118"/>
      <c r="AT97" s="118"/>
      <c r="AU97" s="118"/>
      <c r="AV97" s="118"/>
      <c r="AW97" s="118"/>
      <c r="AX97" s="118"/>
      <c r="AY97" s="118"/>
      <c r="AZ97" s="118"/>
      <c r="BA97" s="118"/>
      <c r="BB97" s="118"/>
      <c r="BC97" s="118"/>
      <c r="BD97" s="118"/>
      <c r="BE97" s="118"/>
      <c r="BF97" s="118"/>
      <c r="BG97" s="118"/>
      <c r="BH97" s="118"/>
      <c r="BI97" s="118"/>
      <c r="BJ97" s="118"/>
      <c r="BK97" s="118"/>
      <c r="BL97" s="119"/>
      <c r="BO97" s="117"/>
      <c r="BP97" s="118"/>
      <c r="BQ97" s="118"/>
      <c r="BR97" s="118"/>
      <c r="BS97" s="118"/>
      <c r="BT97" s="118"/>
      <c r="BU97" s="118"/>
      <c r="BV97" s="118"/>
      <c r="BW97" s="118"/>
      <c r="BX97" s="118"/>
      <c r="BY97" s="118"/>
      <c r="BZ97" s="118"/>
      <c r="CA97" s="118"/>
      <c r="CB97" s="118"/>
      <c r="CC97" s="118"/>
      <c r="CD97" s="118"/>
      <c r="CE97" s="119"/>
      <c r="DR97" s="260"/>
      <c r="DS97" s="457"/>
      <c r="DW97" s="260"/>
      <c r="EI97" s="291" t="s">
        <v>84</v>
      </c>
    </row>
    <row r="98" spans="1:181" ht="19" customHeight="1">
      <c r="A98" s="117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9"/>
      <c r="T98" s="117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118"/>
      <c r="AK98" s="118"/>
      <c r="AL98" s="118"/>
      <c r="AM98" s="119"/>
      <c r="AO98" s="117"/>
      <c r="AP98" s="118"/>
      <c r="AQ98" s="118"/>
      <c r="AR98" s="118"/>
      <c r="AS98" s="118"/>
      <c r="AT98" s="118"/>
      <c r="AU98" s="118"/>
      <c r="AV98" s="118"/>
      <c r="AW98" s="118"/>
      <c r="AX98" s="118"/>
      <c r="AY98" s="118"/>
      <c r="AZ98" s="118"/>
      <c r="BA98" s="118"/>
      <c r="BB98" s="118"/>
      <c r="BC98" s="118"/>
      <c r="BD98" s="118"/>
      <c r="BE98" s="118"/>
      <c r="BF98" s="118"/>
      <c r="BG98" s="118"/>
      <c r="BH98" s="118"/>
      <c r="BI98" s="118"/>
      <c r="BJ98" s="118"/>
      <c r="BK98" s="118"/>
      <c r="BL98" s="119"/>
      <c r="BO98" s="117"/>
      <c r="BP98" s="118"/>
      <c r="BQ98" s="118"/>
      <c r="BR98" s="118"/>
      <c r="BS98" s="118"/>
      <c r="BT98" s="118"/>
      <c r="BU98" s="118"/>
      <c r="BV98" s="118"/>
      <c r="BW98" s="118"/>
      <c r="BX98" s="118"/>
      <c r="BY98" s="118"/>
      <c r="BZ98" s="118"/>
      <c r="CA98" s="118"/>
      <c r="CB98" s="118"/>
      <c r="CC98" s="118"/>
      <c r="CD98" s="118"/>
      <c r="CE98" s="119"/>
      <c r="DQ98" s="458"/>
      <c r="DR98" s="459"/>
      <c r="DS98" s="460"/>
      <c r="DT98" s="460"/>
      <c r="DU98" s="460"/>
      <c r="DV98" s="460"/>
      <c r="DW98" s="459"/>
      <c r="DX98" s="460"/>
      <c r="DY98" s="460"/>
      <c r="DZ98" s="460"/>
      <c r="EA98" s="460"/>
      <c r="EB98" s="460"/>
      <c r="EC98" s="460"/>
      <c r="ED98" s="460"/>
      <c r="EE98" s="461"/>
      <c r="FP98" s="291" t="s">
        <v>99</v>
      </c>
      <c r="FQ98" s="291"/>
      <c r="FR98" s="291"/>
      <c r="FS98" s="413"/>
      <c r="FT98" s="413"/>
      <c r="FU98" s="413"/>
      <c r="FV98" s="413"/>
      <c r="FW98" s="413"/>
      <c r="FX98" s="413"/>
      <c r="FY98" s="413"/>
    </row>
    <row r="99" spans="1:181">
      <c r="A99" s="117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9"/>
      <c r="T99" s="117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8"/>
      <c r="AH99" s="118"/>
      <c r="AI99" s="118"/>
      <c r="AJ99" s="118"/>
      <c r="AK99" s="118"/>
      <c r="AL99" s="118"/>
      <c r="AM99" s="119"/>
      <c r="AO99" s="117"/>
      <c r="AP99" s="118"/>
      <c r="AQ99" s="118"/>
      <c r="AR99" s="118"/>
      <c r="AS99" s="118"/>
      <c r="AT99" s="118"/>
      <c r="AU99" s="118"/>
      <c r="AV99" s="118"/>
      <c r="AW99" s="118"/>
      <c r="AX99" s="118"/>
      <c r="AY99" s="118"/>
      <c r="AZ99" s="118"/>
      <c r="BA99" s="118"/>
      <c r="BB99" s="118"/>
      <c r="BC99" s="118"/>
      <c r="BD99" s="118"/>
      <c r="BE99" s="118"/>
      <c r="BF99" s="118"/>
      <c r="BG99" s="118"/>
      <c r="BH99" s="118"/>
      <c r="BI99" s="118"/>
      <c r="BJ99" s="118"/>
      <c r="BK99" s="118"/>
      <c r="BL99" s="119"/>
      <c r="BO99" s="117"/>
      <c r="BP99" s="118"/>
      <c r="BQ99" s="118"/>
      <c r="BR99" s="118"/>
      <c r="BS99" s="118"/>
      <c r="BT99" s="118"/>
      <c r="BU99" s="118"/>
      <c r="BV99" s="118"/>
      <c r="BW99" s="118"/>
      <c r="BX99" s="118"/>
      <c r="BY99" s="118"/>
      <c r="BZ99" s="118"/>
      <c r="CA99" s="118"/>
      <c r="CB99" s="118"/>
      <c r="CC99" s="118"/>
      <c r="CD99" s="118"/>
      <c r="CE99" s="119"/>
      <c r="DQ99" s="462" t="s">
        <v>335</v>
      </c>
      <c r="EE99" s="116"/>
      <c r="FP99" s="413"/>
      <c r="FQ99" s="413"/>
      <c r="FR99" s="413"/>
      <c r="FS99" s="413"/>
      <c r="FT99" s="413"/>
      <c r="FU99" s="413"/>
      <c r="FV99" s="413"/>
      <c r="FW99" s="413"/>
      <c r="FX99" s="413"/>
      <c r="FY99" s="413"/>
    </row>
    <row r="100" spans="1:181">
      <c r="A100" s="117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9"/>
      <c r="T100" s="117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8"/>
      <c r="AM100" s="119"/>
      <c r="AO100" s="117"/>
      <c r="AP100" s="118"/>
      <c r="AQ100" s="118"/>
      <c r="AR100" s="118"/>
      <c r="AS100" s="118"/>
      <c r="AT100" s="118"/>
      <c r="AU100" s="118"/>
      <c r="AV100" s="118"/>
      <c r="AW100" s="118"/>
      <c r="AX100" s="118"/>
      <c r="AY100" s="118"/>
      <c r="AZ100" s="118"/>
      <c r="BA100" s="118"/>
      <c r="BB100" s="118"/>
      <c r="BC100" s="118"/>
      <c r="BD100" s="118"/>
      <c r="BE100" s="118"/>
      <c r="BF100" s="118"/>
      <c r="BG100" s="118"/>
      <c r="BH100" s="118"/>
      <c r="BI100" s="118"/>
      <c r="BJ100" s="118"/>
      <c r="BK100" s="118"/>
      <c r="BL100" s="119"/>
      <c r="BO100" s="117"/>
      <c r="BP100" s="118"/>
      <c r="BQ100" s="118"/>
      <c r="BR100" s="118"/>
      <c r="BS100" s="118"/>
      <c r="BT100" s="118"/>
      <c r="BU100" s="118"/>
      <c r="BV100" s="118"/>
      <c r="BW100" s="118"/>
      <c r="BX100" s="118"/>
      <c r="BY100" s="118"/>
      <c r="BZ100" s="118"/>
      <c r="CA100" s="118"/>
      <c r="CB100" s="118"/>
      <c r="CC100" s="118"/>
      <c r="CD100" s="118"/>
      <c r="CE100" s="119"/>
      <c r="DQ100" s="6"/>
      <c r="DS100" s="457"/>
      <c r="DV100" s="173"/>
      <c r="DW100" s="173"/>
      <c r="EE100" s="116"/>
      <c r="FP100" s="413"/>
      <c r="FQ100" s="413"/>
      <c r="FR100" s="413"/>
      <c r="FS100" s="413"/>
      <c r="FT100" s="413"/>
      <c r="FU100" s="413"/>
      <c r="FV100" s="413"/>
      <c r="FW100" s="413"/>
      <c r="FX100" s="413"/>
      <c r="FY100" s="413"/>
    </row>
    <row r="101" spans="1:181">
      <c r="A101" s="117"/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9"/>
      <c r="T101" s="117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  <c r="AL101" s="118"/>
      <c r="AM101" s="119"/>
      <c r="AO101" s="117"/>
      <c r="AP101" s="118"/>
      <c r="AQ101" s="118"/>
      <c r="AR101" s="118"/>
      <c r="AS101" s="118"/>
      <c r="AT101" s="118"/>
      <c r="AU101" s="118"/>
      <c r="AV101" s="118"/>
      <c r="AW101" s="118"/>
      <c r="AX101" s="118"/>
      <c r="AY101" s="118"/>
      <c r="AZ101" s="118"/>
      <c r="BA101" s="118"/>
      <c r="BB101" s="118"/>
      <c r="BC101" s="118"/>
      <c r="BD101" s="118"/>
      <c r="BE101" s="118"/>
      <c r="BF101" s="118"/>
      <c r="BG101" s="118"/>
      <c r="BH101" s="118"/>
      <c r="BI101" s="118"/>
      <c r="BJ101" s="118"/>
      <c r="BK101" s="118"/>
      <c r="BL101" s="119"/>
      <c r="BO101" s="117"/>
      <c r="BP101" s="118"/>
      <c r="BQ101" s="118"/>
      <c r="BR101" s="118"/>
      <c r="BS101" s="118"/>
      <c r="BT101" s="118"/>
      <c r="BU101" s="118"/>
      <c r="BV101" s="118"/>
      <c r="BW101" s="118"/>
      <c r="BX101" s="118"/>
      <c r="BY101" s="118"/>
      <c r="BZ101" s="118"/>
      <c r="CA101" s="118"/>
      <c r="CB101" s="118"/>
      <c r="CC101" s="118"/>
      <c r="CD101" s="118"/>
      <c r="CE101" s="119"/>
      <c r="DQ101" s="463"/>
      <c r="DR101" s="464">
        <v>2010</v>
      </c>
      <c r="DS101" s="464"/>
      <c r="DT101" s="464"/>
      <c r="DU101" s="464"/>
      <c r="DV101" s="465"/>
      <c r="DW101" s="464"/>
      <c r="DX101" s="465"/>
      <c r="DY101" s="466"/>
      <c r="DZ101" s="464">
        <v>2011</v>
      </c>
      <c r="EA101" s="464"/>
      <c r="EB101" s="464"/>
      <c r="EC101" s="464"/>
      <c r="ED101" s="464"/>
      <c r="EE101" s="467"/>
      <c r="FP101" s="413"/>
      <c r="FQ101" s="413"/>
      <c r="FR101" s="413"/>
      <c r="FS101" s="413"/>
      <c r="FT101" s="413"/>
      <c r="FU101" s="413"/>
      <c r="FV101" s="413"/>
      <c r="FW101" s="413"/>
      <c r="FX101" s="413"/>
      <c r="FY101" s="413"/>
    </row>
    <row r="102" spans="1:181">
      <c r="A102" s="117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9"/>
      <c r="T102" s="117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9"/>
      <c r="AO102" s="117"/>
      <c r="AP102" s="118"/>
      <c r="AQ102" s="118"/>
      <c r="AR102" s="118"/>
      <c r="AS102" s="118"/>
      <c r="AT102" s="118"/>
      <c r="AU102" s="118"/>
      <c r="AV102" s="118"/>
      <c r="AW102" s="118"/>
      <c r="AX102" s="118"/>
      <c r="AY102" s="118"/>
      <c r="AZ102" s="118"/>
      <c r="BA102" s="118"/>
      <c r="BB102" s="118"/>
      <c r="BC102" s="118"/>
      <c r="BD102" s="118"/>
      <c r="BE102" s="118"/>
      <c r="BF102" s="118"/>
      <c r="BG102" s="118"/>
      <c r="BH102" s="118"/>
      <c r="BI102" s="118"/>
      <c r="BJ102" s="118"/>
      <c r="BK102" s="118"/>
      <c r="BL102" s="119"/>
      <c r="BO102" s="117"/>
      <c r="BP102" s="118"/>
      <c r="BQ102" s="118"/>
      <c r="BR102" s="118"/>
      <c r="BS102" s="118"/>
      <c r="BT102" s="118"/>
      <c r="BU102" s="118"/>
      <c r="BV102" s="118"/>
      <c r="BW102" s="118"/>
      <c r="BX102" s="118"/>
      <c r="BY102" s="118"/>
      <c r="BZ102" s="118"/>
      <c r="CA102" s="118"/>
      <c r="CB102" s="118"/>
      <c r="CC102" s="118"/>
      <c r="CD102" s="118"/>
      <c r="CE102" s="119"/>
      <c r="DQ102" s="468" t="s">
        <v>336</v>
      </c>
      <c r="DR102" s="469" t="s">
        <v>337</v>
      </c>
      <c r="DS102" s="469" t="s">
        <v>338</v>
      </c>
      <c r="DT102" s="470" t="s">
        <v>339</v>
      </c>
      <c r="DU102" s="469" t="s">
        <v>340</v>
      </c>
      <c r="DV102" s="469" t="s">
        <v>341</v>
      </c>
      <c r="DW102" s="469" t="s">
        <v>342</v>
      </c>
      <c r="DX102" s="469" t="s">
        <v>343</v>
      </c>
      <c r="DY102" s="471" t="s">
        <v>344</v>
      </c>
      <c r="DZ102" s="469" t="s">
        <v>345</v>
      </c>
      <c r="EA102" s="469" t="s">
        <v>346</v>
      </c>
      <c r="EB102" s="469" t="s">
        <v>338</v>
      </c>
      <c r="EC102" s="469" t="s">
        <v>347</v>
      </c>
      <c r="ED102" s="469" t="s">
        <v>339</v>
      </c>
      <c r="EE102" s="472" t="s">
        <v>85</v>
      </c>
      <c r="FP102" s="413"/>
      <c r="FQ102" s="413"/>
      <c r="FR102" s="413"/>
      <c r="FS102" s="413"/>
      <c r="FT102" s="413"/>
      <c r="FU102" s="413"/>
      <c r="FV102" s="413"/>
      <c r="FW102" s="413"/>
      <c r="FX102" s="413"/>
      <c r="FY102" s="413"/>
    </row>
    <row r="103" spans="1:181">
      <c r="A103" s="117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9"/>
      <c r="T103" s="117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  <c r="AL103" s="118"/>
      <c r="AM103" s="119"/>
      <c r="AO103" s="117"/>
      <c r="AP103" s="118"/>
      <c r="AQ103" s="118"/>
      <c r="AR103" s="118"/>
      <c r="AS103" s="118"/>
      <c r="AT103" s="118"/>
      <c r="AU103" s="118"/>
      <c r="AV103" s="118"/>
      <c r="AW103" s="118"/>
      <c r="AX103" s="118"/>
      <c r="AY103" s="118"/>
      <c r="AZ103" s="118"/>
      <c r="BA103" s="118"/>
      <c r="BB103" s="118"/>
      <c r="BC103" s="118"/>
      <c r="BD103" s="118"/>
      <c r="BE103" s="118"/>
      <c r="BF103" s="118"/>
      <c r="BG103" s="118"/>
      <c r="BH103" s="118"/>
      <c r="BI103" s="118"/>
      <c r="BJ103" s="118"/>
      <c r="BK103" s="118"/>
      <c r="BL103" s="119"/>
      <c r="BO103" s="117"/>
      <c r="BP103" s="118"/>
      <c r="BQ103" s="118"/>
      <c r="BR103" s="118"/>
      <c r="BS103" s="118"/>
      <c r="BT103" s="118"/>
      <c r="BU103" s="118"/>
      <c r="BV103" s="118"/>
      <c r="BW103" s="118"/>
      <c r="BX103" s="118"/>
      <c r="BY103" s="118"/>
      <c r="BZ103" s="118"/>
      <c r="CA103" s="118"/>
      <c r="CB103" s="118"/>
      <c r="CC103" s="118"/>
      <c r="CD103" s="118"/>
      <c r="CE103" s="119"/>
      <c r="DQ103" s="6"/>
      <c r="DT103" s="173"/>
      <c r="DY103" s="115"/>
      <c r="EE103" s="116"/>
      <c r="FP103" s="413"/>
      <c r="FQ103" s="413"/>
      <c r="FR103" s="413"/>
      <c r="FS103" s="413"/>
      <c r="FT103" s="413"/>
      <c r="FU103" s="413"/>
      <c r="FV103" s="413"/>
      <c r="FW103" s="413"/>
      <c r="FX103" s="413"/>
      <c r="FY103" s="413"/>
    </row>
    <row r="104" spans="1:181">
      <c r="A104" s="117"/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9"/>
      <c r="T104" s="117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9"/>
      <c r="AO104" s="117"/>
      <c r="AP104" s="118"/>
      <c r="AQ104" s="118"/>
      <c r="AR104" s="118"/>
      <c r="AS104" s="118"/>
      <c r="AT104" s="118"/>
      <c r="AU104" s="118"/>
      <c r="AV104" s="118"/>
      <c r="AW104" s="118"/>
      <c r="AX104" s="118"/>
      <c r="AY104" s="118"/>
      <c r="AZ104" s="118"/>
      <c r="BA104" s="118"/>
      <c r="BB104" s="118"/>
      <c r="BC104" s="118"/>
      <c r="BD104" s="118"/>
      <c r="BE104" s="118"/>
      <c r="BF104" s="118"/>
      <c r="BG104" s="118"/>
      <c r="BH104" s="118"/>
      <c r="BI104" s="118"/>
      <c r="BJ104" s="118"/>
      <c r="BK104" s="118"/>
      <c r="BL104" s="119"/>
      <c r="BO104" s="117"/>
      <c r="BP104" s="118"/>
      <c r="BQ104" s="118"/>
      <c r="BR104" s="118"/>
      <c r="BS104" s="118"/>
      <c r="BT104" s="118"/>
      <c r="BU104" s="118"/>
      <c r="BV104" s="118"/>
      <c r="BW104" s="118"/>
      <c r="BX104" s="118"/>
      <c r="BY104" s="118"/>
      <c r="BZ104" s="118"/>
      <c r="CA104" s="118"/>
      <c r="CB104" s="118"/>
      <c r="CC104" s="118"/>
      <c r="CD104" s="118"/>
      <c r="CE104" s="119"/>
      <c r="DQ104" s="473" t="s">
        <v>348</v>
      </c>
      <c r="DR104" s="209">
        <v>77.473922097087396</v>
      </c>
      <c r="DS104" s="209">
        <v>34.89493183078045</v>
      </c>
      <c r="DT104" s="209">
        <v>12.90318458</v>
      </c>
      <c r="DU104" s="209">
        <v>18.08210493</v>
      </c>
      <c r="DV104" s="209">
        <v>24.225032969000001</v>
      </c>
      <c r="DW104" s="209">
        <v>30.586918263157898</v>
      </c>
      <c r="DX104" s="209">
        <v>34.026459579831936</v>
      </c>
      <c r="DY104" s="210">
        <v>23.98096268072289</v>
      </c>
      <c r="DZ104" s="209">
        <v>37.769646450000003</v>
      </c>
      <c r="EA104" s="209">
        <v>35.076578194694271</v>
      </c>
      <c r="EB104" s="209">
        <v>26.972030494999998</v>
      </c>
      <c r="EC104" s="209">
        <v>22.606252607999998</v>
      </c>
      <c r="ED104" s="209">
        <v>12.371814000000001</v>
      </c>
      <c r="EE104" s="474">
        <v>22.3</v>
      </c>
      <c r="FP104" s="413"/>
      <c r="FQ104" s="413"/>
      <c r="FR104" s="413"/>
      <c r="FS104" s="413"/>
      <c r="FT104" s="413"/>
      <c r="FU104" s="413"/>
      <c r="FV104" s="413"/>
      <c r="FW104" s="413"/>
      <c r="FX104" s="413"/>
      <c r="FY104" s="413"/>
    </row>
    <row r="105" spans="1:181">
      <c r="A105" s="117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9"/>
      <c r="T105" s="117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9"/>
      <c r="AO105" s="117"/>
      <c r="AP105" s="118"/>
      <c r="AQ105" s="118"/>
      <c r="AR105" s="118"/>
      <c r="AS105" s="118"/>
      <c r="AT105" s="118"/>
      <c r="AU105" s="118"/>
      <c r="AV105" s="118"/>
      <c r="AW105" s="118"/>
      <c r="AX105" s="118"/>
      <c r="AY105" s="118"/>
      <c r="AZ105" s="118"/>
      <c r="BA105" s="118"/>
      <c r="BB105" s="118"/>
      <c r="BC105" s="118"/>
      <c r="BD105" s="118"/>
      <c r="BE105" s="118"/>
      <c r="BF105" s="118"/>
      <c r="BG105" s="118"/>
      <c r="BH105" s="118"/>
      <c r="BI105" s="118"/>
      <c r="BJ105" s="118"/>
      <c r="BK105" s="118"/>
      <c r="BL105" s="119"/>
      <c r="BO105" s="117"/>
      <c r="BP105" s="118"/>
      <c r="BQ105" s="118"/>
      <c r="BR105" s="118"/>
      <c r="BS105" s="118"/>
      <c r="BT105" s="118"/>
      <c r="BU105" s="118"/>
      <c r="BV105" s="118"/>
      <c r="BW105" s="118"/>
      <c r="BX105" s="118"/>
      <c r="BY105" s="118"/>
      <c r="BZ105" s="118"/>
      <c r="CA105" s="118"/>
      <c r="CB105" s="118"/>
      <c r="CC105" s="118"/>
      <c r="CD105" s="118"/>
      <c r="CE105" s="119"/>
      <c r="DQ105" s="473" t="s">
        <v>287</v>
      </c>
      <c r="DR105" s="209">
        <v>30.586058827912623</v>
      </c>
      <c r="DS105" s="209">
        <v>12.931651207877461</v>
      </c>
      <c r="DT105" s="209">
        <v>6.510243129</v>
      </c>
      <c r="DU105" s="209">
        <v>6.3622221049999998</v>
      </c>
      <c r="DV105" s="209">
        <v>9.5492868550000001</v>
      </c>
      <c r="DW105" s="209">
        <v>12.461337070175441</v>
      </c>
      <c r="DX105" s="209">
        <v>13.507473348357527</v>
      </c>
      <c r="DY105" s="210">
        <v>10.555327203098106</v>
      </c>
      <c r="DZ105" s="209">
        <v>13.922387925000001</v>
      </c>
      <c r="EA105" s="209">
        <v>13.769695616589351</v>
      </c>
      <c r="EB105" s="209">
        <v>10.390003965</v>
      </c>
      <c r="EC105" s="209">
        <v>10.718481839999999</v>
      </c>
      <c r="ED105" s="209">
        <v>7.0696080000000006</v>
      </c>
      <c r="EE105" s="474">
        <v>12.5</v>
      </c>
      <c r="FP105" s="413"/>
      <c r="FQ105" s="413"/>
      <c r="FR105" s="413"/>
      <c r="FS105" s="413"/>
      <c r="FT105" s="413"/>
      <c r="FU105" s="413"/>
      <c r="FV105" s="413"/>
      <c r="FW105" s="413"/>
      <c r="FX105" s="413"/>
      <c r="FY105" s="413"/>
    </row>
    <row r="106" spans="1:181">
      <c r="A106" s="117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9"/>
      <c r="T106" s="117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9"/>
      <c r="AO106" s="117"/>
      <c r="AP106" s="118"/>
      <c r="AQ106" s="118"/>
      <c r="AR106" s="118"/>
      <c r="AS106" s="118"/>
      <c r="AT106" s="118"/>
      <c r="AU106" s="118"/>
      <c r="AV106" s="118"/>
      <c r="AW106" s="118"/>
      <c r="AX106" s="118"/>
      <c r="AY106" s="118"/>
      <c r="AZ106" s="118"/>
      <c r="BA106" s="118"/>
      <c r="BB106" s="118"/>
      <c r="BC106" s="118"/>
      <c r="BD106" s="118"/>
      <c r="BE106" s="118"/>
      <c r="BF106" s="118"/>
      <c r="BG106" s="118"/>
      <c r="BH106" s="118"/>
      <c r="BI106" s="118"/>
      <c r="BJ106" s="118"/>
      <c r="BK106" s="118"/>
      <c r="BL106" s="119"/>
      <c r="BO106" s="117"/>
      <c r="BP106" s="118"/>
      <c r="BQ106" s="118"/>
      <c r="BR106" s="118"/>
      <c r="BS106" s="118"/>
      <c r="BT106" s="118"/>
      <c r="BU106" s="118"/>
      <c r="BV106" s="118"/>
      <c r="BW106" s="118"/>
      <c r="BX106" s="118"/>
      <c r="BY106" s="118"/>
      <c r="BZ106" s="118"/>
      <c r="CA106" s="118"/>
      <c r="CB106" s="118"/>
      <c r="CC106" s="118"/>
      <c r="CD106" s="118"/>
      <c r="CE106" s="119"/>
      <c r="DQ106" s="473" t="s">
        <v>349</v>
      </c>
      <c r="DR106" s="209">
        <v>35.266774954611655</v>
      </c>
      <c r="DS106" s="209">
        <v>15.086926409190371</v>
      </c>
      <c r="DT106" s="209">
        <v>8.5630224939999984</v>
      </c>
      <c r="DU106" s="209">
        <v>8.3713448750000001</v>
      </c>
      <c r="DV106" s="209">
        <v>12.866407552</v>
      </c>
      <c r="DW106" s="209">
        <v>16.47780108452951</v>
      </c>
      <c r="DX106" s="209">
        <v>16.497677372039728</v>
      </c>
      <c r="DY106" s="210">
        <v>12.96268253012048</v>
      </c>
      <c r="DZ106" s="209">
        <v>13.784542500000001</v>
      </c>
      <c r="EA106" s="209">
        <v>20.936473377962578</v>
      </c>
      <c r="EB106" s="209">
        <v>12.488994665</v>
      </c>
      <c r="EC106" s="209">
        <v>13.057059696</v>
      </c>
      <c r="ED106" s="209">
        <v>6.7329600000000003</v>
      </c>
      <c r="EE106" s="474">
        <v>12.8</v>
      </c>
      <c r="FP106" s="413"/>
      <c r="FQ106" s="413"/>
      <c r="FR106" s="413"/>
      <c r="FS106" s="413"/>
      <c r="FT106" s="413"/>
      <c r="FU106" s="413"/>
      <c r="FV106" s="413"/>
      <c r="FW106" s="413"/>
      <c r="FX106" s="413"/>
      <c r="FY106" s="413"/>
    </row>
    <row r="107" spans="1:181">
      <c r="A107" s="117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9"/>
      <c r="T107" s="117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  <c r="AL107" s="118"/>
      <c r="AM107" s="119"/>
      <c r="AO107" s="117"/>
      <c r="AP107" s="118"/>
      <c r="AQ107" s="118"/>
      <c r="AR107" s="118"/>
      <c r="AS107" s="118"/>
      <c r="AT107" s="118"/>
      <c r="AU107" s="118"/>
      <c r="AV107" s="118"/>
      <c r="AW107" s="118"/>
      <c r="AX107" s="118"/>
      <c r="AY107" s="118"/>
      <c r="AZ107" s="118"/>
      <c r="BA107" s="118"/>
      <c r="BB107" s="118"/>
      <c r="BC107" s="118"/>
      <c r="BD107" s="118"/>
      <c r="BE107" s="118"/>
      <c r="BF107" s="118"/>
      <c r="BG107" s="118"/>
      <c r="BH107" s="118"/>
      <c r="BI107" s="118"/>
      <c r="BJ107" s="118"/>
      <c r="BK107" s="118"/>
      <c r="BL107" s="119"/>
      <c r="BO107" s="117"/>
      <c r="BP107" s="118"/>
      <c r="BQ107" s="118"/>
      <c r="BR107" s="118"/>
      <c r="BS107" s="118"/>
      <c r="BT107" s="118"/>
      <c r="BU107" s="118"/>
      <c r="BV107" s="118"/>
      <c r="BW107" s="118"/>
      <c r="BX107" s="118"/>
      <c r="BY107" s="118"/>
      <c r="BZ107" s="118"/>
      <c r="CA107" s="118"/>
      <c r="CB107" s="118"/>
      <c r="CC107" s="118"/>
      <c r="CD107" s="118"/>
      <c r="CE107" s="119"/>
      <c r="DQ107" s="473" t="s">
        <v>170</v>
      </c>
      <c r="DR107" s="209">
        <v>95.95468059733011</v>
      </c>
      <c r="DS107" s="209">
        <v>42.284446806710434</v>
      </c>
      <c r="DT107" s="209">
        <v>12.199374511999999</v>
      </c>
      <c r="DU107" s="209">
        <v>16.407835954999999</v>
      </c>
      <c r="DV107" s="209">
        <v>30.356680317999999</v>
      </c>
      <c r="DW107" s="209">
        <v>38.001928751196168</v>
      </c>
      <c r="DX107" s="209">
        <v>37.429105537815126</v>
      </c>
      <c r="DY107" s="210">
        <v>23.610600322719446</v>
      </c>
      <c r="DZ107" s="209">
        <v>18.057750675000001</v>
      </c>
      <c r="EA107" s="209">
        <v>44.078346928112794</v>
      </c>
      <c r="EB107" s="209">
        <v>21.094856535000002</v>
      </c>
      <c r="EC107" s="209">
        <v>20.852319215999998</v>
      </c>
      <c r="ED107" s="209">
        <v>5.7230160000000012</v>
      </c>
      <c r="EE107" s="474">
        <v>20.100000000000001</v>
      </c>
      <c r="FP107" s="413"/>
      <c r="FQ107" s="413"/>
      <c r="FR107" s="413"/>
      <c r="FS107" s="413"/>
      <c r="FT107" s="413"/>
      <c r="FU107" s="413"/>
      <c r="FV107" s="413"/>
      <c r="FW107" s="413"/>
      <c r="FX107" s="413"/>
      <c r="FY107" s="413"/>
    </row>
    <row r="108" spans="1:181">
      <c r="A108" s="117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9"/>
      <c r="T108" s="117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9"/>
      <c r="AO108" s="117"/>
      <c r="AP108" s="118"/>
      <c r="AQ108" s="118"/>
      <c r="AR108" s="118"/>
      <c r="AS108" s="118"/>
      <c r="AT108" s="118"/>
      <c r="AU108" s="118"/>
      <c r="AV108" s="118"/>
      <c r="AW108" s="118"/>
      <c r="AX108" s="118"/>
      <c r="AY108" s="118"/>
      <c r="AZ108" s="118"/>
      <c r="BA108" s="118"/>
      <c r="BB108" s="118"/>
      <c r="BC108" s="118"/>
      <c r="BD108" s="118"/>
      <c r="BE108" s="118"/>
      <c r="BF108" s="118"/>
      <c r="BG108" s="118"/>
      <c r="BH108" s="118"/>
      <c r="BI108" s="118"/>
      <c r="BJ108" s="118"/>
      <c r="BK108" s="118"/>
      <c r="BL108" s="119"/>
      <c r="BO108" s="117"/>
      <c r="BP108" s="118"/>
      <c r="BQ108" s="118"/>
      <c r="BR108" s="118"/>
      <c r="BS108" s="118"/>
      <c r="BT108" s="118"/>
      <c r="BU108" s="118"/>
      <c r="BV108" s="118"/>
      <c r="BW108" s="118"/>
      <c r="BX108" s="118"/>
      <c r="BY108" s="118"/>
      <c r="BZ108" s="118"/>
      <c r="CA108" s="118"/>
      <c r="CB108" s="118"/>
      <c r="CC108" s="118"/>
      <c r="CD108" s="118"/>
      <c r="CE108" s="119"/>
      <c r="DQ108" s="473" t="s">
        <v>172</v>
      </c>
      <c r="DR108" s="209">
        <v>43.579081179611663</v>
      </c>
      <c r="DS108" s="209">
        <v>16.421144390955504</v>
      </c>
      <c r="DT108" s="209">
        <v>5.2199246709999993</v>
      </c>
      <c r="DU108" s="209">
        <v>7.2328419720000001</v>
      </c>
      <c r="DV108" s="209">
        <v>9.5492868550000001</v>
      </c>
      <c r="DW108" s="209">
        <v>11.122515732057417</v>
      </c>
      <c r="DX108" s="209">
        <v>12.167037061879299</v>
      </c>
      <c r="DY108" s="210">
        <v>8.5183342340791715</v>
      </c>
      <c r="DZ108" s="209">
        <v>11.992551975</v>
      </c>
      <c r="EA108" s="209">
        <v>11.938795620355831</v>
      </c>
      <c r="EB108" s="209">
        <v>12.384045129999999</v>
      </c>
      <c r="EC108" s="209">
        <v>7.5029372879999991</v>
      </c>
      <c r="ED108" s="209">
        <v>3.6189659999999999</v>
      </c>
      <c r="EE108" s="474">
        <v>10.7</v>
      </c>
      <c r="FP108" s="413"/>
      <c r="FQ108" s="413"/>
      <c r="FR108" s="413"/>
      <c r="FS108" s="413"/>
      <c r="FT108" s="413"/>
      <c r="FU108" s="413"/>
      <c r="FV108" s="413"/>
      <c r="FW108" s="413"/>
      <c r="FX108" s="413"/>
      <c r="FY108" s="413"/>
    </row>
    <row r="109" spans="1:181">
      <c r="A109" s="117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9"/>
      <c r="T109" s="117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9"/>
      <c r="AO109" s="117"/>
      <c r="AP109" s="118"/>
      <c r="AQ109" s="118"/>
      <c r="AR109" s="118"/>
      <c r="AS109" s="118"/>
      <c r="AT109" s="118"/>
      <c r="AU109" s="118"/>
      <c r="AV109" s="118"/>
      <c r="AW109" s="118"/>
      <c r="AX109" s="118"/>
      <c r="AY109" s="118"/>
      <c r="AZ109" s="118"/>
      <c r="BA109" s="118"/>
      <c r="BB109" s="118"/>
      <c r="BC109" s="118"/>
      <c r="BD109" s="118"/>
      <c r="BE109" s="118"/>
      <c r="BF109" s="118"/>
      <c r="BG109" s="118"/>
      <c r="BH109" s="118"/>
      <c r="BI109" s="118"/>
      <c r="BJ109" s="118"/>
      <c r="BK109" s="118"/>
      <c r="BL109" s="119"/>
      <c r="BO109" s="117"/>
      <c r="BP109" s="118"/>
      <c r="BQ109" s="118"/>
      <c r="BR109" s="118"/>
      <c r="BS109" s="118"/>
      <c r="BT109" s="118"/>
      <c r="BU109" s="118"/>
      <c r="BV109" s="118"/>
      <c r="BW109" s="118"/>
      <c r="BX109" s="118"/>
      <c r="BY109" s="118"/>
      <c r="BZ109" s="118"/>
      <c r="CA109" s="118"/>
      <c r="CB109" s="118"/>
      <c r="CC109" s="118"/>
      <c r="CD109" s="118"/>
      <c r="CE109" s="119"/>
      <c r="DQ109" s="473" t="s">
        <v>246</v>
      </c>
      <c r="DR109" s="209">
        <v>13.235128358252428</v>
      </c>
      <c r="DS109" s="209">
        <v>5.5421362319474836</v>
      </c>
      <c r="DT109" s="209">
        <v>3.0498436279999996</v>
      </c>
      <c r="DU109" s="209">
        <v>3.3485379500000003</v>
      </c>
      <c r="DV109" s="209">
        <v>4.7243840229999998</v>
      </c>
      <c r="DW109" s="209">
        <v>5.9732028931419467</v>
      </c>
      <c r="DX109" s="209">
        <v>6.2897394980901451</v>
      </c>
      <c r="DY109" s="210">
        <v>5.0924824225473317</v>
      </c>
      <c r="DZ109" s="209">
        <v>7.7193438000000008</v>
      </c>
      <c r="EA109" s="209">
        <v>6.7680709987058494</v>
      </c>
      <c r="EB109" s="209">
        <v>5.1425272150000003</v>
      </c>
      <c r="EC109" s="209">
        <v>5.6515631519999996</v>
      </c>
      <c r="ED109" s="209">
        <v>3.0298319999999999</v>
      </c>
      <c r="EE109" s="474">
        <v>5.7</v>
      </c>
      <c r="FP109" s="413"/>
      <c r="FQ109" s="413"/>
      <c r="FR109" s="413"/>
      <c r="FS109" s="413"/>
      <c r="FT109" s="413"/>
      <c r="FU109" s="413"/>
      <c r="FV109" s="413"/>
      <c r="FW109" s="413"/>
      <c r="FX109" s="413"/>
      <c r="FY109" s="413"/>
    </row>
    <row r="110" spans="1:181">
      <c r="A110" s="117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9"/>
      <c r="T110" s="117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  <c r="AL110" s="118"/>
      <c r="AM110" s="119"/>
      <c r="AO110" s="117"/>
      <c r="AP110" s="118"/>
      <c r="AQ110" s="118"/>
      <c r="AR110" s="118"/>
      <c r="AS110" s="118"/>
      <c r="AT110" s="118"/>
      <c r="AU110" s="118"/>
      <c r="AV110" s="118"/>
      <c r="AW110" s="118"/>
      <c r="AX110" s="118"/>
      <c r="AY110" s="118"/>
      <c r="AZ110" s="118"/>
      <c r="BA110" s="118"/>
      <c r="BB110" s="118"/>
      <c r="BC110" s="118"/>
      <c r="BD110" s="118"/>
      <c r="BE110" s="118"/>
      <c r="BF110" s="118"/>
      <c r="BG110" s="118"/>
      <c r="BH110" s="118"/>
      <c r="BI110" s="118"/>
      <c r="BJ110" s="118"/>
      <c r="BK110" s="118"/>
      <c r="BL110" s="119"/>
      <c r="BO110" s="117"/>
      <c r="BP110" s="118"/>
      <c r="BQ110" s="118"/>
      <c r="BR110" s="118"/>
      <c r="BS110" s="118"/>
      <c r="BT110" s="118"/>
      <c r="BU110" s="118"/>
      <c r="BV110" s="118"/>
      <c r="BW110" s="118"/>
      <c r="BX110" s="118"/>
      <c r="BY110" s="118"/>
      <c r="BZ110" s="118"/>
      <c r="CA110" s="118"/>
      <c r="CB110" s="118"/>
      <c r="CC110" s="118"/>
      <c r="CD110" s="118"/>
      <c r="CE110" s="119"/>
      <c r="DQ110" s="473" t="s">
        <v>200</v>
      </c>
      <c r="DR110" s="209">
        <v>4.0351001092233014</v>
      </c>
      <c r="DS110" s="209">
        <v>1.5394822866520785</v>
      </c>
      <c r="DT110" s="209">
        <v>0.87976258499999993</v>
      </c>
      <c r="DU110" s="209">
        <v>0</v>
      </c>
      <c r="DV110" s="209">
        <v>0</v>
      </c>
      <c r="DW110" s="209">
        <v>0</v>
      </c>
      <c r="DX110" s="209">
        <v>1.3404362864782278</v>
      </c>
      <c r="DY110" s="210">
        <v>2.0369929690189328</v>
      </c>
      <c r="DZ110" s="209">
        <v>1.6541451</v>
      </c>
      <c r="EA110" s="209">
        <v>1.9735465086320505</v>
      </c>
      <c r="EB110" s="209">
        <v>1.5742430249999999</v>
      </c>
      <c r="EC110" s="209">
        <v>2.9232223199999998</v>
      </c>
      <c r="ED110" s="209">
        <v>0.63121499999999997</v>
      </c>
      <c r="EE110" s="474">
        <v>2.5</v>
      </c>
      <c r="FP110" s="413"/>
      <c r="FQ110" s="413"/>
      <c r="FR110" s="413"/>
      <c r="FS110" s="413"/>
      <c r="FT110" s="413"/>
      <c r="FU110" s="413"/>
      <c r="FV110" s="413"/>
      <c r="FW110" s="413"/>
      <c r="FX110" s="413"/>
      <c r="FY110" s="413"/>
    </row>
    <row r="111" spans="1:181">
      <c r="A111" s="117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9"/>
      <c r="T111" s="117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  <c r="AL111" s="118"/>
      <c r="AM111" s="119"/>
      <c r="AO111" s="117"/>
      <c r="AP111" s="118"/>
      <c r="AQ111" s="118"/>
      <c r="AR111" s="118"/>
      <c r="AS111" s="118"/>
      <c r="AT111" s="118"/>
      <c r="AU111" s="118"/>
      <c r="AV111" s="118"/>
      <c r="AW111" s="118"/>
      <c r="AX111" s="118"/>
      <c r="AY111" s="118"/>
      <c r="AZ111" s="118"/>
      <c r="BA111" s="118"/>
      <c r="BB111" s="118"/>
      <c r="BC111" s="118"/>
      <c r="BD111" s="118"/>
      <c r="BE111" s="118"/>
      <c r="BF111" s="118"/>
      <c r="BG111" s="118"/>
      <c r="BH111" s="118"/>
      <c r="BI111" s="118"/>
      <c r="BJ111" s="118"/>
      <c r="BK111" s="118"/>
      <c r="BL111" s="119"/>
      <c r="BO111" s="117"/>
      <c r="BP111" s="118"/>
      <c r="BQ111" s="118"/>
      <c r="BR111" s="118"/>
      <c r="BS111" s="118"/>
      <c r="BT111" s="118"/>
      <c r="BU111" s="118"/>
      <c r="BV111" s="118"/>
      <c r="BW111" s="118"/>
      <c r="BX111" s="118"/>
      <c r="BY111" s="118"/>
      <c r="BZ111" s="118"/>
      <c r="CA111" s="118"/>
      <c r="CB111" s="118"/>
      <c r="CC111" s="118"/>
      <c r="CD111" s="118"/>
      <c r="CE111" s="119"/>
      <c r="DQ111" s="473" t="s">
        <v>215</v>
      </c>
      <c r="DR111" s="209">
        <v>2.0175500546116507</v>
      </c>
      <c r="DS111" s="209">
        <v>0.92368937199124723</v>
      </c>
      <c r="DT111" s="209">
        <v>0.41055587300000002</v>
      </c>
      <c r="DU111" s="209">
        <v>0.46879531299999999</v>
      </c>
      <c r="DV111" s="209">
        <v>0</v>
      </c>
      <c r="DW111" s="209">
        <v>1.0298625677830944</v>
      </c>
      <c r="DX111" s="209">
        <v>1.031104835752483</v>
      </c>
      <c r="DY111" s="210">
        <v>0.83331530550774524</v>
      </c>
      <c r="DZ111" s="209">
        <v>0.96491797500000009</v>
      </c>
      <c r="EA111" s="209">
        <v>1.0554269868502903</v>
      </c>
      <c r="EB111" s="209">
        <v>0.62969721000000001</v>
      </c>
      <c r="EC111" s="209">
        <v>0.77952595199999997</v>
      </c>
      <c r="ED111" s="209">
        <v>0.29456700000000002</v>
      </c>
      <c r="EE111" s="474">
        <v>0.8</v>
      </c>
      <c r="FP111" s="413"/>
      <c r="FQ111" s="413"/>
      <c r="FR111" s="413"/>
      <c r="FS111" s="413"/>
      <c r="FT111" s="413"/>
      <c r="FU111" s="413"/>
      <c r="FV111" s="413"/>
      <c r="FW111" s="413"/>
      <c r="FX111" s="413"/>
      <c r="FY111" s="413"/>
    </row>
    <row r="112" spans="1:181" ht="16" thickBot="1">
      <c r="A112" s="192"/>
      <c r="B112" s="182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93"/>
      <c r="T112" s="192"/>
      <c r="U112" s="182"/>
      <c r="V112" s="182"/>
      <c r="W112" s="182"/>
      <c r="X112" s="182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93"/>
      <c r="AO112" s="192"/>
      <c r="AP112" s="182"/>
      <c r="AQ112" s="182"/>
      <c r="AR112" s="182"/>
      <c r="AS112" s="182"/>
      <c r="AT112" s="182"/>
      <c r="AU112" s="182"/>
      <c r="AV112" s="182"/>
      <c r="AW112" s="182"/>
      <c r="AX112" s="182"/>
      <c r="AY112" s="182"/>
      <c r="AZ112" s="182"/>
      <c r="BA112" s="182"/>
      <c r="BB112" s="182"/>
      <c r="BC112" s="182"/>
      <c r="BD112" s="182"/>
      <c r="BE112" s="182"/>
      <c r="BF112" s="182"/>
      <c r="BG112" s="182"/>
      <c r="BH112" s="182"/>
      <c r="BI112" s="182"/>
      <c r="BJ112" s="182"/>
      <c r="BK112" s="182"/>
      <c r="BL112" s="193"/>
      <c r="BO112" s="117"/>
      <c r="BP112" s="118"/>
      <c r="BQ112" s="118"/>
      <c r="BR112" s="118"/>
      <c r="BS112" s="118"/>
      <c r="BT112" s="118"/>
      <c r="BU112" s="118"/>
      <c r="BV112" s="118"/>
      <c r="BW112" s="118"/>
      <c r="BX112" s="118"/>
      <c r="BY112" s="118"/>
      <c r="BZ112" s="118"/>
      <c r="CA112" s="118"/>
      <c r="CB112" s="118"/>
      <c r="CC112" s="118"/>
      <c r="CD112" s="118"/>
      <c r="CE112" s="119"/>
      <c r="DQ112" s="473" t="s">
        <v>350</v>
      </c>
      <c r="DR112" s="209">
        <v>0.56491401529126228</v>
      </c>
      <c r="DS112" s="209">
        <v>0.41052860977388766</v>
      </c>
      <c r="DT112" s="209">
        <v>0</v>
      </c>
      <c r="DU112" s="209">
        <v>1.138502903</v>
      </c>
      <c r="DV112" s="209">
        <v>0</v>
      </c>
      <c r="DW112" s="209">
        <v>1.4418075948963318</v>
      </c>
      <c r="DX112" s="209">
        <v>0</v>
      </c>
      <c r="DY112" s="210">
        <v>1.1110870740103267</v>
      </c>
      <c r="DZ112" s="209">
        <v>1.516299675</v>
      </c>
      <c r="EA112" s="209">
        <v>1.4379436130152881</v>
      </c>
      <c r="EB112" s="209">
        <v>1.3643439549999998</v>
      </c>
      <c r="EC112" s="209">
        <v>2.1436963680000001</v>
      </c>
      <c r="ED112" s="209">
        <v>0.92578199999999999</v>
      </c>
      <c r="EE112" s="474"/>
      <c r="FP112" s="413"/>
      <c r="FQ112" s="413"/>
      <c r="FR112" s="413"/>
      <c r="FS112" s="413"/>
      <c r="FT112" s="413"/>
      <c r="FU112" s="413"/>
      <c r="FV112" s="413"/>
      <c r="FW112" s="413"/>
      <c r="FX112" s="413"/>
      <c r="FY112" s="413"/>
    </row>
    <row r="113" spans="1:181">
      <c r="BO113" s="117"/>
      <c r="BP113" s="118"/>
      <c r="BQ113" s="118"/>
      <c r="BR113" s="118"/>
      <c r="BS113" s="118"/>
      <c r="BT113" s="118"/>
      <c r="BU113" s="118"/>
      <c r="BV113" s="118"/>
      <c r="BW113" s="118"/>
      <c r="BX113" s="118"/>
      <c r="BY113" s="118"/>
      <c r="BZ113" s="118"/>
      <c r="CA113" s="118"/>
      <c r="CB113" s="118"/>
      <c r="CC113" s="118"/>
      <c r="CD113" s="118"/>
      <c r="CE113" s="119"/>
      <c r="DQ113" s="473" t="s">
        <v>351</v>
      </c>
      <c r="DR113" s="209">
        <v>0</v>
      </c>
      <c r="DS113" s="209">
        <v>0</v>
      </c>
      <c r="DT113" s="209">
        <v>0.11730167799999999</v>
      </c>
      <c r="DU113" s="209">
        <v>0</v>
      </c>
      <c r="DV113" s="209">
        <v>0</v>
      </c>
      <c r="DW113" s="209">
        <v>0</v>
      </c>
      <c r="DX113" s="209">
        <v>0</v>
      </c>
      <c r="DY113" s="210">
        <v>0</v>
      </c>
      <c r="DZ113" s="209">
        <v>0</v>
      </c>
      <c r="EA113" s="209">
        <v>-2.0399474794412231E-2</v>
      </c>
      <c r="EB113" s="209">
        <v>0.314848605</v>
      </c>
      <c r="EC113" s="209">
        <v>0.19488148799999999</v>
      </c>
      <c r="ED113" s="209">
        <v>8.4162000000000015E-2</v>
      </c>
      <c r="EE113" s="474"/>
      <c r="FP113" s="413"/>
      <c r="FQ113" s="413"/>
      <c r="FR113" s="413"/>
      <c r="FS113" s="413"/>
      <c r="FT113" s="413"/>
      <c r="FU113" s="413"/>
      <c r="FV113" s="413"/>
      <c r="FW113" s="413"/>
      <c r="FX113" s="413"/>
      <c r="FY113" s="413"/>
    </row>
    <row r="114" spans="1:181">
      <c r="BO114" s="117"/>
      <c r="BP114" s="118"/>
      <c r="BQ114" s="118"/>
      <c r="BR114" s="118"/>
      <c r="BS114" s="118"/>
      <c r="BT114" s="118"/>
      <c r="BU114" s="118"/>
      <c r="BV114" s="118"/>
      <c r="BW114" s="118"/>
      <c r="BX114" s="118"/>
      <c r="BY114" s="118"/>
      <c r="BZ114" s="118"/>
      <c r="CA114" s="118"/>
      <c r="CB114" s="118"/>
      <c r="CC114" s="118"/>
      <c r="CD114" s="118"/>
      <c r="CE114" s="119"/>
      <c r="DQ114" s="473" t="s">
        <v>174</v>
      </c>
      <c r="DR114" s="209">
        <v>29.779038806067962</v>
      </c>
      <c r="DS114" s="209">
        <v>10.67374385412108</v>
      </c>
      <c r="DT114" s="209">
        <v>8.8562766889999995</v>
      </c>
      <c r="DU114" s="209">
        <v>5.4916022380000005</v>
      </c>
      <c r="DV114" s="209">
        <v>9.2477304280000094</v>
      </c>
      <c r="DW114" s="209">
        <v>12.049392043062202</v>
      </c>
      <c r="DX114" s="209">
        <v>12.68258947975554</v>
      </c>
      <c r="DY114" s="210">
        <v>18.888480258175555</v>
      </c>
      <c r="DZ114" s="209">
        <v>12.95746995</v>
      </c>
      <c r="EA114" s="209">
        <v>9.9905967971640433</v>
      </c>
      <c r="EB114" s="209">
        <v>12.680278007712081</v>
      </c>
      <c r="EC114" s="209">
        <v>10.913363327999999</v>
      </c>
      <c r="ED114" s="209">
        <v>1.556997</v>
      </c>
      <c r="EE114" s="474">
        <v>8.6999999999999993</v>
      </c>
      <c r="FP114" s="413"/>
      <c r="FQ114" s="413"/>
      <c r="FR114" s="413"/>
      <c r="FS114" s="413"/>
      <c r="FT114" s="413"/>
      <c r="FU114" s="413"/>
      <c r="FV114" s="413"/>
      <c r="FW114" s="413"/>
      <c r="FX114" s="413"/>
      <c r="FY114" s="413"/>
    </row>
    <row r="115" spans="1:181">
      <c r="A115" s="98" t="s">
        <v>316</v>
      </c>
      <c r="AM115" s="991"/>
      <c r="AN115" s="991"/>
      <c r="AO115" s="991"/>
      <c r="AP115" s="991"/>
      <c r="AQ115" s="991"/>
      <c r="AR115" s="415"/>
      <c r="AS115" s="415"/>
      <c r="AT115" s="415"/>
      <c r="AU115" s="415"/>
      <c r="AV115" s="415"/>
      <c r="AW115" s="554"/>
      <c r="AY115" s="415"/>
      <c r="AZ115" s="415"/>
      <c r="BA115" s="415"/>
      <c r="BB115" s="415"/>
      <c r="BC115" s="415"/>
      <c r="BD115" s="415"/>
      <c r="BE115" s="415"/>
      <c r="BF115" s="415"/>
      <c r="BG115" s="415"/>
      <c r="BH115" s="415"/>
      <c r="BI115" s="415"/>
      <c r="BJ115" s="415"/>
      <c r="BK115" s="415"/>
      <c r="BL115" s="415"/>
      <c r="BO115" s="117"/>
      <c r="BP115" s="118"/>
      <c r="BQ115" s="118"/>
      <c r="BR115" s="118"/>
      <c r="BS115" s="118"/>
      <c r="BT115" s="118"/>
      <c r="BU115" s="118"/>
      <c r="BV115" s="118"/>
      <c r="BW115" s="118"/>
      <c r="BX115" s="118"/>
      <c r="BY115" s="118"/>
      <c r="BZ115" s="118"/>
      <c r="CA115" s="118"/>
      <c r="CB115" s="118"/>
      <c r="CC115" s="118"/>
      <c r="CD115" s="118"/>
      <c r="CE115" s="119"/>
      <c r="DQ115" s="475" t="s">
        <v>352</v>
      </c>
      <c r="DR115" s="476">
        <f>SUM(DR104:DR114)</f>
        <v>332.49224900000007</v>
      </c>
      <c r="DS115" s="476">
        <f t="shared" ref="DS115:ED115" si="232">SUM(DS104:DS114)</f>
        <v>140.70868100000001</v>
      </c>
      <c r="DT115" s="476">
        <f t="shared" si="232"/>
        <v>58.709489838999993</v>
      </c>
      <c r="DU115" s="476">
        <f t="shared" si="232"/>
        <v>66.903788241000015</v>
      </c>
      <c r="DV115" s="476">
        <f t="shared" si="232"/>
        <v>100.51880900000002</v>
      </c>
      <c r="DW115" s="476">
        <f t="shared" si="232"/>
        <v>129.144766</v>
      </c>
      <c r="DX115" s="476">
        <f t="shared" si="232"/>
        <v>134.97162299999999</v>
      </c>
      <c r="DY115" s="477">
        <f t="shared" si="232"/>
        <v>107.59026499999999</v>
      </c>
      <c r="DZ115" s="476">
        <f t="shared" si="232"/>
        <v>120.339056025</v>
      </c>
      <c r="EA115" s="476">
        <f t="shared" si="232"/>
        <v>147.00507516728791</v>
      </c>
      <c r="EB115" s="476">
        <f t="shared" si="232"/>
        <v>105.03586880771208</v>
      </c>
      <c r="EC115" s="476">
        <f t="shared" si="232"/>
        <v>97.34330325599997</v>
      </c>
      <c r="ED115" s="476">
        <f t="shared" si="232"/>
        <v>42.038919</v>
      </c>
      <c r="EE115" s="478">
        <f>SUM(EE104:EE114)</f>
        <v>96.1</v>
      </c>
      <c r="FP115" s="413"/>
      <c r="FQ115" s="413"/>
      <c r="FR115" s="413"/>
      <c r="FS115" s="413"/>
      <c r="FT115" s="413"/>
      <c r="FU115" s="413"/>
      <c r="FV115" s="413"/>
      <c r="FW115" s="413"/>
      <c r="FX115" s="413"/>
      <c r="FY115" s="413"/>
    </row>
    <row r="116" spans="1:181" ht="16" thickBot="1">
      <c r="D116" s="126"/>
      <c r="G116" s="126"/>
      <c r="J116" s="126"/>
      <c r="M116" s="126"/>
      <c r="P116" s="126"/>
      <c r="S116" s="126"/>
      <c r="V116" s="126"/>
      <c r="Y116" s="126"/>
      <c r="AB116" s="126"/>
      <c r="AE116" s="126"/>
      <c r="AH116" s="126"/>
      <c r="AK116" s="126"/>
      <c r="AN116" s="126"/>
      <c r="AQ116" s="126"/>
      <c r="AR116" s="126"/>
      <c r="AS116" s="126"/>
      <c r="AT116" s="126"/>
      <c r="AU116" s="126"/>
      <c r="AV116" s="126"/>
      <c r="AW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  <c r="BI116" s="126"/>
      <c r="BJ116" s="126"/>
      <c r="BK116" s="126"/>
      <c r="BL116" s="126"/>
      <c r="BO116" s="117"/>
      <c r="BP116" s="118"/>
      <c r="BQ116" s="118"/>
      <c r="BR116" s="118"/>
      <c r="BS116" s="118"/>
      <c r="BT116" s="118"/>
      <c r="BU116" s="118"/>
      <c r="BV116" s="118"/>
      <c r="BW116" s="118"/>
      <c r="BX116" s="118"/>
      <c r="BY116" s="118"/>
      <c r="BZ116" s="118"/>
      <c r="CA116" s="118"/>
      <c r="CB116" s="118"/>
      <c r="CC116" s="118"/>
      <c r="CD116" s="118"/>
      <c r="CE116" s="119"/>
      <c r="DQ116" s="6"/>
      <c r="DY116" s="115"/>
      <c r="EE116" s="116"/>
      <c r="FP116" s="413"/>
      <c r="FQ116" s="413"/>
      <c r="FR116" s="413"/>
      <c r="FS116" s="413"/>
      <c r="FT116" s="413"/>
      <c r="FU116" s="413"/>
      <c r="FV116" s="413"/>
      <c r="FW116" s="413"/>
      <c r="FX116" s="413"/>
      <c r="FY116" s="413"/>
    </row>
    <row r="117" spans="1:181" ht="18" customHeight="1">
      <c r="A117" s="327" t="s">
        <v>286</v>
      </c>
      <c r="B117" s="101">
        <v>39448</v>
      </c>
      <c r="C117" s="101">
        <v>39479</v>
      </c>
      <c r="D117" s="101">
        <v>39508</v>
      </c>
      <c r="E117" s="101">
        <v>39539</v>
      </c>
      <c r="F117" s="101">
        <v>39569</v>
      </c>
      <c r="G117" s="101">
        <v>39600</v>
      </c>
      <c r="H117" s="101">
        <v>39630</v>
      </c>
      <c r="I117" s="101">
        <v>39661</v>
      </c>
      <c r="J117" s="101">
        <v>39692</v>
      </c>
      <c r="K117" s="101">
        <v>39722</v>
      </c>
      <c r="L117" s="101">
        <v>39753</v>
      </c>
      <c r="M117" s="102">
        <v>39783</v>
      </c>
      <c r="N117" s="101">
        <v>39814</v>
      </c>
      <c r="O117" s="101">
        <v>39845</v>
      </c>
      <c r="P117" s="101">
        <v>39873</v>
      </c>
      <c r="Q117" s="101">
        <v>39904</v>
      </c>
      <c r="R117" s="101">
        <v>39934</v>
      </c>
      <c r="S117" s="101">
        <v>39965</v>
      </c>
      <c r="T117" s="101">
        <v>39995</v>
      </c>
      <c r="U117" s="101">
        <v>40026</v>
      </c>
      <c r="V117" s="101">
        <v>40057</v>
      </c>
      <c r="W117" s="101">
        <v>40087</v>
      </c>
      <c r="X117" s="101">
        <v>40118</v>
      </c>
      <c r="Y117" s="102">
        <v>40148</v>
      </c>
      <c r="Z117" s="101">
        <v>40179</v>
      </c>
      <c r="AA117" s="101">
        <v>40210</v>
      </c>
      <c r="AB117" s="101">
        <v>40238</v>
      </c>
      <c r="AC117" s="101">
        <v>40269</v>
      </c>
      <c r="AD117" s="101">
        <v>40299</v>
      </c>
      <c r="AE117" s="101">
        <v>40330</v>
      </c>
      <c r="AF117" s="101">
        <v>40360</v>
      </c>
      <c r="AG117" s="101">
        <v>40391</v>
      </c>
      <c r="AH117" s="101">
        <v>40422</v>
      </c>
      <c r="AI117" s="101">
        <v>40452</v>
      </c>
      <c r="AJ117" s="101">
        <v>40483</v>
      </c>
      <c r="AK117" s="102">
        <v>40513</v>
      </c>
      <c r="AL117" s="101">
        <v>40544</v>
      </c>
      <c r="AM117" s="101">
        <v>40575</v>
      </c>
      <c r="AN117" s="101">
        <v>40603</v>
      </c>
      <c r="AO117" s="101">
        <v>40634</v>
      </c>
      <c r="AP117" s="101">
        <v>40664</v>
      </c>
      <c r="AQ117" s="101">
        <v>40695</v>
      </c>
      <c r="AR117" s="101">
        <v>40725</v>
      </c>
      <c r="AS117" s="101">
        <v>40756</v>
      </c>
      <c r="AT117" s="101">
        <v>40787</v>
      </c>
      <c r="AU117" s="101">
        <v>40817</v>
      </c>
      <c r="AV117" s="101">
        <v>40848</v>
      </c>
      <c r="AW117" s="102">
        <v>40878</v>
      </c>
      <c r="AX117" s="101">
        <v>40909</v>
      </c>
      <c r="AY117" s="101">
        <v>40940</v>
      </c>
      <c r="AZ117" s="101">
        <v>40969</v>
      </c>
      <c r="BA117" s="101">
        <v>41000</v>
      </c>
      <c r="BB117" s="101">
        <v>41030</v>
      </c>
      <c r="BC117" s="101">
        <v>41061</v>
      </c>
      <c r="BD117" s="101">
        <v>41091</v>
      </c>
      <c r="BE117" s="101">
        <v>41122</v>
      </c>
      <c r="BF117" s="101">
        <v>41153</v>
      </c>
      <c r="BG117" s="101">
        <v>41183</v>
      </c>
      <c r="BH117" s="101">
        <v>41214</v>
      </c>
      <c r="BI117" s="102">
        <v>41244</v>
      </c>
      <c r="BJ117" s="101">
        <v>41275</v>
      </c>
      <c r="BK117" s="101">
        <v>41306</v>
      </c>
      <c r="BL117" s="101">
        <v>41334</v>
      </c>
      <c r="BO117" s="117"/>
      <c r="BP117" s="118"/>
      <c r="BQ117" s="118"/>
      <c r="BR117" s="118"/>
      <c r="BS117" s="118"/>
      <c r="BT117" s="118"/>
      <c r="BU117" s="118"/>
      <c r="BV117" s="118"/>
      <c r="BW117" s="118"/>
      <c r="BX117" s="118"/>
      <c r="BY117" s="118"/>
      <c r="BZ117" s="118"/>
      <c r="CA117" s="118"/>
      <c r="CB117" s="118"/>
      <c r="CC117" s="118"/>
      <c r="CD117" s="118"/>
      <c r="CE117" s="119"/>
      <c r="DQ117" s="473" t="s">
        <v>348</v>
      </c>
      <c r="DR117" s="173">
        <v>0.23300970873786411</v>
      </c>
      <c r="DS117" s="173">
        <v>0.24799416484318013</v>
      </c>
      <c r="DT117" s="479">
        <v>0.22</v>
      </c>
      <c r="DU117" s="479">
        <v>0.27</v>
      </c>
      <c r="DV117" s="173">
        <v>0.24099999999999999</v>
      </c>
      <c r="DW117" s="173">
        <v>0.23684210526315791</v>
      </c>
      <c r="DX117" s="173">
        <v>0.2521008403361345</v>
      </c>
      <c r="DY117" s="205">
        <v>0.22289156626506021</v>
      </c>
      <c r="DZ117" s="479">
        <v>0.27400000000000002</v>
      </c>
      <c r="EA117" s="479">
        <v>0.27400000000000002</v>
      </c>
      <c r="EB117" s="173">
        <v>0.25700000000000001</v>
      </c>
      <c r="EC117" s="173">
        <v>0.23199999999999998</v>
      </c>
      <c r="ED117" s="173">
        <v>0.29399999999999998</v>
      </c>
      <c r="EE117" s="480">
        <f>EE104/EE$115</f>
        <v>0.2320499479708637</v>
      </c>
      <c r="FP117" s="413"/>
      <c r="FQ117" s="413"/>
      <c r="FR117" s="413"/>
      <c r="FS117" s="413"/>
      <c r="FT117" s="413"/>
      <c r="FU117" s="413"/>
      <c r="FV117" s="413"/>
      <c r="FW117" s="413"/>
      <c r="FX117" s="413"/>
      <c r="FY117" s="413"/>
    </row>
    <row r="118" spans="1:181">
      <c r="A118" s="328"/>
      <c r="B118" s="329"/>
      <c r="C118" s="329"/>
      <c r="D118" s="329"/>
      <c r="E118" s="329"/>
      <c r="F118" s="329"/>
      <c r="G118" s="329"/>
      <c r="H118" s="329"/>
      <c r="I118" s="329"/>
      <c r="J118" s="329"/>
      <c r="K118" s="329"/>
      <c r="L118" s="329"/>
      <c r="M118" s="330"/>
      <c r="N118" s="329"/>
      <c r="O118" s="329"/>
      <c r="P118" s="329"/>
      <c r="Q118" s="329"/>
      <c r="R118" s="329"/>
      <c r="S118" s="329"/>
      <c r="T118" s="329"/>
      <c r="U118" s="329"/>
      <c r="V118" s="329"/>
      <c r="W118" s="329"/>
      <c r="X118" s="329"/>
      <c r="Y118" s="330"/>
      <c r="Z118" s="329"/>
      <c r="AA118" s="329"/>
      <c r="AB118" s="329"/>
      <c r="AC118" s="329"/>
      <c r="AD118" s="329"/>
      <c r="AE118" s="329"/>
      <c r="AF118" s="329"/>
      <c r="AG118" s="329"/>
      <c r="AH118" s="329"/>
      <c r="AI118" s="329"/>
      <c r="AJ118" s="329"/>
      <c r="AK118" s="330"/>
      <c r="AL118" s="329"/>
      <c r="AM118" s="329"/>
      <c r="AN118" s="329"/>
      <c r="AO118" s="329"/>
      <c r="AP118" s="329"/>
      <c r="AQ118" s="329"/>
      <c r="AR118" s="329"/>
      <c r="AS118" s="329"/>
      <c r="AT118" s="329"/>
      <c r="AU118" s="329"/>
      <c r="AV118" s="329"/>
      <c r="AW118" s="330"/>
      <c r="AX118" s="329"/>
      <c r="AY118" s="329"/>
      <c r="AZ118" s="329"/>
      <c r="BA118" s="329"/>
      <c r="BB118" s="329"/>
      <c r="BC118" s="329"/>
      <c r="BD118" s="329"/>
      <c r="BE118" s="329"/>
      <c r="BF118" s="329"/>
      <c r="BG118" s="329"/>
      <c r="BH118" s="329"/>
      <c r="BI118" s="330"/>
      <c r="BJ118" s="329"/>
      <c r="BK118" s="329"/>
      <c r="BL118" s="329"/>
      <c r="BO118" s="117"/>
      <c r="BP118" s="118"/>
      <c r="BQ118" s="118"/>
      <c r="BR118" s="118"/>
      <c r="BS118" s="118"/>
      <c r="BT118" s="118"/>
      <c r="BU118" s="118"/>
      <c r="BV118" s="118"/>
      <c r="BW118" s="118"/>
      <c r="BX118" s="118"/>
      <c r="BY118" s="118"/>
      <c r="BZ118" s="118"/>
      <c r="CA118" s="118"/>
      <c r="CB118" s="118"/>
      <c r="CC118" s="118"/>
      <c r="CD118" s="118"/>
      <c r="CE118" s="119"/>
      <c r="DQ118" s="473" t="s">
        <v>287</v>
      </c>
      <c r="DR118" s="173">
        <v>9.1990291262135926E-2</v>
      </c>
      <c r="DS118" s="173">
        <v>9.1903719912472634E-2</v>
      </c>
      <c r="DT118" s="479">
        <v>0.111</v>
      </c>
      <c r="DU118" s="479">
        <v>9.5000000000000001E-2</v>
      </c>
      <c r="DV118" s="173">
        <v>9.5000000000000001E-2</v>
      </c>
      <c r="DW118" s="173">
        <v>9.6491228070175447E-2</v>
      </c>
      <c r="DX118" s="173">
        <v>0.10007639419404127</v>
      </c>
      <c r="DY118" s="205">
        <v>9.8106712564543883E-2</v>
      </c>
      <c r="DZ118" s="479">
        <v>0.10100000000000001</v>
      </c>
      <c r="EA118" s="479">
        <v>0.10100000000000001</v>
      </c>
      <c r="EB118" s="173">
        <v>9.9000000000000005E-2</v>
      </c>
      <c r="EC118" s="173">
        <v>0.11</v>
      </c>
      <c r="ED118" s="173">
        <v>0.16800000000000001</v>
      </c>
      <c r="EE118" s="480">
        <f t="shared" ref="EE118:EE127" si="233">EE105/EE$115</f>
        <v>0.13007284079084289</v>
      </c>
      <c r="FP118" s="413"/>
      <c r="FQ118" s="413"/>
      <c r="FR118" s="413"/>
      <c r="FS118" s="413"/>
      <c r="FT118" s="413"/>
      <c r="FU118" s="413"/>
      <c r="FV118" s="413"/>
      <c r="FW118" s="413"/>
      <c r="FX118" s="413"/>
      <c r="FY118" s="413"/>
    </row>
    <row r="119" spans="1:181">
      <c r="A119" s="328" t="s">
        <v>283</v>
      </c>
      <c r="B119" s="329"/>
      <c r="C119" s="329"/>
      <c r="D119" s="329"/>
      <c r="E119" s="329"/>
      <c r="F119" s="329"/>
      <c r="G119" s="329"/>
      <c r="H119" s="331"/>
      <c r="I119" s="331"/>
      <c r="J119" s="331"/>
      <c r="K119" s="331"/>
      <c r="L119" s="331"/>
      <c r="M119" s="332"/>
      <c r="N119" s="331"/>
      <c r="O119" s="331"/>
      <c r="P119" s="331"/>
      <c r="Q119" s="331"/>
      <c r="R119" s="331"/>
      <c r="S119" s="331"/>
      <c r="T119" s="331"/>
      <c r="U119" s="331"/>
      <c r="V119" s="331"/>
      <c r="W119" s="331"/>
      <c r="X119" s="331"/>
      <c r="Y119" s="332"/>
      <c r="Z119" s="331"/>
      <c r="AA119" s="331"/>
      <c r="AB119" s="331"/>
      <c r="AC119" s="331"/>
      <c r="AD119" s="331"/>
      <c r="AE119" s="331"/>
      <c r="AF119" s="331"/>
      <c r="AG119" s="331"/>
      <c r="AH119" s="331"/>
      <c r="AI119" s="331"/>
      <c r="AJ119" s="331"/>
      <c r="AK119" s="332"/>
      <c r="AL119" s="985">
        <f>Annual!BO20-SUM(AQ119:AW119)</f>
        <v>193.42327569999998</v>
      </c>
      <c r="AM119" s="986"/>
      <c r="AN119" s="986"/>
      <c r="AO119" s="986"/>
      <c r="AP119" s="986"/>
      <c r="AQ119" s="356">
        <v>36</v>
      </c>
      <c r="AR119" s="356">
        <v>31</v>
      </c>
      <c r="AS119" s="356">
        <v>26</v>
      </c>
      <c r="AT119" s="356">
        <v>27</v>
      </c>
      <c r="AU119" s="356">
        <v>31</v>
      </c>
      <c r="AV119" s="356">
        <v>30</v>
      </c>
      <c r="AW119" s="583">
        <v>34</v>
      </c>
      <c r="AX119" s="356">
        <v>19</v>
      </c>
      <c r="AY119" s="356">
        <v>22</v>
      </c>
      <c r="AZ119" s="356">
        <f>70-AX119-AY119</f>
        <v>29</v>
      </c>
      <c r="BA119" s="356">
        <v>29</v>
      </c>
      <c r="BB119" s="356">
        <v>30</v>
      </c>
      <c r="BC119" s="356">
        <v>26</v>
      </c>
      <c r="BD119" s="356">
        <v>25</v>
      </c>
      <c r="BE119" s="356">
        <v>21</v>
      </c>
      <c r="BF119" s="356">
        <v>24</v>
      </c>
      <c r="BG119" s="356">
        <v>25</v>
      </c>
      <c r="BH119" s="356"/>
      <c r="BI119" s="359"/>
      <c r="BJ119" s="356"/>
      <c r="BK119" s="356"/>
      <c r="BL119" s="356"/>
      <c r="BN119" s="126"/>
      <c r="BO119" s="117"/>
      <c r="BP119" s="118"/>
      <c r="BQ119" s="118"/>
      <c r="BR119" s="118"/>
      <c r="BS119" s="118"/>
      <c r="BT119" s="118"/>
      <c r="BU119" s="118"/>
      <c r="BV119" s="118"/>
      <c r="BW119" s="118"/>
      <c r="BX119" s="118"/>
      <c r="BY119" s="118"/>
      <c r="BZ119" s="118"/>
      <c r="CA119" s="118"/>
      <c r="CB119" s="118"/>
      <c r="CC119" s="118"/>
      <c r="CD119" s="118"/>
      <c r="CE119" s="119"/>
      <c r="DQ119" s="473" t="s">
        <v>349</v>
      </c>
      <c r="DR119" s="173">
        <v>0.10606796116504856</v>
      </c>
      <c r="DS119" s="173">
        <v>0.1072210065645514</v>
      </c>
      <c r="DT119" s="479">
        <v>0.14599999999999999</v>
      </c>
      <c r="DU119" s="479">
        <v>0.125</v>
      </c>
      <c r="DV119" s="173">
        <v>0.128</v>
      </c>
      <c r="DW119" s="173">
        <v>0.12759170653907498</v>
      </c>
      <c r="DX119" s="173">
        <v>0.1222307104660046</v>
      </c>
      <c r="DY119" s="205">
        <v>0.12048192771084336</v>
      </c>
      <c r="DZ119" s="479">
        <v>0.1</v>
      </c>
      <c r="EA119" s="479">
        <v>0.1</v>
      </c>
      <c r="EB119" s="173">
        <v>0.11899999999999999</v>
      </c>
      <c r="EC119" s="173">
        <v>0.13400000000000001</v>
      </c>
      <c r="ED119" s="173">
        <v>0.16</v>
      </c>
      <c r="EE119" s="480">
        <f t="shared" si="233"/>
        <v>0.13319458896982311</v>
      </c>
      <c r="FP119" s="413"/>
      <c r="FQ119" s="413"/>
      <c r="FR119" s="413"/>
      <c r="FS119" s="413"/>
      <c r="FT119" s="413"/>
      <c r="FU119" s="413"/>
      <c r="FV119" s="413"/>
      <c r="FW119" s="413"/>
      <c r="FX119" s="413"/>
      <c r="FY119" s="413"/>
    </row>
    <row r="120" spans="1:181">
      <c r="A120" s="328" t="s">
        <v>157</v>
      </c>
      <c r="B120" s="331"/>
      <c r="C120" s="331"/>
      <c r="D120" s="331"/>
      <c r="E120" s="331"/>
      <c r="F120" s="331"/>
      <c r="G120" s="331"/>
      <c r="H120" s="331"/>
      <c r="I120" s="331"/>
      <c r="J120" s="331"/>
      <c r="K120" s="331"/>
      <c r="L120" s="331"/>
      <c r="M120" s="332"/>
      <c r="N120" s="356">
        <f t="shared" ref="N120:AU120" si="234">N70</f>
        <v>101.59402799999999</v>
      </c>
      <c r="O120" s="356">
        <f t="shared" si="234"/>
        <v>156.21499999999997</v>
      </c>
      <c r="P120" s="356">
        <f t="shared" si="234"/>
        <v>109.24380000000002</v>
      </c>
      <c r="Q120" s="356">
        <f t="shared" si="234"/>
        <v>73.48439999999998</v>
      </c>
      <c r="R120" s="356">
        <f t="shared" si="234"/>
        <v>57.749999999999979</v>
      </c>
      <c r="S120" s="356">
        <f t="shared" si="234"/>
        <v>42.630800000000008</v>
      </c>
      <c r="T120" s="356">
        <f t="shared" si="234"/>
        <v>29.067399999999999</v>
      </c>
      <c r="U120" s="356">
        <f t="shared" si="234"/>
        <v>4.1495999999999977</v>
      </c>
      <c r="V120" s="356">
        <f t="shared" si="234"/>
        <v>110.93179999999998</v>
      </c>
      <c r="W120" s="356">
        <f t="shared" si="234"/>
        <v>119.85120000000001</v>
      </c>
      <c r="X120" s="356">
        <f t="shared" si="234"/>
        <v>130.33510000000001</v>
      </c>
      <c r="Y120" s="359">
        <f t="shared" si="234"/>
        <v>43.212476000000152</v>
      </c>
      <c r="Z120" s="356">
        <f t="shared" si="234"/>
        <v>71.550000000000011</v>
      </c>
      <c r="AA120" s="356">
        <f t="shared" si="234"/>
        <v>69.595200000000006</v>
      </c>
      <c r="AB120" s="356">
        <f t="shared" si="234"/>
        <v>90.470400000000012</v>
      </c>
      <c r="AC120" s="356">
        <f t="shared" si="234"/>
        <v>82.752799999999979</v>
      </c>
      <c r="AD120" s="356">
        <f t="shared" si="234"/>
        <v>48.757799999999996</v>
      </c>
      <c r="AE120" s="356">
        <f t="shared" si="234"/>
        <v>62.467939660728554</v>
      </c>
      <c r="AF120" s="356">
        <f t="shared" si="234"/>
        <v>64.519199999999998</v>
      </c>
      <c r="AG120" s="356">
        <f t="shared" si="234"/>
        <v>68.123406336299993</v>
      </c>
      <c r="AH120" s="356">
        <f t="shared" si="234"/>
        <v>98.244999999999976</v>
      </c>
      <c r="AI120" s="356">
        <f t="shared" si="234"/>
        <v>15.189399999999985</v>
      </c>
      <c r="AJ120" s="356">
        <f t="shared" si="234"/>
        <v>100.55600000000001</v>
      </c>
      <c r="AK120" s="359">
        <f t="shared" si="234"/>
        <v>38.055852619500001</v>
      </c>
      <c r="AL120" s="356">
        <f t="shared" si="234"/>
        <v>73.006257319199975</v>
      </c>
      <c r="AM120" s="356">
        <f t="shared" si="234"/>
        <v>130.16953916699998</v>
      </c>
      <c r="AN120" s="356">
        <f t="shared" si="234"/>
        <v>30.626382784600011</v>
      </c>
      <c r="AO120" s="356">
        <f t="shared" si="234"/>
        <v>107.13183050130002</v>
      </c>
      <c r="AP120" s="356">
        <f t="shared" si="234"/>
        <v>29.533537576450009</v>
      </c>
      <c r="AQ120" s="356">
        <f t="shared" si="234"/>
        <v>14.393186933980006</v>
      </c>
      <c r="AR120" s="356">
        <f t="shared" si="234"/>
        <v>34.582689280000011</v>
      </c>
      <c r="AS120" s="356">
        <f t="shared" si="234"/>
        <v>36.083372380900016</v>
      </c>
      <c r="AT120" s="356">
        <f t="shared" si="234"/>
        <v>70</v>
      </c>
      <c r="AU120" s="356">
        <f t="shared" si="234"/>
        <v>108.638897892</v>
      </c>
      <c r="AV120" s="356">
        <f>AV70</f>
        <v>96.82870013740002</v>
      </c>
      <c r="AW120" s="583">
        <v>92.398995999999997</v>
      </c>
      <c r="AX120" s="356">
        <f>AX260</f>
        <v>105.09913299999999</v>
      </c>
      <c r="AY120" s="356">
        <f>AY260</f>
        <v>101.19281100000001</v>
      </c>
      <c r="AZ120" s="356">
        <f>AZ9*(1-0.7469)</f>
        <v>95.229055207199977</v>
      </c>
      <c r="BA120" s="356">
        <f>BA9*(1-0.7765)</f>
        <v>82.551266256000005</v>
      </c>
      <c r="BB120" s="356">
        <v>35</v>
      </c>
      <c r="BC120" s="356">
        <f>(1-0.8649)*BC9</f>
        <v>35.20427694</v>
      </c>
      <c r="BD120" s="356">
        <v>43</v>
      </c>
      <c r="BE120" s="356">
        <v>41</v>
      </c>
      <c r="BF120" s="356">
        <v>-8</v>
      </c>
      <c r="BG120" s="356">
        <v>88</v>
      </c>
      <c r="BH120" s="356">
        <f>SUM($AX120:$BG120)/SUM($AX9:$BG9)*BH9</f>
        <v>81.089154857937075</v>
      </c>
      <c r="BI120" s="359">
        <f>SUM($AX120:$BG120)/SUM($AX9:$BG9)*BI9</f>
        <v>72.439055262248417</v>
      </c>
      <c r="BJ120" s="356"/>
      <c r="BK120" s="356"/>
      <c r="BL120" s="356"/>
      <c r="BO120" s="117"/>
      <c r="BP120" s="118"/>
      <c r="BQ120" s="118"/>
      <c r="BR120" s="118"/>
      <c r="BS120" s="118"/>
      <c r="BT120" s="118"/>
      <c r="BU120" s="118"/>
      <c r="BV120" s="118"/>
      <c r="BW120" s="118"/>
      <c r="BX120" s="118"/>
      <c r="BY120" s="118"/>
      <c r="BZ120" s="118"/>
      <c r="CA120" s="118"/>
      <c r="CB120" s="118"/>
      <c r="CC120" s="118"/>
      <c r="CD120" s="118"/>
      <c r="CE120" s="119"/>
      <c r="DQ120" s="473" t="s">
        <v>170</v>
      </c>
      <c r="DR120" s="173">
        <v>0.28859223300970877</v>
      </c>
      <c r="DS120" s="173">
        <v>0.30051057622173594</v>
      </c>
      <c r="DT120" s="479">
        <v>0.20799999999999999</v>
      </c>
      <c r="DU120" s="479">
        <v>0.245</v>
      </c>
      <c r="DV120" s="173">
        <v>0.30199999999999999</v>
      </c>
      <c r="DW120" s="173">
        <v>0.29425837320574161</v>
      </c>
      <c r="DX120" s="173">
        <v>0.27731092436974791</v>
      </c>
      <c r="DY120" s="205">
        <v>0.21944922547332182</v>
      </c>
      <c r="DZ120" s="479">
        <v>0.13100000000000001</v>
      </c>
      <c r="EA120" s="479">
        <v>0.13100000000000001</v>
      </c>
      <c r="EB120" s="173">
        <v>0.20100000000000001</v>
      </c>
      <c r="EC120" s="173">
        <v>0.214</v>
      </c>
      <c r="ED120" s="173">
        <v>0.13600000000000001</v>
      </c>
      <c r="EE120" s="480">
        <f t="shared" si="233"/>
        <v>0.20915712799167538</v>
      </c>
      <c r="FP120" s="413"/>
      <c r="FQ120" s="413"/>
      <c r="FR120" s="413"/>
      <c r="FS120" s="413"/>
      <c r="FT120" s="413"/>
      <c r="FU120" s="413"/>
      <c r="FV120" s="413"/>
      <c r="FW120" s="413"/>
      <c r="FX120" s="413"/>
      <c r="FY120" s="413"/>
    </row>
    <row r="121" spans="1:181">
      <c r="A121" s="333" t="s">
        <v>194</v>
      </c>
      <c r="B121" s="334"/>
      <c r="C121" s="334"/>
      <c r="D121" s="334"/>
      <c r="E121" s="334"/>
      <c r="F121" s="334"/>
      <c r="G121" s="334"/>
      <c r="H121" s="335"/>
      <c r="I121" s="335"/>
      <c r="J121" s="335"/>
      <c r="K121" s="335"/>
      <c r="L121" s="335"/>
      <c r="M121" s="336"/>
      <c r="N121" s="337"/>
      <c r="O121" s="337"/>
      <c r="P121" s="337"/>
      <c r="Q121" s="337"/>
      <c r="R121" s="337"/>
      <c r="S121" s="337"/>
      <c r="T121" s="337"/>
      <c r="U121" s="337"/>
      <c r="V121" s="337"/>
      <c r="W121" s="337"/>
      <c r="X121" s="337"/>
      <c r="Y121" s="338"/>
      <c r="Z121" s="337"/>
      <c r="AA121" s="337"/>
      <c r="AB121" s="337"/>
      <c r="AC121" s="337"/>
      <c r="AD121" s="337"/>
      <c r="AE121" s="337"/>
      <c r="AF121" s="337"/>
      <c r="AG121" s="337"/>
      <c r="AH121" s="337"/>
      <c r="AI121" s="337"/>
      <c r="AJ121" s="337"/>
      <c r="AK121" s="338"/>
      <c r="AL121" s="987">
        <f>SUM(AL119:AP120)</f>
        <v>563.89082304855003</v>
      </c>
      <c r="AM121" s="988"/>
      <c r="AN121" s="988"/>
      <c r="AO121" s="988"/>
      <c r="AP121" s="988"/>
      <c r="AQ121" s="357">
        <f>SUM(AQ119:AQ120)</f>
        <v>50.393186933980004</v>
      </c>
      <c r="AR121" s="357">
        <f>SUM(AR119:AR120)</f>
        <v>65.582689280000011</v>
      </c>
      <c r="AS121" s="357">
        <f>SUM(AS119:AS120)</f>
        <v>62.083372380900016</v>
      </c>
      <c r="AT121" s="357">
        <f>SUM(AT119:AT120)</f>
        <v>97</v>
      </c>
      <c r="AU121" s="357">
        <f>SUM(AU119:AU120)</f>
        <v>139.63889789199999</v>
      </c>
      <c r="AV121" s="357">
        <f t="shared" ref="AV121:BA121" si="235">SUM(AV119:AV120)</f>
        <v>126.82870013740002</v>
      </c>
      <c r="AW121" s="584">
        <f t="shared" si="235"/>
        <v>126.398996</v>
      </c>
      <c r="AX121" s="357">
        <f t="shared" si="235"/>
        <v>124.09913299999999</v>
      </c>
      <c r="AY121" s="357">
        <f t="shared" si="235"/>
        <v>123.19281100000001</v>
      </c>
      <c r="AZ121" s="357">
        <f t="shared" si="235"/>
        <v>124.22905520719998</v>
      </c>
      <c r="BA121" s="357">
        <f t="shared" si="235"/>
        <v>111.55126625600001</v>
      </c>
      <c r="BB121" s="357">
        <f t="shared" ref="BB121:BL121" si="236">SUM(BB119:BB120)</f>
        <v>65</v>
      </c>
      <c r="BC121" s="357">
        <f t="shared" si="236"/>
        <v>61.20427694</v>
      </c>
      <c r="BD121" s="357">
        <f t="shared" si="236"/>
        <v>68</v>
      </c>
      <c r="BE121" s="357">
        <f t="shared" si="236"/>
        <v>62</v>
      </c>
      <c r="BF121" s="357">
        <f t="shared" si="236"/>
        <v>16</v>
      </c>
      <c r="BG121" s="357">
        <f t="shared" si="236"/>
        <v>113</v>
      </c>
      <c r="BH121" s="357">
        <f t="shared" si="236"/>
        <v>81.089154857937075</v>
      </c>
      <c r="BI121" s="546">
        <f t="shared" si="236"/>
        <v>72.439055262248417</v>
      </c>
      <c r="BJ121" s="357">
        <f t="shared" si="236"/>
        <v>0</v>
      </c>
      <c r="BK121" s="357">
        <f t="shared" si="236"/>
        <v>0</v>
      </c>
      <c r="BL121" s="357">
        <f t="shared" si="236"/>
        <v>0</v>
      </c>
      <c r="BO121" s="117"/>
      <c r="BP121" s="118"/>
      <c r="BQ121" s="118"/>
      <c r="BR121" s="118"/>
      <c r="BS121" s="118"/>
      <c r="BT121" s="118"/>
      <c r="BU121" s="118"/>
      <c r="BV121" s="118"/>
      <c r="BW121" s="118"/>
      <c r="BX121" s="118"/>
      <c r="BY121" s="118"/>
      <c r="BZ121" s="118"/>
      <c r="CA121" s="118"/>
      <c r="CB121" s="118"/>
      <c r="CC121" s="118"/>
      <c r="CD121" s="118"/>
      <c r="CE121" s="119"/>
      <c r="DQ121" s="473" t="s">
        <v>172</v>
      </c>
      <c r="DR121" s="173">
        <v>0.13106796116504857</v>
      </c>
      <c r="DS121" s="173">
        <v>0.11670313639679064</v>
      </c>
      <c r="DT121" s="479">
        <v>8.8999999999999996E-2</v>
      </c>
      <c r="DU121" s="479">
        <v>0.108</v>
      </c>
      <c r="DV121" s="173">
        <v>9.5000000000000001E-2</v>
      </c>
      <c r="DW121" s="173">
        <v>8.6124401913875603E-2</v>
      </c>
      <c r="DX121" s="173">
        <v>9.0145148968678396E-2</v>
      </c>
      <c r="DY121" s="205">
        <v>7.9173838209982764E-2</v>
      </c>
      <c r="DZ121" s="479">
        <v>8.6999999999999994E-2</v>
      </c>
      <c r="EA121" s="479">
        <v>8.6999999999999994E-2</v>
      </c>
      <c r="EB121" s="173">
        <v>0.11799999999999999</v>
      </c>
      <c r="EC121" s="173">
        <v>7.6999999999999999E-2</v>
      </c>
      <c r="ED121" s="173">
        <v>8.5999999999999993E-2</v>
      </c>
      <c r="EE121" s="480">
        <f t="shared" si="233"/>
        <v>0.1113423517169615</v>
      </c>
      <c r="FP121" s="413"/>
      <c r="FQ121" s="413"/>
      <c r="FR121" s="413"/>
      <c r="FS121" s="413"/>
      <c r="FT121" s="413"/>
      <c r="FU121" s="413"/>
      <c r="FV121" s="413"/>
      <c r="FW121" s="413"/>
      <c r="FX121" s="413"/>
      <c r="FY121" s="413"/>
    </row>
    <row r="122" spans="1:181">
      <c r="A122" s="328"/>
      <c r="B122" s="329"/>
      <c r="C122" s="329"/>
      <c r="D122" s="329"/>
      <c r="E122" s="329"/>
      <c r="F122" s="329"/>
      <c r="G122" s="329"/>
      <c r="H122" s="331"/>
      <c r="I122" s="331"/>
      <c r="J122" s="331"/>
      <c r="K122" s="331"/>
      <c r="L122" s="331"/>
      <c r="M122" s="332"/>
      <c r="N122" s="331"/>
      <c r="O122" s="331"/>
      <c r="P122" s="331"/>
      <c r="Q122" s="331"/>
      <c r="R122" s="331"/>
      <c r="S122" s="331"/>
      <c r="T122" s="331"/>
      <c r="U122" s="331"/>
      <c r="V122" s="331"/>
      <c r="W122" s="331"/>
      <c r="X122" s="331"/>
      <c r="Y122" s="332"/>
      <c r="Z122" s="331"/>
      <c r="AA122" s="331"/>
      <c r="AB122" s="331"/>
      <c r="AC122" s="331"/>
      <c r="AD122" s="331"/>
      <c r="AE122" s="331"/>
      <c r="AF122" s="331"/>
      <c r="AG122" s="331"/>
      <c r="AH122" s="331"/>
      <c r="AI122" s="331"/>
      <c r="AJ122" s="331"/>
      <c r="AK122" s="332"/>
      <c r="AL122" s="331"/>
      <c r="AM122" s="331"/>
      <c r="AN122" s="331"/>
      <c r="AO122" s="331"/>
      <c r="AP122" s="331"/>
      <c r="AQ122" s="356"/>
      <c r="AR122" s="356"/>
      <c r="AS122" s="356"/>
      <c r="AT122" s="356"/>
      <c r="AU122" s="356"/>
      <c r="AV122" s="356"/>
      <c r="AW122" s="583"/>
      <c r="AX122" s="356"/>
      <c r="AY122" s="356"/>
      <c r="AZ122" s="356"/>
      <c r="BA122" s="356"/>
      <c r="BB122" s="356"/>
      <c r="BC122" s="356"/>
      <c r="BD122" s="356"/>
      <c r="BE122" s="356"/>
      <c r="BF122" s="356"/>
      <c r="BG122" s="356"/>
      <c r="BH122" s="356"/>
      <c r="BI122" s="359"/>
      <c r="BJ122" s="356"/>
      <c r="BK122" s="356"/>
      <c r="BL122" s="356"/>
      <c r="BO122" s="117"/>
      <c r="BP122" s="118"/>
      <c r="BQ122" s="118"/>
      <c r="BR122" s="118"/>
      <c r="BS122" s="118"/>
      <c r="BT122" s="118"/>
      <c r="BU122" s="118"/>
      <c r="BV122" s="118"/>
      <c r="BW122" s="118"/>
      <c r="BX122" s="118"/>
      <c r="BY122" s="118"/>
      <c r="BZ122" s="118"/>
      <c r="CA122" s="118"/>
      <c r="CB122" s="118"/>
      <c r="CC122" s="118"/>
      <c r="CD122" s="118"/>
      <c r="CE122" s="119"/>
      <c r="DQ122" s="473" t="s">
        <v>246</v>
      </c>
      <c r="DR122" s="173">
        <v>3.9805825242718446E-2</v>
      </c>
      <c r="DS122" s="173">
        <v>3.9387308533916844E-2</v>
      </c>
      <c r="DT122" s="479">
        <v>5.1999999999999998E-2</v>
      </c>
      <c r="DU122" s="479">
        <v>0.05</v>
      </c>
      <c r="DV122" s="173">
        <v>4.7E-2</v>
      </c>
      <c r="DW122" s="173">
        <v>4.6251993620414676E-2</v>
      </c>
      <c r="DX122" s="173">
        <v>4.660045836516425E-2</v>
      </c>
      <c r="DY122" s="205">
        <v>4.7332185886402749E-2</v>
      </c>
      <c r="DZ122" s="479">
        <v>5.6000000000000001E-2</v>
      </c>
      <c r="EA122" s="479">
        <v>5.6000000000000001E-2</v>
      </c>
      <c r="EB122" s="173">
        <v>4.9000000000000002E-2</v>
      </c>
      <c r="EC122" s="173">
        <v>5.7999999999999996E-2</v>
      </c>
      <c r="ED122" s="173">
        <v>7.1999999999999995E-2</v>
      </c>
      <c r="EE122" s="480">
        <f t="shared" si="233"/>
        <v>5.9313215400624356E-2</v>
      </c>
      <c r="FP122" s="413"/>
      <c r="FQ122" s="413"/>
      <c r="FR122" s="413"/>
      <c r="FS122" s="413"/>
      <c r="FT122" s="413"/>
      <c r="FU122" s="413"/>
      <c r="FV122" s="413"/>
      <c r="FW122" s="413"/>
      <c r="FX122" s="413"/>
      <c r="FY122" s="413"/>
    </row>
    <row r="123" spans="1:181" ht="16" thickBot="1">
      <c r="A123" s="328" t="s">
        <v>293</v>
      </c>
      <c r="B123" s="329"/>
      <c r="C123" s="329"/>
      <c r="D123" s="329"/>
      <c r="E123" s="329"/>
      <c r="F123" s="329"/>
      <c r="G123" s="329"/>
      <c r="H123" s="331"/>
      <c r="I123" s="331"/>
      <c r="J123" s="331"/>
      <c r="K123" s="331"/>
      <c r="L123" s="331"/>
      <c r="M123" s="332"/>
      <c r="N123" s="331"/>
      <c r="O123" s="331"/>
      <c r="P123" s="331"/>
      <c r="Q123" s="331"/>
      <c r="R123" s="331"/>
      <c r="S123" s="331"/>
      <c r="T123" s="331"/>
      <c r="U123" s="331"/>
      <c r="V123" s="331"/>
      <c r="W123" s="331"/>
      <c r="X123" s="331"/>
      <c r="Y123" s="332"/>
      <c r="Z123" s="331"/>
      <c r="AA123" s="331"/>
      <c r="AB123" s="331"/>
      <c r="AC123" s="331"/>
      <c r="AD123" s="331"/>
      <c r="AE123" s="331"/>
      <c r="AF123" s="331"/>
      <c r="AG123" s="331"/>
      <c r="AH123" s="331"/>
      <c r="AI123" s="331"/>
      <c r="AJ123" s="331"/>
      <c r="AK123" s="332"/>
      <c r="AL123" s="985">
        <f>Annual!BO29-SUM(AQ123:AW123)</f>
        <v>3315</v>
      </c>
      <c r="AM123" s="986"/>
      <c r="AN123" s="986"/>
      <c r="AO123" s="986"/>
      <c r="AP123" s="986"/>
      <c r="AQ123" s="356">
        <f>674-AQ124</f>
        <v>575</v>
      </c>
      <c r="AR123" s="356">
        <f>728-AR124</f>
        <v>589</v>
      </c>
      <c r="AS123" s="356">
        <f>658-AS124</f>
        <v>534</v>
      </c>
      <c r="AT123" s="356">
        <f>697-131</f>
        <v>566</v>
      </c>
      <c r="AU123" s="356">
        <f>734-142</f>
        <v>592</v>
      </c>
      <c r="AV123" s="356">
        <f>746-154</f>
        <v>592</v>
      </c>
      <c r="AW123" s="583">
        <f>850-AW124</f>
        <v>640</v>
      </c>
      <c r="AX123" s="356">
        <f>854-256</f>
        <v>598</v>
      </c>
      <c r="AY123" s="356">
        <f>737-AY124</f>
        <v>544</v>
      </c>
      <c r="AZ123" s="356">
        <f>2394-614-AY123-AX123</f>
        <v>638</v>
      </c>
      <c r="BA123" s="356">
        <f>792-BA124</f>
        <v>595</v>
      </c>
      <c r="BB123" s="356">
        <f>795-BB124</f>
        <v>587</v>
      </c>
      <c r="BC123" s="356">
        <f>731-BC124</f>
        <v>537</v>
      </c>
      <c r="BD123" s="356">
        <f>681-BD124</f>
        <v>526</v>
      </c>
      <c r="BE123" s="356">
        <f>638-BE124</f>
        <v>497</v>
      </c>
      <c r="BF123" s="356">
        <f>683-147</f>
        <v>536</v>
      </c>
      <c r="BG123" s="356">
        <f>717-159</f>
        <v>558</v>
      </c>
      <c r="BH123" s="356"/>
      <c r="BI123" s="359"/>
      <c r="BJ123" s="356"/>
      <c r="BK123" s="356"/>
      <c r="BL123" s="356"/>
      <c r="BN123" s="260"/>
      <c r="BO123" s="192"/>
      <c r="BP123" s="182"/>
      <c r="BQ123" s="182"/>
      <c r="BR123" s="182"/>
      <c r="BS123" s="182"/>
      <c r="BT123" s="182"/>
      <c r="BU123" s="182"/>
      <c r="BV123" s="182"/>
      <c r="BW123" s="182"/>
      <c r="BX123" s="182"/>
      <c r="BY123" s="182"/>
      <c r="BZ123" s="182"/>
      <c r="CA123" s="182"/>
      <c r="CB123" s="182"/>
      <c r="CC123" s="182"/>
      <c r="CD123" s="182"/>
      <c r="CE123" s="193"/>
      <c r="DQ123" s="473" t="s">
        <v>200</v>
      </c>
      <c r="DR123" s="173">
        <v>1.2135922330097089E-2</v>
      </c>
      <c r="DS123" s="173">
        <v>1.0940919037199123E-2</v>
      </c>
      <c r="DT123" s="479">
        <v>1.4999999999999999E-2</v>
      </c>
      <c r="DU123" s="173"/>
      <c r="DX123" s="173">
        <v>9.9312452253628742E-3</v>
      </c>
      <c r="DY123" s="205">
        <v>1.8932874354561102E-2</v>
      </c>
      <c r="DZ123" s="479">
        <v>1.2E-2</v>
      </c>
      <c r="EA123" s="479">
        <v>1.2E-2</v>
      </c>
      <c r="EB123" s="173">
        <v>1.4999999999999999E-2</v>
      </c>
      <c r="EC123" s="173">
        <v>0.03</v>
      </c>
      <c r="ED123" s="173">
        <v>1.4999999999999999E-2</v>
      </c>
      <c r="EE123" s="480">
        <f t="shared" si="233"/>
        <v>2.6014568158168577E-2</v>
      </c>
      <c r="FP123" s="413"/>
      <c r="FQ123" s="413"/>
      <c r="FR123" s="413"/>
      <c r="FS123" s="413"/>
      <c r="FT123" s="413"/>
      <c r="FU123" s="413"/>
      <c r="FV123" s="413"/>
      <c r="FW123" s="413"/>
      <c r="FX123" s="413"/>
      <c r="FY123" s="413"/>
    </row>
    <row r="124" spans="1:181">
      <c r="A124" s="328" t="s">
        <v>289</v>
      </c>
      <c r="B124" s="329"/>
      <c r="C124" s="329"/>
      <c r="D124" s="329"/>
      <c r="E124" s="329"/>
      <c r="F124" s="329"/>
      <c r="G124" s="329"/>
      <c r="H124" s="331"/>
      <c r="I124" s="331"/>
      <c r="J124" s="331"/>
      <c r="K124" s="331"/>
      <c r="L124" s="331"/>
      <c r="M124" s="332"/>
      <c r="N124" s="331"/>
      <c r="O124" s="331"/>
      <c r="P124" s="331"/>
      <c r="Q124" s="331"/>
      <c r="R124" s="331"/>
      <c r="S124" s="331"/>
      <c r="T124" s="331"/>
      <c r="U124" s="331"/>
      <c r="V124" s="331"/>
      <c r="W124" s="331"/>
      <c r="X124" s="331"/>
      <c r="Y124" s="332"/>
      <c r="Z124" s="331"/>
      <c r="AA124" s="331"/>
      <c r="AB124" s="331"/>
      <c r="AC124" s="331"/>
      <c r="AD124" s="331"/>
      <c r="AE124" s="331"/>
      <c r="AF124" s="331"/>
      <c r="AG124" s="331"/>
      <c r="AH124" s="331"/>
      <c r="AI124" s="331"/>
      <c r="AJ124" s="331"/>
      <c r="AK124" s="332"/>
      <c r="AL124" s="985">
        <f>Annual!BO31-SUM(AQ124:AW124)</f>
        <v>806</v>
      </c>
      <c r="AM124" s="986"/>
      <c r="AN124" s="986"/>
      <c r="AO124" s="986"/>
      <c r="AP124" s="986"/>
      <c r="AQ124" s="356">
        <v>99</v>
      </c>
      <c r="AR124" s="356">
        <v>139</v>
      </c>
      <c r="AS124" s="356">
        <v>124</v>
      </c>
      <c r="AT124" s="356">
        <v>131</v>
      </c>
      <c r="AU124" s="356">
        <v>142</v>
      </c>
      <c r="AV124" s="356">
        <v>154</v>
      </c>
      <c r="AW124" s="583">
        <v>210</v>
      </c>
      <c r="AX124" s="356">
        <v>256</v>
      </c>
      <c r="AY124" s="356">
        <v>193</v>
      </c>
      <c r="AZ124" s="356">
        <f>614-AY124-AX124</f>
        <v>165</v>
      </c>
      <c r="BA124" s="356">
        <v>197</v>
      </c>
      <c r="BB124" s="356">
        <v>208</v>
      </c>
      <c r="BC124" s="356">
        <v>194</v>
      </c>
      <c r="BD124" s="356">
        <v>155</v>
      </c>
      <c r="BE124" s="356">
        <v>141</v>
      </c>
      <c r="BF124" s="356">
        <v>147</v>
      </c>
      <c r="BG124" s="356">
        <v>159</v>
      </c>
      <c r="BH124" s="356"/>
      <c r="BI124" s="359"/>
      <c r="BJ124" s="356"/>
      <c r="BK124" s="356"/>
      <c r="BL124" s="356"/>
      <c r="DQ124" s="473" t="s">
        <v>215</v>
      </c>
      <c r="DR124" s="173">
        <v>6.0679611650485445E-3</v>
      </c>
      <c r="DS124" s="173">
        <v>6.5645514223194737E-3</v>
      </c>
      <c r="DT124" s="479">
        <v>7.0000000000000001E-3</v>
      </c>
      <c r="DU124" s="479">
        <v>7.0000000000000001E-3</v>
      </c>
      <c r="DV124" s="173"/>
      <c r="DW124" s="173">
        <v>7.9744816586921861E-3</v>
      </c>
      <c r="DX124" s="173">
        <v>7.6394194041252876E-3</v>
      </c>
      <c r="DY124" s="205">
        <v>7.745266781411359E-3</v>
      </c>
      <c r="DZ124" s="479">
        <v>7.0000000000000001E-3</v>
      </c>
      <c r="EA124" s="479">
        <v>7.0000000000000001E-3</v>
      </c>
      <c r="EB124" s="173">
        <v>6.0000000000000001E-3</v>
      </c>
      <c r="EC124" s="173">
        <v>8.0000000000000002E-3</v>
      </c>
      <c r="ED124" s="173">
        <v>7.0000000000000001E-3</v>
      </c>
      <c r="EE124" s="480">
        <f t="shared" si="233"/>
        <v>8.3246618106139446E-3</v>
      </c>
      <c r="FP124" s="413"/>
      <c r="FQ124" s="413"/>
      <c r="FR124" s="413"/>
      <c r="FS124" s="413"/>
      <c r="FT124" s="413"/>
      <c r="FU124" s="413"/>
      <c r="FV124" s="413"/>
      <c r="FW124" s="413"/>
      <c r="FX124" s="413"/>
      <c r="FY124" s="413"/>
    </row>
    <row r="125" spans="1:181">
      <c r="A125" s="328" t="s">
        <v>280</v>
      </c>
      <c r="B125" s="329"/>
      <c r="C125" s="329"/>
      <c r="D125" s="329"/>
      <c r="E125" s="329"/>
      <c r="F125" s="329"/>
      <c r="G125" s="329"/>
      <c r="H125" s="331"/>
      <c r="I125" s="331"/>
      <c r="J125" s="331"/>
      <c r="K125" s="331"/>
      <c r="L125" s="331"/>
      <c r="M125" s="332"/>
      <c r="N125" s="331"/>
      <c r="O125" s="331"/>
      <c r="P125" s="331"/>
      <c r="Q125" s="331"/>
      <c r="R125" s="331"/>
      <c r="S125" s="331"/>
      <c r="T125" s="331"/>
      <c r="U125" s="331"/>
      <c r="V125" s="331"/>
      <c r="W125" s="331"/>
      <c r="X125" s="331"/>
      <c r="Y125" s="332"/>
      <c r="Z125" s="331"/>
      <c r="AA125" s="331"/>
      <c r="AB125" s="331"/>
      <c r="AC125" s="331"/>
      <c r="AD125" s="331"/>
      <c r="AE125" s="331"/>
      <c r="AF125" s="331"/>
      <c r="AG125" s="331"/>
      <c r="AH125" s="331"/>
      <c r="AI125" s="331"/>
      <c r="AJ125" s="331"/>
      <c r="AK125" s="332"/>
      <c r="AL125" s="985">
        <f>Annual!BO33-SUM(AQ125:AW125)</f>
        <v>205.93442600000003</v>
      </c>
      <c r="AM125" s="986"/>
      <c r="AN125" s="986"/>
      <c r="AO125" s="986"/>
      <c r="AP125" s="986"/>
      <c r="AQ125" s="356">
        <v>45</v>
      </c>
      <c r="AR125" s="356">
        <v>44</v>
      </c>
      <c r="AS125" s="356">
        <v>41</v>
      </c>
      <c r="AT125" s="356">
        <v>42</v>
      </c>
      <c r="AU125" s="356">
        <v>46</v>
      </c>
      <c r="AV125" s="356">
        <v>44</v>
      </c>
      <c r="AW125" s="583">
        <v>50</v>
      </c>
      <c r="AX125" s="356">
        <v>50</v>
      </c>
      <c r="AY125" s="356">
        <v>40</v>
      </c>
      <c r="AZ125" s="356">
        <f>134-AY125-AX125</f>
        <v>44</v>
      </c>
      <c r="BA125" s="356">
        <v>45</v>
      </c>
      <c r="BB125" s="356">
        <v>42</v>
      </c>
      <c r="BC125" s="356">
        <v>37</v>
      </c>
      <c r="BD125" s="356">
        <v>37</v>
      </c>
      <c r="BE125" s="356">
        <v>38</v>
      </c>
      <c r="BF125" s="356">
        <v>37</v>
      </c>
      <c r="BG125" s="356">
        <v>38</v>
      </c>
      <c r="BH125" s="356"/>
      <c r="BI125" s="359"/>
      <c r="BJ125" s="356"/>
      <c r="BK125" s="356"/>
      <c r="BL125" s="356"/>
      <c r="DQ125" s="473" t="s">
        <v>350</v>
      </c>
      <c r="DR125" s="173">
        <v>1.6990291262135924E-3</v>
      </c>
      <c r="DS125" s="173">
        <v>2.9175784099197662E-3</v>
      </c>
      <c r="DT125" s="173"/>
      <c r="DU125" s="479">
        <v>1.7000000000000001E-2</v>
      </c>
      <c r="DV125" s="173"/>
      <c r="DW125" s="173">
        <v>1.1164274322169059E-2</v>
      </c>
      <c r="DY125" s="205">
        <v>1.0327022375215144E-2</v>
      </c>
      <c r="DZ125" s="479">
        <v>1.0999999999999999E-2</v>
      </c>
      <c r="EA125" s="479">
        <v>1.0999999999999999E-2</v>
      </c>
      <c r="EB125" s="173">
        <v>1.2999999999999999E-2</v>
      </c>
      <c r="EC125" s="173">
        <v>2.2000000000000002E-2</v>
      </c>
      <c r="ED125" s="173">
        <v>2.1999999999999999E-2</v>
      </c>
      <c r="EE125" s="480"/>
      <c r="FP125" s="413"/>
      <c r="FQ125" s="413"/>
      <c r="FR125" s="413"/>
      <c r="FS125" s="413"/>
      <c r="FT125" s="413"/>
      <c r="FU125" s="413"/>
      <c r="FV125" s="413"/>
      <c r="FW125" s="413"/>
      <c r="FX125" s="413"/>
      <c r="FY125" s="413"/>
    </row>
    <row r="126" spans="1:181">
      <c r="A126" s="5" t="s">
        <v>101</v>
      </c>
      <c r="B126" s="329"/>
      <c r="C126" s="329"/>
      <c r="D126" s="329"/>
      <c r="E126" s="329"/>
      <c r="F126" s="329"/>
      <c r="G126" s="329"/>
      <c r="H126" s="331"/>
      <c r="I126" s="331"/>
      <c r="J126" s="331"/>
      <c r="K126" s="331"/>
      <c r="L126" s="331"/>
      <c r="M126" s="332"/>
      <c r="N126" s="331"/>
      <c r="O126" s="331"/>
      <c r="P126" s="331"/>
      <c r="Q126" s="331"/>
      <c r="R126" s="331"/>
      <c r="S126" s="331"/>
      <c r="T126" s="331"/>
      <c r="U126" s="331"/>
      <c r="V126" s="331"/>
      <c r="W126" s="331"/>
      <c r="X126" s="331"/>
      <c r="Y126" s="332"/>
      <c r="Z126" s="331"/>
      <c r="AA126" s="331"/>
      <c r="AB126" s="331"/>
      <c r="AC126" s="331"/>
      <c r="AD126" s="331"/>
      <c r="AE126" s="331"/>
      <c r="AF126" s="331"/>
      <c r="AG126" s="331"/>
      <c r="AH126" s="331"/>
      <c r="AI126" s="331"/>
      <c r="AJ126" s="331"/>
      <c r="AK126" s="332"/>
      <c r="AL126" s="985">
        <f>Annual!BO34-SUM(AQ126:AW126)</f>
        <v>103.49933900000002</v>
      </c>
      <c r="AM126" s="986"/>
      <c r="AN126" s="986"/>
      <c r="AO126" s="986"/>
      <c r="AP126" s="986"/>
      <c r="AQ126" s="356">
        <f t="shared" ref="AQ126:AT126" si="237">AQ177</f>
        <v>24.966937999999999</v>
      </c>
      <c r="AR126" s="356">
        <f t="shared" si="237"/>
        <v>27.391782999999997</v>
      </c>
      <c r="AS126" s="356">
        <f t="shared" si="237"/>
        <v>41.006135999999998</v>
      </c>
      <c r="AT126" s="356">
        <f t="shared" si="237"/>
        <v>44.539213000000004</v>
      </c>
      <c r="AU126" s="356">
        <f>AU177</f>
        <v>49.297747000000001</v>
      </c>
      <c r="AV126" s="356">
        <f>13+33</f>
        <v>46</v>
      </c>
      <c r="AW126" s="583">
        <f>AW177</f>
        <v>47.669145</v>
      </c>
      <c r="AX126" s="356">
        <f>AX177</f>
        <v>52.543059999999997</v>
      </c>
      <c r="AY126" s="356">
        <f t="shared" ref="AY126:BA126" si="238">AY177</f>
        <v>46.844600999999997</v>
      </c>
      <c r="AZ126" s="356">
        <f t="shared" si="238"/>
        <v>44.125121</v>
      </c>
      <c r="BA126" s="356">
        <f t="shared" si="238"/>
        <v>43.170866000000004</v>
      </c>
      <c r="BB126" s="356">
        <v>43</v>
      </c>
      <c r="BC126" s="356">
        <f>11+27</f>
        <v>38</v>
      </c>
      <c r="BD126" s="356">
        <f>BD177</f>
        <v>37.351739999999999</v>
      </c>
      <c r="BE126" s="356">
        <f>BE177</f>
        <v>33.895409000000001</v>
      </c>
      <c r="BF126" s="356">
        <f>16+29</f>
        <v>45</v>
      </c>
      <c r="BG126" s="356">
        <f>41</f>
        <v>41</v>
      </c>
      <c r="BH126" s="356"/>
      <c r="BI126" s="359"/>
      <c r="BJ126" s="356"/>
      <c r="BK126" s="356"/>
      <c r="BL126" s="356"/>
      <c r="DQ126" s="473" t="s">
        <v>351</v>
      </c>
      <c r="DR126" s="173">
        <v>0</v>
      </c>
      <c r="DS126" s="173">
        <v>0</v>
      </c>
      <c r="DT126" s="479">
        <v>2E-3</v>
      </c>
      <c r="DU126" s="173"/>
      <c r="DY126" s="115"/>
      <c r="DZ126" s="173"/>
      <c r="EA126" s="173"/>
      <c r="EB126" s="173">
        <v>3.0000000000000001E-3</v>
      </c>
      <c r="EC126" s="173">
        <v>2E-3</v>
      </c>
      <c r="ED126" s="173">
        <v>2E-3</v>
      </c>
      <c r="EE126" s="480"/>
      <c r="FP126" s="413"/>
      <c r="FQ126" s="413"/>
      <c r="FR126" s="413"/>
      <c r="FS126" s="413"/>
      <c r="FT126" s="413"/>
      <c r="FU126" s="413"/>
      <c r="FV126" s="413"/>
      <c r="FW126" s="413"/>
      <c r="FX126" s="413"/>
      <c r="FY126" s="413"/>
    </row>
    <row r="127" spans="1:181">
      <c r="A127" s="333" t="s">
        <v>281</v>
      </c>
      <c r="B127" s="334"/>
      <c r="C127" s="334"/>
      <c r="D127" s="334"/>
      <c r="E127" s="334"/>
      <c r="F127" s="334"/>
      <c r="G127" s="334"/>
      <c r="H127" s="335"/>
      <c r="I127" s="335"/>
      <c r="J127" s="335"/>
      <c r="K127" s="335"/>
      <c r="L127" s="335"/>
      <c r="M127" s="336"/>
      <c r="N127" s="337"/>
      <c r="O127" s="337"/>
      <c r="P127" s="337"/>
      <c r="Q127" s="337"/>
      <c r="R127" s="337"/>
      <c r="S127" s="337"/>
      <c r="T127" s="337"/>
      <c r="U127" s="337"/>
      <c r="V127" s="337"/>
      <c r="W127" s="337"/>
      <c r="X127" s="337"/>
      <c r="Y127" s="338"/>
      <c r="Z127" s="337"/>
      <c r="AA127" s="337"/>
      <c r="AB127" s="337"/>
      <c r="AC127" s="337"/>
      <c r="AD127" s="337"/>
      <c r="AE127" s="337"/>
      <c r="AF127" s="337"/>
      <c r="AG127" s="337"/>
      <c r="AH127" s="337"/>
      <c r="AI127" s="337"/>
      <c r="AJ127" s="337"/>
      <c r="AK127" s="338"/>
      <c r="AL127" s="987">
        <f>SUM(AL123:AP126)</f>
        <v>4430.4337649999998</v>
      </c>
      <c r="AM127" s="989"/>
      <c r="AN127" s="989"/>
      <c r="AO127" s="989"/>
      <c r="AP127" s="989"/>
      <c r="AQ127" s="357">
        <f>SUM(AQ123:AQ126)</f>
        <v>743.96693800000003</v>
      </c>
      <c r="AR127" s="357">
        <f>SUM(AR123:AR126)</f>
        <v>799.39178300000003</v>
      </c>
      <c r="AS127" s="357">
        <f>SUM(AS123:AS126)</f>
        <v>740.00613599999997</v>
      </c>
      <c r="AT127" s="357">
        <f>SUM(AT123:AT126)</f>
        <v>783.53921300000002</v>
      </c>
      <c r="AU127" s="357">
        <f>SUM(AU123:AU126)</f>
        <v>829.29774699999996</v>
      </c>
      <c r="AV127" s="357">
        <f t="shared" ref="AV127:AW127" si="239">SUM(AV123:AV126)</f>
        <v>836</v>
      </c>
      <c r="AW127" s="584">
        <f t="shared" si="239"/>
        <v>947.66914499999996</v>
      </c>
      <c r="AX127" s="357">
        <f t="shared" ref="AX127:BA127" si="240">SUM(AX123:AX126)</f>
        <v>956.54305999999997</v>
      </c>
      <c r="AY127" s="357">
        <f t="shared" si="240"/>
        <v>823.84460100000001</v>
      </c>
      <c r="AZ127" s="357">
        <f t="shared" si="240"/>
        <v>891.12512100000004</v>
      </c>
      <c r="BA127" s="357">
        <f t="shared" si="240"/>
        <v>880.17086600000005</v>
      </c>
      <c r="BB127" s="357">
        <f t="shared" ref="BB127:BL127" si="241">SUM(BB123:BB126)</f>
        <v>880</v>
      </c>
      <c r="BC127" s="357">
        <f t="shared" si="241"/>
        <v>806</v>
      </c>
      <c r="BD127" s="357">
        <f t="shared" si="241"/>
        <v>755.35173999999995</v>
      </c>
      <c r="BE127" s="357">
        <f t="shared" si="241"/>
        <v>709.89540899999997</v>
      </c>
      <c r="BF127" s="357">
        <f t="shared" si="241"/>
        <v>765</v>
      </c>
      <c r="BG127" s="357">
        <f t="shared" si="241"/>
        <v>796</v>
      </c>
      <c r="BH127" s="357">
        <f t="shared" si="241"/>
        <v>0</v>
      </c>
      <c r="BI127" s="546">
        <f t="shared" si="241"/>
        <v>0</v>
      </c>
      <c r="BJ127" s="357">
        <f t="shared" si="241"/>
        <v>0</v>
      </c>
      <c r="BK127" s="357">
        <f t="shared" si="241"/>
        <v>0</v>
      </c>
      <c r="BL127" s="357">
        <f t="shared" si="241"/>
        <v>0</v>
      </c>
      <c r="DQ127" s="473" t="s">
        <v>174</v>
      </c>
      <c r="DR127" s="173">
        <v>8.9563106796116509E-2</v>
      </c>
      <c r="DS127" s="173">
        <v>7.5857038657913919E-2</v>
      </c>
      <c r="DT127" s="479">
        <v>0.151</v>
      </c>
      <c r="DU127" s="479">
        <v>8.3000000000000004E-2</v>
      </c>
      <c r="DV127" s="173">
        <v>9.2000000000000082E-2</v>
      </c>
      <c r="DW127" s="173">
        <v>9.3301435406698566E-2</v>
      </c>
      <c r="DX127" s="173">
        <v>9.3964858670741044E-2</v>
      </c>
      <c r="DY127" s="205">
        <v>0.17555938037865745</v>
      </c>
      <c r="DZ127" s="479">
        <f>0.127+9.4%</f>
        <v>0.221</v>
      </c>
      <c r="EA127" s="479">
        <f>0.127+9.4%</f>
        <v>0.221</v>
      </c>
      <c r="EB127" s="173">
        <v>0.12</v>
      </c>
      <c r="EC127" s="173">
        <v>0.113</v>
      </c>
      <c r="ED127" s="173">
        <v>3.7999999999999999E-2</v>
      </c>
      <c r="EE127" s="480">
        <f t="shared" si="233"/>
        <v>9.053069719042664E-2</v>
      </c>
      <c r="FP127" s="413"/>
      <c r="FQ127" s="413"/>
      <c r="FR127" s="413"/>
      <c r="FS127" s="413"/>
      <c r="FT127" s="413"/>
      <c r="FU127" s="413"/>
      <c r="FV127" s="413"/>
      <c r="FW127" s="413"/>
      <c r="FX127" s="413"/>
      <c r="FY127" s="413"/>
    </row>
    <row r="128" spans="1:181" ht="16" thickBot="1">
      <c r="A128" s="328"/>
      <c r="B128" s="329"/>
      <c r="C128" s="329"/>
      <c r="D128" s="329"/>
      <c r="E128" s="329"/>
      <c r="F128" s="329"/>
      <c r="G128" s="329"/>
      <c r="H128" s="331"/>
      <c r="I128" s="331"/>
      <c r="J128" s="331"/>
      <c r="K128" s="331"/>
      <c r="L128" s="331"/>
      <c r="M128" s="332"/>
      <c r="N128" s="331"/>
      <c r="O128" s="331"/>
      <c r="P128" s="331"/>
      <c r="Q128" s="331"/>
      <c r="R128" s="331"/>
      <c r="S128" s="331"/>
      <c r="T128" s="331"/>
      <c r="U128" s="331"/>
      <c r="V128" s="331"/>
      <c r="W128" s="331"/>
      <c r="X128" s="331"/>
      <c r="Y128" s="332"/>
      <c r="Z128" s="331"/>
      <c r="AA128" s="331"/>
      <c r="AB128" s="331"/>
      <c r="AC128" s="331"/>
      <c r="AD128" s="331"/>
      <c r="AE128" s="331"/>
      <c r="AF128" s="331"/>
      <c r="AG128" s="331"/>
      <c r="AH128" s="331"/>
      <c r="AI128" s="331"/>
      <c r="AJ128" s="331"/>
      <c r="AK128" s="332"/>
      <c r="AL128" s="331"/>
      <c r="AM128" s="331"/>
      <c r="AN128" s="331"/>
      <c r="AO128" s="331"/>
      <c r="AP128" s="331"/>
      <c r="AQ128" s="356"/>
      <c r="AR128" s="356"/>
      <c r="AS128" s="356"/>
      <c r="AT128" s="356"/>
      <c r="AU128" s="356"/>
      <c r="AV128" s="356"/>
      <c r="AW128" s="583"/>
      <c r="AX128" s="356"/>
      <c r="AY128" s="356"/>
      <c r="AZ128" s="356"/>
      <c r="BA128" s="356"/>
      <c r="BB128" s="356"/>
      <c r="BC128" s="356"/>
      <c r="BD128" s="356"/>
      <c r="BE128" s="356"/>
      <c r="BF128" s="356"/>
      <c r="BG128" s="356"/>
      <c r="BH128" s="356"/>
      <c r="BI128" s="359"/>
      <c r="BJ128" s="356"/>
      <c r="BK128" s="356"/>
      <c r="BL128" s="356"/>
      <c r="DQ128" s="481"/>
      <c r="DR128" s="482"/>
      <c r="DS128" s="482"/>
      <c r="DT128" s="482"/>
      <c r="DU128" s="482"/>
      <c r="DV128" s="482"/>
      <c r="DW128" s="482"/>
      <c r="DX128" s="482"/>
      <c r="DY128" s="483"/>
      <c r="DZ128" s="482"/>
      <c r="EA128" s="482"/>
      <c r="EB128" s="482"/>
      <c r="EC128" s="482"/>
      <c r="ED128" s="482"/>
      <c r="EE128" s="484"/>
      <c r="FP128" s="413"/>
      <c r="FQ128" s="413"/>
      <c r="FR128" s="413"/>
      <c r="FS128" s="413"/>
      <c r="FT128" s="413"/>
      <c r="FU128" s="413"/>
      <c r="FV128" s="413"/>
      <c r="FW128" s="413"/>
      <c r="FX128" s="413"/>
      <c r="FY128" s="413"/>
    </row>
    <row r="129" spans="1:181">
      <c r="A129" s="328" t="s">
        <v>282</v>
      </c>
      <c r="B129" s="329"/>
      <c r="C129" s="329"/>
      <c r="D129" s="329"/>
      <c r="E129" s="329"/>
      <c r="F129" s="329"/>
      <c r="G129" s="329"/>
      <c r="H129" s="331"/>
      <c r="I129" s="331"/>
      <c r="J129" s="331"/>
      <c r="K129" s="331"/>
      <c r="L129" s="331"/>
      <c r="M129" s="332"/>
      <c r="N129" s="331"/>
      <c r="O129" s="331"/>
      <c r="P129" s="331"/>
      <c r="Q129" s="331"/>
      <c r="R129" s="331"/>
      <c r="S129" s="331"/>
      <c r="T129" s="331"/>
      <c r="U129" s="331"/>
      <c r="V129" s="331"/>
      <c r="W129" s="331"/>
      <c r="X129" s="331"/>
      <c r="Y129" s="332"/>
      <c r="Z129" s="331"/>
      <c r="AA129" s="331"/>
      <c r="AB129" s="331"/>
      <c r="AC129" s="331"/>
      <c r="AD129" s="331"/>
      <c r="AE129" s="331"/>
      <c r="AF129" s="331"/>
      <c r="AG129" s="331"/>
      <c r="AH129" s="331"/>
      <c r="AI129" s="331"/>
      <c r="AJ129" s="331"/>
      <c r="AK129" s="332"/>
      <c r="AL129" s="985">
        <f>Annual!BO37-SUM(AQ129:AW129)</f>
        <v>1115.8221016561965</v>
      </c>
      <c r="AM129" s="986"/>
      <c r="AN129" s="986"/>
      <c r="AO129" s="986"/>
      <c r="AP129" s="986"/>
      <c r="AQ129" s="356">
        <v>232</v>
      </c>
      <c r="AR129" s="356">
        <v>272</v>
      </c>
      <c r="AS129" s="356">
        <v>297</v>
      </c>
      <c r="AT129" s="356">
        <v>328</v>
      </c>
      <c r="AU129" s="356">
        <v>120</v>
      </c>
      <c r="AV129" s="356">
        <v>216</v>
      </c>
      <c r="AW129" s="583">
        <v>205</v>
      </c>
      <c r="AX129" s="356">
        <v>197</v>
      </c>
      <c r="AY129" s="356">
        <v>176</v>
      </c>
      <c r="AZ129" s="356">
        <f>598-AY129-AX129</f>
        <v>225</v>
      </c>
      <c r="BA129" s="356">
        <v>137</v>
      </c>
      <c r="BB129" s="356">
        <v>158</v>
      </c>
      <c r="BC129" s="356">
        <v>162</v>
      </c>
      <c r="BD129" s="356">
        <v>109</v>
      </c>
      <c r="BE129" s="356">
        <v>174</v>
      </c>
      <c r="BF129" s="356">
        <v>212</v>
      </c>
      <c r="BG129" s="356">
        <v>213</v>
      </c>
      <c r="BH129" s="356"/>
      <c r="BI129" s="359"/>
      <c r="BJ129" s="356"/>
      <c r="BK129" s="356"/>
      <c r="BL129" s="356"/>
      <c r="FP129" s="413"/>
      <c r="FQ129" s="413"/>
      <c r="FR129" s="413"/>
      <c r="FS129" s="413"/>
      <c r="FT129" s="413"/>
      <c r="FU129" s="413"/>
      <c r="FV129" s="413"/>
      <c r="FW129" s="413"/>
      <c r="FX129" s="413"/>
      <c r="FY129" s="413"/>
    </row>
    <row r="130" spans="1:181" ht="16" thickBot="1">
      <c r="A130" s="328" t="s">
        <v>240</v>
      </c>
      <c r="B130" s="329"/>
      <c r="C130" s="329"/>
      <c r="D130" s="329"/>
      <c r="E130" s="329"/>
      <c r="F130" s="329"/>
      <c r="G130" s="329"/>
      <c r="H130" s="331"/>
      <c r="I130" s="331"/>
      <c r="J130" s="331"/>
      <c r="K130" s="331"/>
      <c r="L130" s="331"/>
      <c r="M130" s="332"/>
      <c r="N130" s="331"/>
      <c r="O130" s="331"/>
      <c r="P130" s="331"/>
      <c r="Q130" s="331"/>
      <c r="R130" s="331"/>
      <c r="S130" s="331"/>
      <c r="T130" s="331"/>
      <c r="U130" s="331"/>
      <c r="V130" s="331"/>
      <c r="W130" s="331"/>
      <c r="X130" s="331"/>
      <c r="Y130" s="332"/>
      <c r="Z130" s="331"/>
      <c r="AA130" s="331"/>
      <c r="AB130" s="331"/>
      <c r="AC130" s="331"/>
      <c r="AD130" s="331"/>
      <c r="AE130" s="331"/>
      <c r="AF130" s="331"/>
      <c r="AG130" s="331"/>
      <c r="AH130" s="331"/>
      <c r="AI130" s="331"/>
      <c r="AJ130" s="331"/>
      <c r="AK130" s="332"/>
      <c r="AL130" s="985">
        <f>Annual!BO38-SUM(AQ130:AW130)</f>
        <v>648.26070816676179</v>
      </c>
      <c r="AM130" s="986"/>
      <c r="AN130" s="986"/>
      <c r="AO130" s="986"/>
      <c r="AP130" s="986"/>
      <c r="AQ130" s="356">
        <v>130</v>
      </c>
      <c r="AR130" s="356">
        <v>135</v>
      </c>
      <c r="AS130" s="356">
        <v>124</v>
      </c>
      <c r="AT130" s="356">
        <v>57</v>
      </c>
      <c r="AU130" s="356">
        <v>114</v>
      </c>
      <c r="AV130" s="356">
        <v>115</v>
      </c>
      <c r="AW130" s="583">
        <v>128</v>
      </c>
      <c r="AX130" s="356">
        <v>118</v>
      </c>
      <c r="AY130" s="356">
        <v>112</v>
      </c>
      <c r="AZ130" s="356">
        <f>351-AY130-AX130</f>
        <v>121</v>
      </c>
      <c r="BA130" s="356">
        <v>103</v>
      </c>
      <c r="BB130" s="356">
        <v>-10</v>
      </c>
      <c r="BC130" s="356">
        <v>97</v>
      </c>
      <c r="BD130" s="356">
        <v>91</v>
      </c>
      <c r="BE130" s="356">
        <v>53</v>
      </c>
      <c r="BF130" s="356">
        <v>87</v>
      </c>
      <c r="BG130" s="356">
        <v>89</v>
      </c>
      <c r="BH130" s="356"/>
      <c r="BI130" s="359"/>
      <c r="BJ130" s="356"/>
      <c r="BK130" s="356"/>
      <c r="BL130" s="356"/>
      <c r="FP130" s="413"/>
      <c r="FQ130" s="413"/>
      <c r="FR130" s="413"/>
      <c r="FS130" s="413"/>
      <c r="FT130" s="413"/>
      <c r="FU130" s="413"/>
      <c r="FV130" s="413"/>
      <c r="FW130" s="413"/>
      <c r="FX130" s="413"/>
      <c r="FY130" s="413"/>
    </row>
    <row r="131" spans="1:181">
      <c r="A131" s="328" t="s">
        <v>156</v>
      </c>
      <c r="B131" s="329"/>
      <c r="C131" s="329"/>
      <c r="D131" s="329"/>
      <c r="E131" s="329"/>
      <c r="F131" s="329"/>
      <c r="G131" s="329"/>
      <c r="H131" s="331"/>
      <c r="I131" s="331"/>
      <c r="J131" s="331"/>
      <c r="K131" s="331"/>
      <c r="L131" s="331"/>
      <c r="M131" s="332"/>
      <c r="N131" s="331"/>
      <c r="O131" s="331"/>
      <c r="P131" s="331"/>
      <c r="Q131" s="331"/>
      <c r="R131" s="331"/>
      <c r="S131" s="331"/>
      <c r="T131" s="331"/>
      <c r="U131" s="331"/>
      <c r="V131" s="331"/>
      <c r="W131" s="331"/>
      <c r="X131" s="331"/>
      <c r="Y131" s="332"/>
      <c r="Z131" s="331"/>
      <c r="AA131" s="331"/>
      <c r="AB131" s="331"/>
      <c r="AC131" s="331"/>
      <c r="AD131" s="331"/>
      <c r="AE131" s="331"/>
      <c r="AF131" s="331"/>
      <c r="AG131" s="331"/>
      <c r="AH131" s="331"/>
      <c r="AI131" s="331"/>
      <c r="AJ131" s="331"/>
      <c r="AK131" s="332"/>
      <c r="AL131" s="985">
        <f>Annual!BO39-SUM(AQ131:AW131)</f>
        <v>1145.9171901770419</v>
      </c>
      <c r="AM131" s="986"/>
      <c r="AN131" s="986"/>
      <c r="AO131" s="986"/>
      <c r="AP131" s="986"/>
      <c r="AQ131" s="356">
        <v>269</v>
      </c>
      <c r="AR131" s="356">
        <v>272</v>
      </c>
      <c r="AS131" s="356">
        <v>241</v>
      </c>
      <c r="AT131" s="356">
        <v>246</v>
      </c>
      <c r="AU131" s="356">
        <v>185</v>
      </c>
      <c r="AV131" s="356">
        <v>263</v>
      </c>
      <c r="AW131" s="583">
        <v>127</v>
      </c>
      <c r="AX131" s="356">
        <v>379</v>
      </c>
      <c r="AY131" s="356">
        <v>222</v>
      </c>
      <c r="AZ131" s="356">
        <f>841-AY131-AX131</f>
        <v>240</v>
      </c>
      <c r="BA131" s="356">
        <v>207</v>
      </c>
      <c r="BB131" s="356">
        <v>241</v>
      </c>
      <c r="BC131" s="356">
        <v>246</v>
      </c>
      <c r="BD131" s="356">
        <v>139</v>
      </c>
      <c r="BE131" s="356">
        <v>217</v>
      </c>
      <c r="BF131" s="356">
        <v>241</v>
      </c>
      <c r="BG131" s="356">
        <v>255</v>
      </c>
      <c r="BH131" s="356"/>
      <c r="BI131" s="359"/>
      <c r="BJ131" s="356"/>
      <c r="BK131" s="356"/>
      <c r="BL131" s="356"/>
      <c r="DQ131" s="485"/>
      <c r="DR131" s="460"/>
      <c r="DS131" s="486"/>
      <c r="DT131" s="460"/>
      <c r="DU131" s="487"/>
      <c r="DV131" s="488"/>
      <c r="DW131" s="460"/>
      <c r="DX131" s="460"/>
      <c r="DY131" s="460"/>
      <c r="DZ131" s="460"/>
      <c r="EA131" s="460"/>
      <c r="EB131" s="461"/>
    </row>
    <row r="132" spans="1:181">
      <c r="A132" s="333" t="s">
        <v>269</v>
      </c>
      <c r="B132" s="334"/>
      <c r="C132" s="334"/>
      <c r="D132" s="334"/>
      <c r="E132" s="334"/>
      <c r="F132" s="334"/>
      <c r="G132" s="334"/>
      <c r="H132" s="335"/>
      <c r="I132" s="335"/>
      <c r="J132" s="335"/>
      <c r="K132" s="335"/>
      <c r="L132" s="335"/>
      <c r="M132" s="336"/>
      <c r="N132" s="337"/>
      <c r="O132" s="337"/>
      <c r="P132" s="337"/>
      <c r="Q132" s="337"/>
      <c r="R132" s="337"/>
      <c r="S132" s="337"/>
      <c r="T132" s="337"/>
      <c r="U132" s="337"/>
      <c r="V132" s="337"/>
      <c r="W132" s="337"/>
      <c r="X132" s="337"/>
      <c r="Y132" s="338"/>
      <c r="Z132" s="337"/>
      <c r="AA132" s="337"/>
      <c r="AB132" s="337"/>
      <c r="AC132" s="337"/>
      <c r="AD132" s="337"/>
      <c r="AE132" s="337"/>
      <c r="AF132" s="337"/>
      <c r="AG132" s="337"/>
      <c r="AH132" s="337"/>
      <c r="AI132" s="337"/>
      <c r="AJ132" s="337"/>
      <c r="AK132" s="338"/>
      <c r="AL132" s="987">
        <f>SUM(AL129:AP131)</f>
        <v>2910</v>
      </c>
      <c r="AM132" s="989"/>
      <c r="AN132" s="989"/>
      <c r="AO132" s="989"/>
      <c r="AP132" s="989"/>
      <c r="AQ132" s="357">
        <f>SUM(AQ129:AQ131)</f>
        <v>631</v>
      </c>
      <c r="AR132" s="357">
        <f>SUM(AR129:AR131)</f>
        <v>679</v>
      </c>
      <c r="AS132" s="357">
        <f>SUM(AS129:AS131)</f>
        <v>662</v>
      </c>
      <c r="AT132" s="357">
        <f>SUM(AT129:AT131)</f>
        <v>631</v>
      </c>
      <c r="AU132" s="357">
        <f>SUM(AU129:AU131)</f>
        <v>419</v>
      </c>
      <c r="AV132" s="357">
        <f t="shared" ref="AV132:AW132" si="242">SUM(AV129:AV131)</f>
        <v>594</v>
      </c>
      <c r="AW132" s="546">
        <f t="shared" si="242"/>
        <v>460</v>
      </c>
      <c r="AX132" s="357">
        <f t="shared" ref="AX132:AZ132" si="243">SUM(AX129:AX131)</f>
        <v>694</v>
      </c>
      <c r="AY132" s="357">
        <f t="shared" si="243"/>
        <v>510</v>
      </c>
      <c r="AZ132" s="357">
        <f t="shared" si="243"/>
        <v>586</v>
      </c>
      <c r="BA132" s="357">
        <f t="shared" ref="BA132:BB132" si="244">SUM(BA129:BA131)</f>
        <v>447</v>
      </c>
      <c r="BB132" s="357">
        <f t="shared" si="244"/>
        <v>389</v>
      </c>
      <c r="BC132" s="357">
        <f t="shared" ref="BC132:BE132" si="245">SUM(BC129:BC131)</f>
        <v>505</v>
      </c>
      <c r="BD132" s="357">
        <f t="shared" si="245"/>
        <v>339</v>
      </c>
      <c r="BE132" s="357">
        <f t="shared" si="245"/>
        <v>444</v>
      </c>
      <c r="BF132" s="357">
        <f t="shared" ref="BF132:BG132" si="246">SUM(BF129:BF131)</f>
        <v>540</v>
      </c>
      <c r="BG132" s="357">
        <f t="shared" si="246"/>
        <v>557</v>
      </c>
      <c r="BH132" s="357">
        <f t="shared" ref="BH132:BL132" si="247">SUM(BH129:BH131)</f>
        <v>0</v>
      </c>
      <c r="BI132" s="546">
        <f t="shared" si="247"/>
        <v>0</v>
      </c>
      <c r="BJ132" s="357">
        <f t="shared" si="247"/>
        <v>0</v>
      </c>
      <c r="BK132" s="357">
        <f t="shared" si="247"/>
        <v>0</v>
      </c>
      <c r="BL132" s="357">
        <f t="shared" si="247"/>
        <v>0</v>
      </c>
      <c r="DQ132" s="489" t="s">
        <v>353</v>
      </c>
      <c r="DS132" s="490"/>
      <c r="DU132" s="491"/>
      <c r="DV132" s="492"/>
      <c r="EB132" s="116"/>
    </row>
    <row r="133" spans="1:181">
      <c r="A133" s="328"/>
      <c r="B133" s="329"/>
      <c r="C133" s="329"/>
      <c r="D133" s="329"/>
      <c r="E133" s="329"/>
      <c r="F133" s="329"/>
      <c r="G133" s="329"/>
      <c r="H133" s="331"/>
      <c r="I133" s="331"/>
      <c r="J133" s="331"/>
      <c r="K133" s="331"/>
      <c r="L133" s="331"/>
      <c r="M133" s="332"/>
      <c r="N133" s="331"/>
      <c r="O133" s="331"/>
      <c r="P133" s="331"/>
      <c r="Q133" s="331"/>
      <c r="R133" s="331"/>
      <c r="S133" s="331"/>
      <c r="T133" s="331"/>
      <c r="U133" s="331"/>
      <c r="V133" s="331"/>
      <c r="W133" s="331"/>
      <c r="X133" s="331"/>
      <c r="Y133" s="332"/>
      <c r="Z133" s="331"/>
      <c r="AA133" s="331"/>
      <c r="AB133" s="331"/>
      <c r="AC133" s="331"/>
      <c r="AD133" s="331"/>
      <c r="AE133" s="331"/>
      <c r="AF133" s="331"/>
      <c r="AG133" s="331"/>
      <c r="AH133" s="331"/>
      <c r="AI133" s="331"/>
      <c r="AJ133" s="331"/>
      <c r="AK133" s="332"/>
      <c r="AL133" s="331"/>
      <c r="AM133" s="331"/>
      <c r="AN133" s="331"/>
      <c r="AO133" s="331"/>
      <c r="AP133" s="356"/>
      <c r="AQ133" s="356"/>
      <c r="AR133" s="356"/>
      <c r="AS133" s="356"/>
      <c r="AT133" s="356"/>
      <c r="AU133" s="356"/>
      <c r="AV133" s="356"/>
      <c r="AW133" s="359"/>
      <c r="AX133" s="356"/>
      <c r="AY133" s="356"/>
      <c r="AZ133" s="356"/>
      <c r="BA133" s="356"/>
      <c r="BB133" s="356"/>
      <c r="BC133" s="356"/>
      <c r="BD133" s="356"/>
      <c r="BE133" s="356"/>
      <c r="BF133" s="356"/>
      <c r="BG133" s="356"/>
      <c r="BH133" s="356"/>
      <c r="BI133" s="359"/>
      <c r="BJ133" s="356"/>
      <c r="BK133" s="356"/>
      <c r="BL133" s="356"/>
      <c r="DQ133" s="493"/>
      <c r="DS133" s="490"/>
      <c r="DU133" s="491"/>
      <c r="DV133" s="492"/>
      <c r="DW133" s="494"/>
      <c r="DX133" s="494"/>
      <c r="EB133" s="116"/>
    </row>
    <row r="134" spans="1:181">
      <c r="A134" s="339" t="s">
        <v>285</v>
      </c>
      <c r="B134" s="340"/>
      <c r="C134" s="340"/>
      <c r="D134" s="340"/>
      <c r="E134" s="340"/>
      <c r="F134" s="340"/>
      <c r="G134" s="340"/>
      <c r="H134" s="341"/>
      <c r="I134" s="341"/>
      <c r="J134" s="341"/>
      <c r="K134" s="341"/>
      <c r="L134" s="341"/>
      <c r="M134" s="342"/>
      <c r="N134" s="343"/>
      <c r="O134" s="343"/>
      <c r="P134" s="343"/>
      <c r="Q134" s="343"/>
      <c r="R134" s="343"/>
      <c r="S134" s="343"/>
      <c r="T134" s="343"/>
      <c r="U134" s="343"/>
      <c r="V134" s="343"/>
      <c r="W134" s="343"/>
      <c r="X134" s="343"/>
      <c r="Y134" s="344"/>
      <c r="Z134" s="343"/>
      <c r="AA134" s="343"/>
      <c r="AB134" s="343"/>
      <c r="AC134" s="343"/>
      <c r="AD134" s="343"/>
      <c r="AE134" s="343"/>
      <c r="AF134" s="343"/>
      <c r="AG134" s="343"/>
      <c r="AH134" s="343"/>
      <c r="AI134" s="343"/>
      <c r="AJ134" s="343"/>
      <c r="AK134" s="344"/>
      <c r="AL134" s="990">
        <f>AL121+AL127+AL132</f>
        <v>7904.3245880485501</v>
      </c>
      <c r="AM134" s="988"/>
      <c r="AN134" s="988"/>
      <c r="AO134" s="988"/>
      <c r="AP134" s="988"/>
      <c r="AQ134" s="358">
        <f>AQ121+AQ127+AQ132</f>
        <v>1425.3601249339799</v>
      </c>
      <c r="AR134" s="358">
        <f>AR121+AR127+AR132</f>
        <v>1543.9744722800001</v>
      </c>
      <c r="AS134" s="358">
        <f>AS121+AS127+AS132</f>
        <v>1464.0895083809</v>
      </c>
      <c r="AT134" s="358">
        <f>AT121+AT127+AT132</f>
        <v>1511.539213</v>
      </c>
      <c r="AU134" s="358">
        <f>AU121+AU127+AU132</f>
        <v>1387.936644892</v>
      </c>
      <c r="AV134" s="358">
        <f t="shared" ref="AV134:AW134" si="248">AV121+AV127+AV132</f>
        <v>1556.8287001374001</v>
      </c>
      <c r="AW134" s="547">
        <f t="shared" si="248"/>
        <v>1534.068141</v>
      </c>
      <c r="AX134" s="358">
        <f t="shared" ref="AX134:AZ134" si="249">AX121+AX127+AX132</f>
        <v>1774.6421929999999</v>
      </c>
      <c r="AY134" s="358">
        <f t="shared" si="249"/>
        <v>1457.0374120000001</v>
      </c>
      <c r="AZ134" s="358">
        <f t="shared" si="249"/>
        <v>1601.3541762072</v>
      </c>
      <c r="BA134" s="358">
        <f t="shared" ref="BA134:BB134" si="250">BA121+BA127+BA132</f>
        <v>1438.7221322559999</v>
      </c>
      <c r="BB134" s="358">
        <f t="shared" si="250"/>
        <v>1334</v>
      </c>
      <c r="BC134" s="358">
        <f t="shared" ref="BC134:BE134" si="251">BC121+BC127+BC132</f>
        <v>1372.20427694</v>
      </c>
      <c r="BD134" s="358">
        <f t="shared" si="251"/>
        <v>1162.3517400000001</v>
      </c>
      <c r="BE134" s="358">
        <f t="shared" si="251"/>
        <v>1215.895409</v>
      </c>
      <c r="BF134" s="358">
        <f t="shared" ref="BF134:BG134" si="252">BF121+BF127+BF132</f>
        <v>1321</v>
      </c>
      <c r="BG134" s="358">
        <f t="shared" si="252"/>
        <v>1466</v>
      </c>
      <c r="BH134" s="358">
        <f t="shared" ref="BH134:BL134" si="253">BH121+BH127+BH132</f>
        <v>81.089154857937075</v>
      </c>
      <c r="BI134" s="547">
        <f t="shared" si="253"/>
        <v>72.439055262248417</v>
      </c>
      <c r="BJ134" s="358">
        <f t="shared" si="253"/>
        <v>0</v>
      </c>
      <c r="BK134" s="358">
        <f t="shared" si="253"/>
        <v>0</v>
      </c>
      <c r="BL134" s="358">
        <f t="shared" si="253"/>
        <v>0</v>
      </c>
      <c r="DQ134" s="463"/>
      <c r="DR134" s="466">
        <v>2009</v>
      </c>
      <c r="DS134" s="464">
        <v>2010</v>
      </c>
      <c r="DT134" s="464"/>
      <c r="DU134" s="464"/>
      <c r="DV134" s="465"/>
      <c r="DW134" s="466"/>
      <c r="DX134" s="465"/>
      <c r="DY134" s="464"/>
      <c r="DZ134" s="464"/>
      <c r="EA134" s="464"/>
      <c r="EB134" s="467"/>
    </row>
    <row r="135" spans="1:181">
      <c r="A135" s="345" t="s">
        <v>183</v>
      </c>
      <c r="B135" s="346"/>
      <c r="C135" s="346"/>
      <c r="D135" s="346"/>
      <c r="E135" s="346"/>
      <c r="F135" s="346"/>
      <c r="G135" s="346"/>
      <c r="H135" s="346"/>
      <c r="I135" s="346"/>
      <c r="J135" s="346"/>
      <c r="K135" s="346"/>
      <c r="L135" s="346"/>
      <c r="M135" s="347"/>
      <c r="N135" s="346"/>
      <c r="O135" s="346"/>
      <c r="P135" s="346"/>
      <c r="Q135" s="346"/>
      <c r="R135" s="346"/>
      <c r="S135" s="346"/>
      <c r="T135" s="346"/>
      <c r="U135" s="346"/>
      <c r="V135" s="346"/>
      <c r="W135" s="346"/>
      <c r="X135" s="346"/>
      <c r="Y135" s="347"/>
      <c r="Z135" s="348"/>
      <c r="AA135" s="348"/>
      <c r="AB135" s="348"/>
      <c r="AC135" s="348"/>
      <c r="AD135" s="348"/>
      <c r="AE135" s="348"/>
      <c r="AF135" s="348"/>
      <c r="AG135" s="348"/>
      <c r="AH135" s="348"/>
      <c r="AI135" s="348"/>
      <c r="AJ135" s="348"/>
      <c r="AK135" s="349"/>
      <c r="AL135" s="348"/>
      <c r="AM135" s="348"/>
      <c r="AN135" s="348"/>
      <c r="AO135" s="348"/>
      <c r="AP135" s="348"/>
      <c r="AQ135" s="348"/>
      <c r="AR135" s="348"/>
      <c r="AS135" s="348"/>
      <c r="AT135" s="348"/>
      <c r="AU135" s="348"/>
      <c r="AV135" s="348"/>
      <c r="AW135" s="548"/>
      <c r="AX135" s="348"/>
      <c r="AY135" s="348"/>
      <c r="AZ135" s="348"/>
      <c r="BA135" s="348"/>
      <c r="BB135" s="348"/>
      <c r="BC135" s="348"/>
      <c r="BD135" s="348"/>
      <c r="BE135" s="348"/>
      <c r="BF135" s="348"/>
      <c r="BG135" s="348"/>
      <c r="BH135" s="348"/>
      <c r="BI135" s="548"/>
      <c r="BJ135" s="348"/>
      <c r="BK135" s="348"/>
      <c r="BL135" s="348"/>
      <c r="DQ135" s="468"/>
      <c r="DR135" s="471" t="s">
        <v>354</v>
      </c>
      <c r="DS135" s="469" t="s">
        <v>338</v>
      </c>
      <c r="DT135" s="470" t="s">
        <v>311</v>
      </c>
      <c r="DU135" s="469" t="s">
        <v>339</v>
      </c>
      <c r="DV135" s="469" t="s">
        <v>343</v>
      </c>
      <c r="DW135" s="471" t="s">
        <v>354</v>
      </c>
      <c r="DX135" s="469" t="s">
        <v>338</v>
      </c>
      <c r="DY135" s="469" t="s">
        <v>311</v>
      </c>
      <c r="DZ135" s="469" t="s">
        <v>339</v>
      </c>
      <c r="EA135" s="469" t="s">
        <v>340</v>
      </c>
      <c r="EB135" s="472" t="s">
        <v>85</v>
      </c>
    </row>
    <row r="136" spans="1:181" ht="16" thickBot="1">
      <c r="A136" s="350" t="s">
        <v>152</v>
      </c>
      <c r="B136" s="351"/>
      <c r="C136" s="351"/>
      <c r="D136" s="351"/>
      <c r="E136" s="351"/>
      <c r="F136" s="351"/>
      <c r="G136" s="351"/>
      <c r="H136" s="351"/>
      <c r="I136" s="351"/>
      <c r="J136" s="351"/>
      <c r="K136" s="351"/>
      <c r="L136" s="351"/>
      <c r="M136" s="352"/>
      <c r="N136" s="353"/>
      <c r="O136" s="353"/>
      <c r="P136" s="353"/>
      <c r="Q136" s="353"/>
      <c r="R136" s="353"/>
      <c r="S136" s="353"/>
      <c r="T136" s="353"/>
      <c r="U136" s="353"/>
      <c r="V136" s="353"/>
      <c r="W136" s="353"/>
      <c r="X136" s="353"/>
      <c r="Y136" s="354"/>
      <c r="Z136" s="353"/>
      <c r="AA136" s="353"/>
      <c r="AB136" s="353"/>
      <c r="AC136" s="353"/>
      <c r="AD136" s="353"/>
      <c r="AE136" s="353"/>
      <c r="AF136" s="353"/>
      <c r="AG136" s="353"/>
      <c r="AH136" s="353"/>
      <c r="AI136" s="353"/>
      <c r="AJ136" s="353"/>
      <c r="AK136" s="354"/>
      <c r="AL136" s="353"/>
      <c r="AM136" s="353"/>
      <c r="AN136" s="353"/>
      <c r="AO136" s="353"/>
      <c r="AP136" s="353"/>
      <c r="AQ136" s="353"/>
      <c r="AR136" s="353"/>
      <c r="AS136" s="353"/>
      <c r="AT136" s="353"/>
      <c r="AU136" s="353"/>
      <c r="AV136" s="353"/>
      <c r="AW136" s="354"/>
      <c r="AX136" s="353"/>
      <c r="AY136" s="353"/>
      <c r="AZ136" s="353"/>
      <c r="BA136" s="353"/>
      <c r="BB136" s="353"/>
      <c r="BC136" s="353"/>
      <c r="BD136" s="353"/>
      <c r="BE136" s="353"/>
      <c r="BF136" s="353"/>
      <c r="BG136" s="353"/>
      <c r="BH136" s="353"/>
      <c r="BI136" s="354"/>
      <c r="BJ136" s="353"/>
      <c r="BK136" s="353"/>
      <c r="BL136" s="353"/>
      <c r="DQ136" s="6"/>
      <c r="DR136" s="115"/>
      <c r="DW136" s="115"/>
      <c r="EB136" s="116"/>
    </row>
    <row r="137" spans="1:181">
      <c r="DQ137" s="493" t="s">
        <v>348</v>
      </c>
      <c r="DR137" s="127">
        <v>816.77120000000002</v>
      </c>
      <c r="DS137" s="126">
        <v>96.360277136258645</v>
      </c>
      <c r="DT137" s="126">
        <v>67.47</v>
      </c>
      <c r="DU137" s="126">
        <v>39.735849056603769</v>
      </c>
      <c r="DV137" s="126">
        <v>93.793999999999997</v>
      </c>
      <c r="DW137" s="127">
        <v>920.04</v>
      </c>
      <c r="DX137" s="126">
        <v>74.878221988427157</v>
      </c>
      <c r="DY137" s="126">
        <v>35.904599999999995</v>
      </c>
      <c r="DZ137" s="126">
        <v>33.674172185430464</v>
      </c>
      <c r="EA137" s="126">
        <f>EA151*EA$149</f>
        <v>36.642655010000006</v>
      </c>
      <c r="EB137" s="495">
        <f>EB151*EB$149</f>
        <v>69.592355510399997</v>
      </c>
    </row>
    <row r="138" spans="1:181">
      <c r="DQ138" s="493" t="s">
        <v>287</v>
      </c>
      <c r="DR138" s="127">
        <v>450.05759999999998</v>
      </c>
      <c r="DS138" s="126">
        <v>46.442494226327945</v>
      </c>
      <c r="DT138" s="126">
        <v>34.6</v>
      </c>
      <c r="DU138" s="126">
        <v>24.249056603773582</v>
      </c>
      <c r="DV138" s="126">
        <v>46.781999999999996</v>
      </c>
      <c r="DW138" s="127">
        <v>457.77599999999995</v>
      </c>
      <c r="DX138" s="126">
        <v>37.014203051025788</v>
      </c>
      <c r="DY138" s="126">
        <v>20.093399999999999</v>
      </c>
      <c r="DZ138" s="126">
        <v>23.677152317880797</v>
      </c>
      <c r="EA138" s="126">
        <f t="shared" ref="EA138:EB146" si="254">EA152*EA$149</f>
        <v>27.964131455</v>
      </c>
      <c r="EB138" s="495">
        <f t="shared" si="254"/>
        <v>44.689208685600001</v>
      </c>
    </row>
    <row r="139" spans="1:181">
      <c r="A139" s="98" t="s">
        <v>317</v>
      </c>
      <c r="AS139" s="415"/>
      <c r="AT139" s="415"/>
      <c r="AU139" s="415"/>
      <c r="AV139" s="415"/>
      <c r="AW139" s="415"/>
      <c r="AY139" s="415"/>
      <c r="AZ139" s="415"/>
      <c r="BA139" s="415"/>
      <c r="BB139" s="415"/>
      <c r="BC139" s="415"/>
      <c r="BD139" s="415"/>
      <c r="BE139" s="415"/>
      <c r="BF139" s="415"/>
      <c r="BG139" s="415"/>
      <c r="BH139" s="415"/>
      <c r="BI139" s="415"/>
      <c r="BJ139" s="415"/>
      <c r="BK139" s="415"/>
      <c r="BL139" s="415"/>
      <c r="DQ139" s="493" t="s">
        <v>349</v>
      </c>
      <c r="DR139" s="127">
        <v>137.51759999999999</v>
      </c>
      <c r="DS139" s="126">
        <v>15.480831408775979</v>
      </c>
      <c r="DT139" s="126">
        <v>16.608000000000001</v>
      </c>
      <c r="DU139" s="126">
        <v>9.1698113207547163</v>
      </c>
      <c r="DV139" s="126">
        <v>15.777999999999999</v>
      </c>
      <c r="DW139" s="127">
        <v>166.05599999999998</v>
      </c>
      <c r="DX139" s="126">
        <v>13.124934245134142</v>
      </c>
      <c r="DY139" s="126">
        <v>8.2349999999999994</v>
      </c>
      <c r="DZ139" s="126">
        <v>6.8400662251655628</v>
      </c>
      <c r="EA139" s="126">
        <f t="shared" si="254"/>
        <v>7.9070992390000017</v>
      </c>
      <c r="EB139" s="495">
        <f t="shared" si="254"/>
        <v>12.963281908799999</v>
      </c>
    </row>
    <row r="140" spans="1:181" ht="16" thickBot="1">
      <c r="D140" s="126"/>
      <c r="G140" s="126"/>
      <c r="J140" s="126"/>
      <c r="M140" s="126"/>
      <c r="P140" s="126"/>
      <c r="S140" s="126"/>
      <c r="V140" s="126"/>
      <c r="Y140" s="126"/>
      <c r="AB140" s="126"/>
      <c r="AE140" s="126"/>
      <c r="AH140" s="126"/>
      <c r="AK140" s="126"/>
      <c r="AN140" s="126"/>
      <c r="AQ140" s="126"/>
      <c r="AR140" s="126"/>
      <c r="AS140" s="126"/>
      <c r="AT140" s="126"/>
      <c r="AU140" s="126"/>
      <c r="AV140" s="126"/>
      <c r="AW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  <c r="BI140" s="126"/>
      <c r="BJ140" s="126"/>
      <c r="BK140" s="126"/>
      <c r="BL140" s="126"/>
      <c r="DQ140" s="493" t="s">
        <v>170</v>
      </c>
      <c r="DR140" s="127">
        <v>395.88400000000001</v>
      </c>
      <c r="DS140" s="126">
        <v>48.022170900692835</v>
      </c>
      <c r="DT140" s="126">
        <v>26.641999999999999</v>
      </c>
      <c r="DU140" s="126">
        <v>14.569811320754717</v>
      </c>
      <c r="DV140" s="126">
        <v>45.402000000000001</v>
      </c>
      <c r="DW140" s="127">
        <v>430.84800000000001</v>
      </c>
      <c r="DX140" s="126">
        <v>28.98816412414519</v>
      </c>
      <c r="DY140" s="126">
        <v>12.023099999999998</v>
      </c>
      <c r="DZ140" s="126">
        <v>8.9447019867549677</v>
      </c>
      <c r="EA140" s="126">
        <f t="shared" si="254"/>
        <v>13.692781609000001</v>
      </c>
      <c r="EB140" s="495">
        <f t="shared" si="254"/>
        <v>27.973397803200001</v>
      </c>
    </row>
    <row r="141" spans="1:181" ht="20" customHeight="1">
      <c r="A141" s="100" t="s">
        <v>286</v>
      </c>
      <c r="B141" s="101">
        <v>39448</v>
      </c>
      <c r="C141" s="101">
        <v>39479</v>
      </c>
      <c r="D141" s="101">
        <v>39508</v>
      </c>
      <c r="E141" s="101">
        <v>39539</v>
      </c>
      <c r="F141" s="101">
        <v>39569</v>
      </c>
      <c r="G141" s="101">
        <v>39600</v>
      </c>
      <c r="H141" s="101">
        <v>39630</v>
      </c>
      <c r="I141" s="101">
        <v>39661</v>
      </c>
      <c r="J141" s="101">
        <v>39692</v>
      </c>
      <c r="K141" s="101">
        <v>39722</v>
      </c>
      <c r="L141" s="101">
        <v>39753</v>
      </c>
      <c r="M141" s="102">
        <v>39783</v>
      </c>
      <c r="N141" s="101">
        <v>39814</v>
      </c>
      <c r="O141" s="101">
        <v>39845</v>
      </c>
      <c r="P141" s="101">
        <v>39873</v>
      </c>
      <c r="Q141" s="101">
        <v>39904</v>
      </c>
      <c r="R141" s="101">
        <v>39934</v>
      </c>
      <c r="S141" s="101">
        <v>39965</v>
      </c>
      <c r="T141" s="101">
        <v>39995</v>
      </c>
      <c r="U141" s="101">
        <v>40026</v>
      </c>
      <c r="V141" s="101">
        <v>40057</v>
      </c>
      <c r="W141" s="101">
        <v>40087</v>
      </c>
      <c r="X141" s="101">
        <v>40118</v>
      </c>
      <c r="Y141" s="102">
        <v>40148</v>
      </c>
      <c r="Z141" s="101">
        <v>40179</v>
      </c>
      <c r="AA141" s="101">
        <v>40210</v>
      </c>
      <c r="AB141" s="101">
        <v>40238</v>
      </c>
      <c r="AC141" s="101">
        <v>40269</v>
      </c>
      <c r="AD141" s="101">
        <v>40299</v>
      </c>
      <c r="AE141" s="101">
        <v>40330</v>
      </c>
      <c r="AF141" s="101">
        <v>40360</v>
      </c>
      <c r="AG141" s="101">
        <v>40391</v>
      </c>
      <c r="AH141" s="101">
        <v>40422</v>
      </c>
      <c r="AI141" s="101">
        <v>40452</v>
      </c>
      <c r="AJ141" s="101">
        <v>40483</v>
      </c>
      <c r="AK141" s="102">
        <v>40513</v>
      </c>
      <c r="AL141" s="101">
        <v>40544</v>
      </c>
      <c r="AM141" s="101">
        <v>40575</v>
      </c>
      <c r="AN141" s="101">
        <v>40603</v>
      </c>
      <c r="AO141" s="101">
        <v>40634</v>
      </c>
      <c r="AP141" s="101">
        <v>40664</v>
      </c>
      <c r="AQ141" s="101">
        <v>40695</v>
      </c>
      <c r="AR141" s="101">
        <v>40725</v>
      </c>
      <c r="AS141" s="101">
        <v>40756</v>
      </c>
      <c r="AT141" s="101">
        <v>40787</v>
      </c>
      <c r="AU141" s="101">
        <v>40817</v>
      </c>
      <c r="AV141" s="101">
        <v>40848</v>
      </c>
      <c r="AW141" s="102">
        <v>40878</v>
      </c>
      <c r="AX141" s="101">
        <v>40909</v>
      </c>
      <c r="AY141" s="101">
        <v>40940</v>
      </c>
      <c r="AZ141" s="101">
        <v>40969</v>
      </c>
      <c r="BA141" s="101">
        <v>41000</v>
      </c>
      <c r="BB141" s="101">
        <v>41030</v>
      </c>
      <c r="BC141" s="101">
        <v>41061</v>
      </c>
      <c r="BD141" s="101">
        <v>41091</v>
      </c>
      <c r="BE141" s="101">
        <v>41122</v>
      </c>
      <c r="BF141" s="101">
        <v>41153</v>
      </c>
      <c r="BG141" s="101">
        <v>41183</v>
      </c>
      <c r="BH141" s="101">
        <v>41214</v>
      </c>
      <c r="BI141" s="102">
        <v>41244</v>
      </c>
      <c r="BJ141" s="101">
        <v>41275</v>
      </c>
      <c r="BK141" s="101">
        <v>41306</v>
      </c>
      <c r="BL141" s="101">
        <v>41334</v>
      </c>
      <c r="DQ141" s="493" t="s">
        <v>172</v>
      </c>
      <c r="DR141" s="127">
        <v>1504.3591999999999</v>
      </c>
      <c r="DS141" s="126">
        <v>157.96766743648959</v>
      </c>
      <c r="DT141" s="126">
        <v>115.91000000000001</v>
      </c>
      <c r="DU141" s="126">
        <v>76.415094339622641</v>
      </c>
      <c r="DV141" s="126">
        <v>152.99600000000001</v>
      </c>
      <c r="DW141" s="127">
        <v>1487.1952374509544</v>
      </c>
      <c r="DX141" s="126">
        <v>113.40320883745399</v>
      </c>
      <c r="DY141" s="126">
        <v>60.280199999999994</v>
      </c>
      <c r="DZ141" s="126">
        <v>51.5635761589404</v>
      </c>
      <c r="EA141" s="126">
        <f t="shared" si="254"/>
        <v>68.078195887000007</v>
      </c>
      <c r="EB141" s="495">
        <f t="shared" si="254"/>
        <v>121.44548314559999</v>
      </c>
    </row>
    <row r="142" spans="1:181">
      <c r="A142" s="5"/>
      <c r="M142" s="115"/>
      <c r="Y142" s="115"/>
      <c r="AK142" s="115"/>
      <c r="AW142" s="115"/>
      <c r="BI142" s="115"/>
      <c r="DQ142" s="493" t="s">
        <v>246</v>
      </c>
      <c r="DR142" s="127">
        <v>170.8552</v>
      </c>
      <c r="DS142" s="126">
        <v>22.220785219399538</v>
      </c>
      <c r="DT142" s="126">
        <v>17.3</v>
      </c>
      <c r="DU142" s="126">
        <v>10.392452830188677</v>
      </c>
      <c r="DV142" s="126">
        <v>22.033999999999999</v>
      </c>
      <c r="DW142" s="127">
        <v>222.75037207414431</v>
      </c>
      <c r="DX142" s="126">
        <v>18.318253550762758</v>
      </c>
      <c r="DY142" s="126">
        <v>9.5525999999999982</v>
      </c>
      <c r="DZ142" s="126">
        <v>9.6813245033112576</v>
      </c>
      <c r="EA142" s="126">
        <f t="shared" si="254"/>
        <v>11.764220819000002</v>
      </c>
      <c r="EB142" s="495">
        <f t="shared" si="254"/>
        <v>21.1506178512</v>
      </c>
    </row>
    <row r="143" spans="1:181">
      <c r="A143" s="5" t="s">
        <v>283</v>
      </c>
      <c r="H143" s="126"/>
      <c r="I143" s="126"/>
      <c r="J143" s="126"/>
      <c r="K143" s="126"/>
      <c r="L143" s="126"/>
      <c r="M143" s="127"/>
      <c r="N143" s="126"/>
      <c r="O143" s="126"/>
      <c r="P143" s="126"/>
      <c r="Q143" s="126"/>
      <c r="R143" s="126"/>
      <c r="S143" s="126"/>
      <c r="T143" s="126"/>
      <c r="U143" s="126"/>
      <c r="V143" s="126"/>
      <c r="W143" s="126"/>
      <c r="X143" s="126"/>
      <c r="Y143" s="127"/>
      <c r="Z143" s="126"/>
      <c r="AA143" s="126"/>
      <c r="AB143" s="126"/>
      <c r="AC143" s="126"/>
      <c r="AD143" s="126"/>
      <c r="AE143" s="126"/>
      <c r="AF143" s="126"/>
      <c r="AG143" s="126"/>
      <c r="AH143" s="126"/>
      <c r="AI143" s="126"/>
      <c r="AJ143" s="126"/>
      <c r="AK143" s="127"/>
      <c r="AL143" s="126"/>
      <c r="AM143" s="126"/>
      <c r="AN143" s="126"/>
      <c r="AO143" s="126"/>
      <c r="AP143" s="126"/>
      <c r="AQ143" s="173">
        <f t="shared" ref="AQ143:AU145" si="255">AQ119/AQ8</f>
        <v>0.31034482758620691</v>
      </c>
      <c r="AR143" s="173">
        <f t="shared" si="255"/>
        <v>0.30097087378640774</v>
      </c>
      <c r="AS143" s="173">
        <f t="shared" si="255"/>
        <v>0.2988505747126437</v>
      </c>
      <c r="AT143" s="173">
        <f t="shared" si="255"/>
        <v>0.3</v>
      </c>
      <c r="AU143" s="173">
        <f t="shared" si="255"/>
        <v>0.29523809523809524</v>
      </c>
      <c r="AV143" s="173">
        <f t="shared" ref="AV143:AW143" si="256">AV119/AV8</f>
        <v>0.29411764705882354</v>
      </c>
      <c r="AW143" s="205">
        <f t="shared" si="256"/>
        <v>0.30088495575221241</v>
      </c>
      <c r="AX143" s="173">
        <f t="shared" ref="AX143:AZ143" si="257">AX119/AX8</f>
        <v>0.31147540983606559</v>
      </c>
      <c r="AY143" s="173">
        <f t="shared" si="257"/>
        <v>0.30555555555555558</v>
      </c>
      <c r="AZ143" s="173">
        <f t="shared" si="257"/>
        <v>0.29896907216494845</v>
      </c>
      <c r="BA143" s="173">
        <f t="shared" ref="BA143:BB143" si="258">BA119/BA8</f>
        <v>0.29591836734693877</v>
      </c>
      <c r="BB143" s="173">
        <f t="shared" si="258"/>
        <v>0.28846153846153844</v>
      </c>
      <c r="BC143" s="173">
        <f t="shared" ref="BC143:BD143" si="259">BC119/BC8</f>
        <v>0.28888888888888886</v>
      </c>
      <c r="BD143" s="173">
        <f t="shared" si="259"/>
        <v>0.29761904761904762</v>
      </c>
      <c r="BE143" s="173">
        <f t="shared" ref="BE143:BF143" si="260">BE119/BE8</f>
        <v>0.29166666666666669</v>
      </c>
      <c r="BF143" s="173">
        <f t="shared" si="260"/>
        <v>0.29629629629629628</v>
      </c>
      <c r="BG143" s="173">
        <f t="shared" ref="BG143:BL143" si="261">BG119/BG8</f>
        <v>0.29411764705882354</v>
      </c>
      <c r="BH143" s="173" t="e">
        <f t="shared" si="261"/>
        <v>#DIV/0!</v>
      </c>
      <c r="BI143" s="205" t="e">
        <f t="shared" si="261"/>
        <v>#DIV/0!</v>
      </c>
      <c r="BJ143" s="173" t="e">
        <f t="shared" si="261"/>
        <v>#DIV/0!</v>
      </c>
      <c r="BK143" s="173" t="e">
        <f t="shared" si="261"/>
        <v>#DIV/0!</v>
      </c>
      <c r="BL143" s="173" t="e">
        <f t="shared" si="261"/>
        <v>#DIV/0!</v>
      </c>
      <c r="DQ143" s="493" t="s">
        <v>200</v>
      </c>
      <c r="DR143" s="127">
        <v>154.18639999999999</v>
      </c>
      <c r="DS143" s="126">
        <v>18.95612009237875</v>
      </c>
      <c r="DT143" s="126">
        <v>0</v>
      </c>
      <c r="DU143" s="126">
        <v>8.9660377358490564</v>
      </c>
      <c r="DV143" s="126">
        <v>22.494</v>
      </c>
      <c r="DW143" s="127">
        <v>214.14801785955899</v>
      </c>
      <c r="DX143" s="126">
        <v>21.717517096265126</v>
      </c>
      <c r="DY143" s="126"/>
      <c r="DZ143" s="126">
        <v>7.9976158940397344</v>
      </c>
      <c r="EA143" s="126">
        <f t="shared" si="254"/>
        <v>10.414228266</v>
      </c>
      <c r="EB143" s="495">
        <f t="shared" si="254"/>
        <v>15.692393889599998</v>
      </c>
    </row>
    <row r="144" spans="1:181">
      <c r="A144" s="5" t="s">
        <v>157</v>
      </c>
      <c r="B144" s="126"/>
      <c r="C144" s="126"/>
      <c r="D144" s="126"/>
      <c r="E144" s="126"/>
      <c r="F144" s="126"/>
      <c r="G144" s="126"/>
      <c r="H144" s="126"/>
      <c r="I144" s="126"/>
      <c r="J144" s="126"/>
      <c r="K144" s="126"/>
      <c r="L144" s="126"/>
      <c r="M144" s="127"/>
      <c r="N144" s="173">
        <f t="shared" ref="N144:AP144" si="262">N120/N9</f>
        <v>0.28359999999999996</v>
      </c>
      <c r="O144" s="173">
        <f t="shared" si="262"/>
        <v>0.39249999999999996</v>
      </c>
      <c r="P144" s="173">
        <f t="shared" si="262"/>
        <v>0.26580000000000004</v>
      </c>
      <c r="Q144" s="173">
        <f t="shared" si="262"/>
        <v>0.17579999999999996</v>
      </c>
      <c r="R144" s="173">
        <f t="shared" si="262"/>
        <v>0.13749999999999996</v>
      </c>
      <c r="S144" s="173">
        <f t="shared" si="262"/>
        <v>0.21640000000000004</v>
      </c>
      <c r="T144" s="173">
        <f t="shared" si="262"/>
        <v>0.20469999999999999</v>
      </c>
      <c r="U144" s="173">
        <f t="shared" si="262"/>
        <v>1.5199999999999991E-2</v>
      </c>
      <c r="V144" s="173">
        <f t="shared" si="262"/>
        <v>0.26859999999999995</v>
      </c>
      <c r="W144" s="173">
        <f t="shared" si="262"/>
        <v>0.29520000000000002</v>
      </c>
      <c r="X144" s="173">
        <f t="shared" si="262"/>
        <v>0.32830000000000004</v>
      </c>
      <c r="Y144" s="205">
        <f t="shared" si="262"/>
        <v>0.12937867065868308</v>
      </c>
      <c r="Z144" s="173">
        <f t="shared" si="262"/>
        <v>0.15900000000000003</v>
      </c>
      <c r="AA144" s="173">
        <f t="shared" si="262"/>
        <v>0.16110000000000002</v>
      </c>
      <c r="AB144" s="173">
        <f t="shared" si="262"/>
        <v>0.19840000000000002</v>
      </c>
      <c r="AC144" s="173">
        <f t="shared" si="262"/>
        <v>0.18979999999999994</v>
      </c>
      <c r="AD144" s="173">
        <f t="shared" si="262"/>
        <v>0.1482</v>
      </c>
      <c r="AE144" s="173">
        <f t="shared" si="262"/>
        <v>0.18054317821019814</v>
      </c>
      <c r="AF144" s="173">
        <f t="shared" si="262"/>
        <v>0.29869999999999997</v>
      </c>
      <c r="AG144" s="173">
        <f t="shared" si="262"/>
        <v>0.30869999999999997</v>
      </c>
      <c r="AH144" s="173">
        <f t="shared" si="262"/>
        <v>0.28069999999999995</v>
      </c>
      <c r="AI144" s="173">
        <f t="shared" si="262"/>
        <v>3.4599999999999964E-2</v>
      </c>
      <c r="AJ144" s="173">
        <f t="shared" si="262"/>
        <v>0.21860000000000002</v>
      </c>
      <c r="AK144" s="205">
        <f t="shared" si="262"/>
        <v>0.1077</v>
      </c>
      <c r="AL144" s="173">
        <f t="shared" si="262"/>
        <v>0.16679999999999995</v>
      </c>
      <c r="AM144" s="173">
        <f t="shared" si="262"/>
        <v>0.30269999999999997</v>
      </c>
      <c r="AN144" s="173">
        <f t="shared" si="262"/>
        <v>8.7400000000000033E-2</v>
      </c>
      <c r="AO144" s="173">
        <f t="shared" si="262"/>
        <v>0.29390000000000005</v>
      </c>
      <c r="AP144" s="173">
        <f t="shared" si="262"/>
        <v>8.7400000000000033E-2</v>
      </c>
      <c r="AQ144" s="173">
        <f t="shared" si="255"/>
        <v>8.7400000000000033E-2</v>
      </c>
      <c r="AR144" s="173">
        <f t="shared" si="255"/>
        <v>0.21760000000000002</v>
      </c>
      <c r="AS144" s="173">
        <f t="shared" si="255"/>
        <v>0.18710000000000007</v>
      </c>
      <c r="AT144" s="173">
        <f t="shared" si="255"/>
        <v>0.20519495130274723</v>
      </c>
      <c r="AU144" s="173">
        <f t="shared" si="255"/>
        <v>0.2702</v>
      </c>
      <c r="AV144" s="173">
        <f t="shared" ref="AV144:AW144" si="263">AV120/AV9</f>
        <v>0.27860000000000001</v>
      </c>
      <c r="AW144" s="205">
        <f t="shared" si="263"/>
        <v>0.28773919086175243</v>
      </c>
      <c r="AX144" s="173">
        <f t="shared" ref="AX144:AZ144" si="264">AX120/AX9</f>
        <v>0.30260201273355392</v>
      </c>
      <c r="AY144" s="173">
        <f t="shared" si="264"/>
        <v>0.29699729198471042</v>
      </c>
      <c r="AZ144" s="173">
        <f t="shared" si="264"/>
        <v>0.25309999999999999</v>
      </c>
      <c r="BA144" s="173">
        <f t="shared" ref="BA144:BB144" si="265">BA120/BA9</f>
        <v>0.22350000000000003</v>
      </c>
      <c r="BB144" s="173">
        <f t="shared" si="265"/>
        <v>0.11673177030960374</v>
      </c>
      <c r="BC144" s="173">
        <f t="shared" ref="BC144:BD144" si="266">BC120/BC9</f>
        <v>0.1351</v>
      </c>
      <c r="BD144" s="173">
        <f t="shared" si="266"/>
        <v>0.2564693997525872</v>
      </c>
      <c r="BE144" s="173">
        <f t="shared" ref="BE144:BF144" si="267">BE120/BE9</f>
        <v>0.19624778260348416</v>
      </c>
      <c r="BF144" s="173">
        <f t="shared" si="267"/>
        <v>-2.0885552490336759E-2</v>
      </c>
      <c r="BG144" s="173">
        <f t="shared" ref="BG144:BL144" si="268">BG120/BG9</f>
        <v>0.21784263845399199</v>
      </c>
      <c r="BH144" s="173">
        <f t="shared" si="268"/>
        <v>0.19580339961693288</v>
      </c>
      <c r="BI144" s="205">
        <f t="shared" si="268"/>
        <v>0.19580339961693291</v>
      </c>
      <c r="BJ144" s="173" t="e">
        <f t="shared" si="268"/>
        <v>#DIV/0!</v>
      </c>
      <c r="BK144" s="173" t="e">
        <f t="shared" si="268"/>
        <v>#DIV/0!</v>
      </c>
      <c r="BL144" s="173" t="e">
        <f t="shared" si="268"/>
        <v>#DIV/0!</v>
      </c>
      <c r="DQ144" s="493" t="s">
        <v>215</v>
      </c>
      <c r="DR144" s="127">
        <v>225.02879999999999</v>
      </c>
      <c r="DS144" s="126">
        <v>27.907621247113159</v>
      </c>
      <c r="DT144" s="126">
        <v>26.988</v>
      </c>
      <c r="DU144" s="126">
        <v>12.633962264150941</v>
      </c>
      <c r="DV144" s="126">
        <v>28.151999999999997</v>
      </c>
      <c r="DW144" s="127">
        <v>273.35245568935204</v>
      </c>
      <c r="DX144" s="126">
        <v>20.490005260389271</v>
      </c>
      <c r="DY144" s="126">
        <v>10.0467</v>
      </c>
      <c r="DZ144" s="126">
        <v>9.7865562913907294</v>
      </c>
      <c r="EA144" s="126">
        <f t="shared" si="254"/>
        <v>11.571364740000002</v>
      </c>
      <c r="EB144" s="495">
        <f t="shared" si="254"/>
        <v>22.174034844000001</v>
      </c>
    </row>
    <row r="145" spans="1:132">
      <c r="A145" s="136" t="s">
        <v>194</v>
      </c>
      <c r="B145" s="129"/>
      <c r="C145" s="129"/>
      <c r="D145" s="129"/>
      <c r="E145" s="129"/>
      <c r="F145" s="129"/>
      <c r="G145" s="129"/>
      <c r="H145" s="137"/>
      <c r="I145" s="137"/>
      <c r="J145" s="137"/>
      <c r="K145" s="137"/>
      <c r="L145" s="137"/>
      <c r="M145" s="292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293"/>
      <c r="Z145" s="138"/>
      <c r="AA145" s="138"/>
      <c r="AB145" s="138"/>
      <c r="AC145" s="138"/>
      <c r="AD145" s="138"/>
      <c r="AE145" s="138"/>
      <c r="AF145" s="138"/>
      <c r="AG145" s="138"/>
      <c r="AH145" s="138"/>
      <c r="AI145" s="138"/>
      <c r="AJ145" s="138"/>
      <c r="AK145" s="293"/>
      <c r="AL145" s="138"/>
      <c r="AM145" s="138"/>
      <c r="AN145" s="138"/>
      <c r="AO145" s="138"/>
      <c r="AP145" s="138"/>
      <c r="AQ145" s="305">
        <f t="shared" si="255"/>
        <v>0.17953850885729425</v>
      </c>
      <c r="AR145" s="305">
        <f t="shared" si="255"/>
        <v>0.25038460705583754</v>
      </c>
      <c r="AS145" s="305">
        <f t="shared" si="255"/>
        <v>0.22184035666739979</v>
      </c>
      <c r="AT145" s="305">
        <f t="shared" si="255"/>
        <v>0.22498544678158339</v>
      </c>
      <c r="AU145" s="305">
        <f t="shared" si="255"/>
        <v>0.27538470425078299</v>
      </c>
      <c r="AV145" s="305">
        <f t="shared" ref="AV145:AW145" si="269">AV121/AV10</f>
        <v>0.28212081848201215</v>
      </c>
      <c r="AW145" s="549">
        <f t="shared" si="269"/>
        <v>0.291160984855247</v>
      </c>
      <c r="AX145" s="305">
        <f t="shared" ref="AX145:AZ145" si="270">AX121/AX10</f>
        <v>0.30392763930884187</v>
      </c>
      <c r="AY145" s="305">
        <f t="shared" si="270"/>
        <v>0.29849030301300755</v>
      </c>
      <c r="AZ145" s="305">
        <f t="shared" si="270"/>
        <v>0.26250157064148272</v>
      </c>
      <c r="BA145" s="305">
        <f t="shared" ref="BA145:BB145" si="271">BA121/BA10</f>
        <v>0.23868539698620392</v>
      </c>
      <c r="BB145" s="305">
        <f t="shared" si="271"/>
        <v>0.1609577495218292</v>
      </c>
      <c r="BC145" s="305">
        <f t="shared" ref="BC145:BD145" si="272">BC121/BC10</f>
        <v>0.17458035737410696</v>
      </c>
      <c r="BD145" s="305">
        <f t="shared" si="272"/>
        <v>0.27020440805320173</v>
      </c>
      <c r="BE145" s="305">
        <f t="shared" ref="BE145:BF145" si="273">BE121/BE10</f>
        <v>0.22070375035973822</v>
      </c>
      <c r="BF145" s="305">
        <f t="shared" si="273"/>
        <v>3.447979343276434E-2</v>
      </c>
      <c r="BG145" s="305">
        <f t="shared" ref="BG145:BL145" si="274">BG121/BG10</f>
        <v>0.23110212433347055</v>
      </c>
      <c r="BH145" s="305">
        <f t="shared" si="274"/>
        <v>0.19580339961693288</v>
      </c>
      <c r="BI145" s="549">
        <f t="shared" si="274"/>
        <v>0.19580339961693291</v>
      </c>
      <c r="BJ145" s="305" t="e">
        <f t="shared" si="274"/>
        <v>#DIV/0!</v>
      </c>
      <c r="BK145" s="305" t="e">
        <f t="shared" si="274"/>
        <v>#DIV/0!</v>
      </c>
      <c r="BL145" s="305" t="e">
        <f t="shared" si="274"/>
        <v>#DIV/0!</v>
      </c>
      <c r="DQ145" s="493" t="s">
        <v>213</v>
      </c>
      <c r="DR145" s="127">
        <v>0</v>
      </c>
      <c r="DS145" s="126">
        <v>4.8443418013856805</v>
      </c>
      <c r="DT145" s="126">
        <v>3.1140000000000003</v>
      </c>
      <c r="DU145" s="126">
        <v>1.7320754716981128</v>
      </c>
      <c r="DV145" s="126"/>
      <c r="DW145" s="127">
        <v>38.356379380327432</v>
      </c>
      <c r="DX145" s="126">
        <v>2.5494476591267761</v>
      </c>
      <c r="DY145" s="126">
        <v>1.647</v>
      </c>
      <c r="DZ145" s="126">
        <v>1.4732450331125826</v>
      </c>
      <c r="EA145" s="126">
        <f t="shared" si="254"/>
        <v>1.7357047110000001</v>
      </c>
      <c r="EB145" s="495"/>
    </row>
    <row r="146" spans="1:132">
      <c r="A146" s="5"/>
      <c r="H146" s="126"/>
      <c r="I146" s="126"/>
      <c r="J146" s="126"/>
      <c r="K146" s="126"/>
      <c r="L146" s="126"/>
      <c r="M146" s="127"/>
      <c r="N146" s="126"/>
      <c r="O146" s="126"/>
      <c r="P146" s="126"/>
      <c r="Q146" s="126"/>
      <c r="R146" s="126"/>
      <c r="S146" s="126"/>
      <c r="T146" s="126"/>
      <c r="U146" s="126"/>
      <c r="V146" s="126"/>
      <c r="W146" s="126"/>
      <c r="X146" s="126"/>
      <c r="Y146" s="127"/>
      <c r="Z146" s="126"/>
      <c r="AA146" s="126"/>
      <c r="AB146" s="126"/>
      <c r="AC146" s="126"/>
      <c r="AD146" s="126"/>
      <c r="AE146" s="126"/>
      <c r="AF146" s="126"/>
      <c r="AG146" s="126"/>
      <c r="AH146" s="126"/>
      <c r="AI146" s="126"/>
      <c r="AJ146" s="126"/>
      <c r="AK146" s="127"/>
      <c r="AL146" s="126"/>
      <c r="AM146" s="126"/>
      <c r="AN146" s="126"/>
      <c r="AO146" s="126"/>
      <c r="AP146" s="126"/>
      <c r="AQ146" s="173"/>
      <c r="AR146" s="173"/>
      <c r="AS146" s="173"/>
      <c r="AT146" s="173"/>
      <c r="AU146" s="173"/>
      <c r="AV146" s="173"/>
      <c r="AW146" s="205"/>
      <c r="AX146" s="173"/>
      <c r="AY146" s="173"/>
      <c r="AZ146" s="173"/>
      <c r="BA146" s="173"/>
      <c r="BB146" s="173"/>
      <c r="BC146" s="173"/>
      <c r="BD146" s="173"/>
      <c r="BE146" s="173"/>
      <c r="BF146" s="173"/>
      <c r="BG146" s="173"/>
      <c r="BH146" s="173"/>
      <c r="BI146" s="205"/>
      <c r="BJ146" s="173"/>
      <c r="BK146" s="173"/>
      <c r="BL146" s="173"/>
      <c r="DQ146" s="493" t="s">
        <v>350</v>
      </c>
      <c r="DR146" s="127">
        <v>0</v>
      </c>
      <c r="DS146" s="126">
        <v>0.42124711316397223</v>
      </c>
      <c r="DT146" s="126">
        <v>0.69200000000000006</v>
      </c>
      <c r="DU146" s="126"/>
      <c r="DV146" s="126"/>
      <c r="DW146" s="127">
        <v>9.5131917196590479</v>
      </c>
      <c r="DX146" s="126">
        <v>1.4163598106259865</v>
      </c>
      <c r="DY146" s="126">
        <v>0.98819999999999997</v>
      </c>
      <c r="DZ146" s="126">
        <v>0.94708609271523192</v>
      </c>
      <c r="EA146" s="126">
        <f t="shared" si="254"/>
        <v>1.1571364740000001</v>
      </c>
      <c r="EB146" s="495"/>
    </row>
    <row r="147" spans="1:132">
      <c r="A147" s="5" t="s">
        <v>293</v>
      </c>
      <c r="H147" s="126"/>
      <c r="I147" s="126"/>
      <c r="J147" s="126"/>
      <c r="K147" s="126"/>
      <c r="L147" s="126"/>
      <c r="M147" s="127"/>
      <c r="N147" s="126"/>
      <c r="O147" s="126"/>
      <c r="P147" s="126"/>
      <c r="Q147" s="126"/>
      <c r="R147" s="126"/>
      <c r="S147" s="126"/>
      <c r="T147" s="126"/>
      <c r="U147" s="126"/>
      <c r="V147" s="126"/>
      <c r="W147" s="126"/>
      <c r="X147" s="126"/>
      <c r="Y147" s="127"/>
      <c r="Z147" s="126"/>
      <c r="AA147" s="126"/>
      <c r="AB147" s="126"/>
      <c r="AC147" s="126"/>
      <c r="AD147" s="126"/>
      <c r="AE147" s="126"/>
      <c r="AF147" s="126"/>
      <c r="AG147" s="126"/>
      <c r="AH147" s="126"/>
      <c r="AI147" s="126"/>
      <c r="AJ147" s="126"/>
      <c r="AK147" s="127"/>
      <c r="AL147" s="126"/>
      <c r="AM147" s="126"/>
      <c r="AN147" s="126"/>
      <c r="AO147" s="126"/>
      <c r="AP147" s="126"/>
      <c r="AQ147" s="173">
        <f t="shared" ref="AQ147:AU151" si="275">AQ123/AQ12</f>
        <v>0.24426508071367883</v>
      </c>
      <c r="AR147" s="173">
        <f t="shared" si="275"/>
        <v>0.24328789756299049</v>
      </c>
      <c r="AS147" s="173">
        <f t="shared" si="275"/>
        <v>0.24517906336088155</v>
      </c>
      <c r="AT147" s="173">
        <f t="shared" si="275"/>
        <v>0.24470384781668827</v>
      </c>
      <c r="AU147" s="173">
        <f t="shared" si="275"/>
        <v>0.24574512245745123</v>
      </c>
      <c r="AV147" s="173">
        <f t="shared" ref="AV147:AW147" si="276">AV123/AV12</f>
        <v>0.24472922695328647</v>
      </c>
      <c r="AW147" s="205">
        <f t="shared" si="276"/>
        <v>0.24325351577347015</v>
      </c>
      <c r="AX147" s="173">
        <f t="shared" ref="AX147:AZ147" si="277">AX123/AX12</f>
        <v>0.24368378158109211</v>
      </c>
      <c r="AY147" s="173">
        <f t="shared" si="277"/>
        <v>0.24405563032750113</v>
      </c>
      <c r="AZ147" s="173">
        <f t="shared" si="277"/>
        <v>0.22472701655512503</v>
      </c>
      <c r="BA147" s="173">
        <f t="shared" ref="BA147:BB147" si="278">BA123/BA12</f>
        <v>0.25010508617065996</v>
      </c>
      <c r="BB147" s="173">
        <f t="shared" si="278"/>
        <v>0.25031982942430703</v>
      </c>
      <c r="BC147" s="173">
        <f t="shared" ref="BC147:BD147" si="279">BC123/BC12</f>
        <v>0.25034965034965034</v>
      </c>
      <c r="BD147" s="173">
        <f t="shared" si="279"/>
        <v>0.24172794117647059</v>
      </c>
      <c r="BE147" s="173">
        <f t="shared" ref="BE147:BF147" si="280">BE123/BE12</f>
        <v>0.24173151750972763</v>
      </c>
      <c r="BF147" s="173">
        <f t="shared" si="280"/>
        <v>0.24264373019465821</v>
      </c>
      <c r="BG147" s="173">
        <f t="shared" ref="BG147:BL147" si="281">BG123/BG12</f>
        <v>0.2421875</v>
      </c>
      <c r="BH147" s="173" t="e">
        <f t="shared" si="281"/>
        <v>#DIV/0!</v>
      </c>
      <c r="BI147" s="205" t="e">
        <f t="shared" si="281"/>
        <v>#DIV/0!</v>
      </c>
      <c r="BJ147" s="173" t="e">
        <f t="shared" si="281"/>
        <v>#DIV/0!</v>
      </c>
      <c r="BK147" s="173" t="e">
        <f t="shared" si="281"/>
        <v>#DIV/0!</v>
      </c>
      <c r="BL147" s="173" t="e">
        <f t="shared" si="281"/>
        <v>#DIV/0!</v>
      </c>
      <c r="DQ147" s="493" t="s">
        <v>351</v>
      </c>
      <c r="DR147" s="127"/>
      <c r="DS147" s="126"/>
      <c r="DT147" s="126">
        <v>36.676000000000002</v>
      </c>
      <c r="DU147" s="126"/>
      <c r="DV147" s="126"/>
      <c r="DW147" s="127"/>
      <c r="DX147" s="126">
        <v>0.56654392425039457</v>
      </c>
      <c r="DY147" s="126"/>
      <c r="DZ147" s="126"/>
      <c r="EA147" s="126"/>
      <c r="EB147" s="495"/>
    </row>
    <row r="148" spans="1:132">
      <c r="A148" s="5" t="s">
        <v>289</v>
      </c>
      <c r="H148" s="126"/>
      <c r="I148" s="126"/>
      <c r="J148" s="126"/>
      <c r="K148" s="126"/>
      <c r="L148" s="126"/>
      <c r="M148" s="127"/>
      <c r="N148" s="126"/>
      <c r="O148" s="126"/>
      <c r="P148" s="126"/>
      <c r="Q148" s="126"/>
      <c r="R148" s="126"/>
      <c r="S148" s="126"/>
      <c r="T148" s="126"/>
      <c r="U148" s="126"/>
      <c r="V148" s="126"/>
      <c r="W148" s="126"/>
      <c r="X148" s="126"/>
      <c r="Y148" s="127"/>
      <c r="Z148" s="126"/>
      <c r="AA148" s="126"/>
      <c r="AB148" s="126"/>
      <c r="AC148" s="126"/>
      <c r="AD148" s="126"/>
      <c r="AE148" s="126"/>
      <c r="AF148" s="126"/>
      <c r="AG148" s="126"/>
      <c r="AH148" s="126"/>
      <c r="AI148" s="126"/>
      <c r="AJ148" s="126"/>
      <c r="AK148" s="127"/>
      <c r="AL148" s="126"/>
      <c r="AM148" s="126"/>
      <c r="AN148" s="126"/>
      <c r="AO148" s="126"/>
      <c r="AP148" s="126"/>
      <c r="AQ148" s="173">
        <f t="shared" si="275"/>
        <v>8.608695652173913E-2</v>
      </c>
      <c r="AR148" s="173">
        <f t="shared" si="275"/>
        <v>0.11739864864864864</v>
      </c>
      <c r="AS148" s="173">
        <f t="shared" si="275"/>
        <v>0.11798287345385347</v>
      </c>
      <c r="AT148" s="173">
        <f t="shared" si="275"/>
        <v>0.11748878923766816</v>
      </c>
      <c r="AU148" s="173">
        <f t="shared" si="275"/>
        <v>0.11725846407927333</v>
      </c>
      <c r="AV148" s="173">
        <f t="shared" ref="AV148:AW148" si="282">AV124/AV13</f>
        <v>0.11782708492731446</v>
      </c>
      <c r="AW148" s="205">
        <f t="shared" si="282"/>
        <v>0.11731843575418995</v>
      </c>
      <c r="AX148" s="173">
        <f t="shared" ref="AX148:AZ148" si="283">AX124/AX13</f>
        <v>0.11552346570397112</v>
      </c>
      <c r="AY148" s="173">
        <f t="shared" si="283"/>
        <v>0.11689884918231375</v>
      </c>
      <c r="AZ148" s="173">
        <f t="shared" si="283"/>
        <v>0.11777301927194861</v>
      </c>
      <c r="BA148" s="173">
        <f t="shared" ref="BA148:BB148" si="284">BA124/BA13</f>
        <v>0.11595055915244261</v>
      </c>
      <c r="BB148" s="173">
        <f t="shared" si="284"/>
        <v>0.11523545706371191</v>
      </c>
      <c r="BC148" s="173">
        <f t="shared" ref="BC148:BD148" si="285">BC124/BC13</f>
        <v>0.11561382598331346</v>
      </c>
      <c r="BD148" s="173">
        <f t="shared" si="285"/>
        <v>0.11593118922961855</v>
      </c>
      <c r="BE148" s="173">
        <f t="shared" ref="BE148:BF148" si="286">BE124/BE13</f>
        <v>0.11529026982829109</v>
      </c>
      <c r="BF148" s="173">
        <f t="shared" si="286"/>
        <v>0.11404189294026378</v>
      </c>
      <c r="BG148" s="173">
        <f t="shared" ref="BG148:BL148" si="287">BG124/BG13</f>
        <v>0.11447084233261338</v>
      </c>
      <c r="BH148" s="173" t="e">
        <f t="shared" si="287"/>
        <v>#DIV/0!</v>
      </c>
      <c r="BI148" s="205" t="e">
        <f t="shared" si="287"/>
        <v>#DIV/0!</v>
      </c>
      <c r="BJ148" s="173" t="e">
        <f t="shared" si="287"/>
        <v>#DIV/0!</v>
      </c>
      <c r="BK148" s="173" t="e">
        <f t="shared" si="287"/>
        <v>#DIV/0!</v>
      </c>
      <c r="BL148" s="173" t="e">
        <f t="shared" si="287"/>
        <v>#DIV/0!</v>
      </c>
      <c r="DQ148" s="493" t="s">
        <v>174</v>
      </c>
      <c r="DR148" s="127">
        <v>312.53999999999996</v>
      </c>
      <c r="DS148" s="126">
        <v>17.376443418013857</v>
      </c>
      <c r="DT148" s="126"/>
      <c r="DU148" s="126">
        <v>18.135849056603771</v>
      </c>
      <c r="DV148" s="126">
        <v>32.567999999999998</v>
      </c>
      <c r="DW148" s="127">
        <v>266.47057231768378</v>
      </c>
      <c r="DX148" s="126">
        <v>26.533140452393486</v>
      </c>
      <c r="DY148" s="126">
        <v>5.9292000000000007</v>
      </c>
      <c r="DZ148" s="126">
        <v>4.314503311258278</v>
      </c>
      <c r="EA148" s="126">
        <f>EA165*EA$149</f>
        <v>1.9285607900000004</v>
      </c>
      <c r="EB148" s="495">
        <f>EB165*EB$149</f>
        <v>5.4582239615999999</v>
      </c>
    </row>
    <row r="149" spans="1:132">
      <c r="A149" s="5" t="s">
        <v>280</v>
      </c>
      <c r="H149" s="126"/>
      <c r="I149" s="126"/>
      <c r="J149" s="126"/>
      <c r="K149" s="126"/>
      <c r="L149" s="126"/>
      <c r="M149" s="127"/>
      <c r="N149" s="126"/>
      <c r="O149" s="126"/>
      <c r="P149" s="126"/>
      <c r="Q149" s="126"/>
      <c r="R149" s="126"/>
      <c r="S149" s="126"/>
      <c r="T149" s="126"/>
      <c r="U149" s="126"/>
      <c r="V149" s="126"/>
      <c r="W149" s="126"/>
      <c r="X149" s="126"/>
      <c r="Y149" s="127"/>
      <c r="Z149" s="126"/>
      <c r="AA149" s="126"/>
      <c r="AB149" s="126"/>
      <c r="AC149" s="126"/>
      <c r="AD149" s="126"/>
      <c r="AE149" s="126"/>
      <c r="AF149" s="126"/>
      <c r="AG149" s="126"/>
      <c r="AH149" s="126"/>
      <c r="AI149" s="126"/>
      <c r="AJ149" s="126"/>
      <c r="AK149" s="127"/>
      <c r="AL149" s="126"/>
      <c r="AM149" s="126"/>
      <c r="AN149" s="126"/>
      <c r="AO149" s="126"/>
      <c r="AP149" s="126"/>
      <c r="AQ149" s="173">
        <f t="shared" si="275"/>
        <v>0.3</v>
      </c>
      <c r="AR149" s="173">
        <f t="shared" si="275"/>
        <v>0.29931972789115646</v>
      </c>
      <c r="AS149" s="173">
        <f t="shared" si="275"/>
        <v>0.29285714285714287</v>
      </c>
      <c r="AT149" s="173">
        <f t="shared" si="275"/>
        <v>0.3</v>
      </c>
      <c r="AU149" s="173">
        <f t="shared" si="275"/>
        <v>0.29870129870129869</v>
      </c>
      <c r="AV149" s="173">
        <f t="shared" ref="AV149:AW149" si="288">AV125/AV14</f>
        <v>0.29931972789115646</v>
      </c>
      <c r="AW149" s="205">
        <f t="shared" si="288"/>
        <v>0.29761904761904762</v>
      </c>
      <c r="AX149" s="173">
        <f t="shared" ref="AX149:AZ149" si="289">AX125/AX14</f>
        <v>0.29411764705882354</v>
      </c>
      <c r="AY149" s="173">
        <f t="shared" si="289"/>
        <v>0.29850746268656714</v>
      </c>
      <c r="AZ149" s="173">
        <f t="shared" si="289"/>
        <v>0.29530201342281881</v>
      </c>
      <c r="BA149" s="173">
        <f t="shared" ref="BA149:BB149" si="290">BA125/BA14</f>
        <v>0.29605263157894735</v>
      </c>
      <c r="BB149" s="173">
        <f t="shared" si="290"/>
        <v>0.29577464788732394</v>
      </c>
      <c r="BC149" s="173">
        <f t="shared" ref="BC149:BD149" si="291">BC125/BC14</f>
        <v>0.29599999999999999</v>
      </c>
      <c r="BD149" s="173">
        <f t="shared" si="291"/>
        <v>0.29365079365079366</v>
      </c>
      <c r="BE149" s="173">
        <f t="shared" ref="BE149:BF149" si="292">BE125/BE14</f>
        <v>0.30158730158730157</v>
      </c>
      <c r="BF149" s="173">
        <f t="shared" si="292"/>
        <v>0.29365079365079366</v>
      </c>
      <c r="BG149" s="173">
        <f t="shared" ref="BG149:BL149" si="293">BG125/BG14</f>
        <v>0.296875</v>
      </c>
      <c r="BH149" s="173" t="e">
        <f t="shared" si="293"/>
        <v>#DIV/0!</v>
      </c>
      <c r="BI149" s="205" t="e">
        <f t="shared" si="293"/>
        <v>#DIV/0!</v>
      </c>
      <c r="BJ149" s="173" t="e">
        <f t="shared" si="293"/>
        <v>#DIV/0!</v>
      </c>
      <c r="BK149" s="173" t="e">
        <f t="shared" si="293"/>
        <v>#DIV/0!</v>
      </c>
      <c r="BL149" s="173" t="e">
        <f t="shared" si="293"/>
        <v>#DIV/0!</v>
      </c>
      <c r="DQ149" s="496" t="s">
        <v>352</v>
      </c>
      <c r="DR149" s="497">
        <f>SUM(DR137:DR148)</f>
        <v>4167.2</v>
      </c>
      <c r="DS149" s="498">
        <f t="shared" ref="DS149:DZ149" si="294">SUM(DS137:DS148)</f>
        <v>455.99999999999994</v>
      </c>
      <c r="DT149" s="498">
        <f t="shared" si="294"/>
        <v>346</v>
      </c>
      <c r="DU149" s="498">
        <f t="shared" si="294"/>
        <v>216</v>
      </c>
      <c r="DV149" s="498">
        <f t="shared" si="294"/>
        <v>459.99999999999994</v>
      </c>
      <c r="DW149" s="497">
        <f t="shared" si="294"/>
        <v>4486.5062264916796</v>
      </c>
      <c r="DX149" s="498">
        <f t="shared" si="294"/>
        <v>359</v>
      </c>
      <c r="DY149" s="498">
        <f t="shared" si="294"/>
        <v>164.69999999999996</v>
      </c>
      <c r="DZ149" s="498">
        <f t="shared" si="294"/>
        <v>158.9</v>
      </c>
      <c r="EA149" s="498">
        <f>AS9</f>
        <v>192.85607900000002</v>
      </c>
      <c r="EB149" s="499">
        <f>AT9</f>
        <v>341.13899759999998</v>
      </c>
    </row>
    <row r="150" spans="1:132">
      <c r="A150" s="5" t="s">
        <v>101</v>
      </c>
      <c r="H150" s="126"/>
      <c r="I150" s="126"/>
      <c r="J150" s="126"/>
      <c r="K150" s="126"/>
      <c r="L150" s="126"/>
      <c r="M150" s="127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7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7"/>
      <c r="AL150" s="126"/>
      <c r="AM150" s="126"/>
      <c r="AN150" s="126"/>
      <c r="AO150" s="126"/>
      <c r="AP150" s="126"/>
      <c r="AQ150" s="173">
        <f t="shared" si="275"/>
        <v>0.10341828155354305</v>
      </c>
      <c r="AR150" s="173">
        <f t="shared" si="275"/>
        <v>4.8195516754948181E-2</v>
      </c>
      <c r="AS150" s="173">
        <f t="shared" si="275"/>
        <v>3.3553478723267284E-2</v>
      </c>
      <c r="AT150" s="173">
        <f t="shared" si="275"/>
        <v>3.5417275209728989E-2</v>
      </c>
      <c r="AU150" s="173">
        <f t="shared" si="275"/>
        <v>3.720665452786226E-2</v>
      </c>
      <c r="AV150" s="173">
        <f t="shared" ref="AV150:AW150" si="295">AV126/AV15</f>
        <v>3.607843137254902E-2</v>
      </c>
      <c r="AW150" s="205">
        <f t="shared" si="295"/>
        <v>3.7216836627383038E-2</v>
      </c>
      <c r="AX150" s="173">
        <f t="shared" ref="AX150:AZ150" si="296">AX126/AX15</f>
        <v>3.7920936492986765E-2</v>
      </c>
      <c r="AY150" s="173">
        <f t="shared" si="296"/>
        <v>3.7332809987883742E-2</v>
      </c>
      <c r="AZ150" s="173">
        <f t="shared" si="296"/>
        <v>3.5766914290109524E-2</v>
      </c>
      <c r="BA150" s="173">
        <f t="shared" ref="BA150:BB150" si="297">BA126/BA15</f>
        <v>3.7558746231793408E-2</v>
      </c>
      <c r="BB150" s="173">
        <f t="shared" si="297"/>
        <v>3.6043587594300083E-2</v>
      </c>
      <c r="BC150" s="173">
        <f t="shared" ref="BC150:BD150" si="298">BC126/BC15</f>
        <v>3.6398467432950193E-2</v>
      </c>
      <c r="BD150" s="173">
        <f t="shared" si="298"/>
        <v>3.7189988393400951E-2</v>
      </c>
      <c r="BE150" s="173">
        <f t="shared" ref="BE150:BF150" si="299">BE126/BE15</f>
        <v>3.4140711170544541E-2</v>
      </c>
      <c r="BF150" s="173">
        <f t="shared" si="299"/>
        <v>3.8428693424423573E-2</v>
      </c>
      <c r="BG150" s="173">
        <f t="shared" ref="BG150:BL150" si="300">BG126/BG15</f>
        <v>3.4424853064651553E-2</v>
      </c>
      <c r="BH150" s="173" t="e">
        <f t="shared" si="300"/>
        <v>#DIV/0!</v>
      </c>
      <c r="BI150" s="205" t="e">
        <f t="shared" si="300"/>
        <v>#DIV/0!</v>
      </c>
      <c r="BJ150" s="173" t="e">
        <f t="shared" si="300"/>
        <v>#DIV/0!</v>
      </c>
      <c r="BK150" s="173" t="e">
        <f t="shared" si="300"/>
        <v>#DIV/0!</v>
      </c>
      <c r="BL150" s="173" t="e">
        <f t="shared" si="300"/>
        <v>#DIV/0!</v>
      </c>
      <c r="DQ150" s="6"/>
      <c r="DR150" s="115"/>
      <c r="DW150" s="115"/>
      <c r="EB150" s="116"/>
    </row>
    <row r="151" spans="1:132">
      <c r="A151" s="136" t="s">
        <v>281</v>
      </c>
      <c r="B151" s="129"/>
      <c r="C151" s="129"/>
      <c r="D151" s="129"/>
      <c r="E151" s="129"/>
      <c r="F151" s="129"/>
      <c r="G151" s="129"/>
      <c r="H151" s="137"/>
      <c r="I151" s="137"/>
      <c r="J151" s="137"/>
      <c r="K151" s="137"/>
      <c r="L151" s="137"/>
      <c r="M151" s="292"/>
      <c r="N151" s="138"/>
      <c r="O151" s="138"/>
      <c r="P151" s="138"/>
      <c r="Q151" s="138"/>
      <c r="R151" s="138"/>
      <c r="S151" s="138"/>
      <c r="T151" s="138"/>
      <c r="U151" s="138"/>
      <c r="V151" s="138"/>
      <c r="W151" s="138"/>
      <c r="X151" s="138"/>
      <c r="Y151" s="293"/>
      <c r="Z151" s="138"/>
      <c r="AA151" s="138"/>
      <c r="AB151" s="138"/>
      <c r="AC151" s="138"/>
      <c r="AD151" s="138"/>
      <c r="AE151" s="138"/>
      <c r="AF151" s="138"/>
      <c r="AG151" s="138"/>
      <c r="AH151" s="138"/>
      <c r="AI151" s="138"/>
      <c r="AJ151" s="138"/>
      <c r="AK151" s="293"/>
      <c r="AL151" s="138"/>
      <c r="AM151" s="138"/>
      <c r="AN151" s="138"/>
      <c r="AO151" s="138"/>
      <c r="AP151" s="138"/>
      <c r="AQ151" s="305">
        <f t="shared" si="275"/>
        <v>0.1909851822246407</v>
      </c>
      <c r="AR151" s="305">
        <f t="shared" si="275"/>
        <v>0.1850295268763239</v>
      </c>
      <c r="AS151" s="305">
        <f t="shared" si="275"/>
        <v>0.1611823031649513</v>
      </c>
      <c r="AT151" s="305">
        <f t="shared" si="275"/>
        <v>0.16237283024676244</v>
      </c>
      <c r="AU151" s="305">
        <f t="shared" si="275"/>
        <v>0.16264020893226316</v>
      </c>
      <c r="AV151" s="305">
        <f t="shared" ref="AV151:AW151" si="301">AV127/AV16</f>
        <v>0.1623931623931624</v>
      </c>
      <c r="AW151" s="549">
        <f t="shared" si="301"/>
        <v>0.16144693976212252</v>
      </c>
      <c r="AX151" s="305">
        <f t="shared" ref="AX151:AZ151" si="302">AX127/AX16</f>
        <v>0.1536468498191739</v>
      </c>
      <c r="AY151" s="305">
        <f t="shared" si="302"/>
        <v>0.15636333730617186</v>
      </c>
      <c r="AZ151" s="305">
        <f t="shared" si="302"/>
        <v>0.15848745803986539</v>
      </c>
      <c r="BA151" s="305">
        <f t="shared" ref="BA151:BB151" si="303">BA127/BA16</f>
        <v>0.16361809742063563</v>
      </c>
      <c r="BB151" s="305">
        <f t="shared" si="303"/>
        <v>0.16043755697356427</v>
      </c>
      <c r="BC151" s="305">
        <f t="shared" ref="BC151:BD151" si="304">BC127/BC16</f>
        <v>0.16145833333333334</v>
      </c>
      <c r="BD151" s="305">
        <f t="shared" si="304"/>
        <v>0.16267389894497819</v>
      </c>
      <c r="BE151" s="305">
        <f t="shared" ref="BE151:BF151" si="305">BE127/BE16</f>
        <v>0.16142002664693283</v>
      </c>
      <c r="BF151" s="305">
        <f t="shared" si="305"/>
        <v>0.15954118873826903</v>
      </c>
      <c r="BG151" s="305">
        <f t="shared" ref="BG151:BL151" si="306">BG127/BG16</f>
        <v>0.15881883479648842</v>
      </c>
      <c r="BH151" s="305" t="e">
        <f t="shared" si="306"/>
        <v>#DIV/0!</v>
      </c>
      <c r="BI151" s="549" t="e">
        <f t="shared" si="306"/>
        <v>#DIV/0!</v>
      </c>
      <c r="BJ151" s="305" t="e">
        <f t="shared" si="306"/>
        <v>#DIV/0!</v>
      </c>
      <c r="BK151" s="305" t="e">
        <f t="shared" si="306"/>
        <v>#DIV/0!</v>
      </c>
      <c r="BL151" s="305" t="e">
        <f t="shared" si="306"/>
        <v>#DIV/0!</v>
      </c>
      <c r="DQ151" s="493" t="s">
        <v>348</v>
      </c>
      <c r="DR151" s="500">
        <v>0.19600000000000001</v>
      </c>
      <c r="DS151" s="501">
        <v>0.21131639722863738</v>
      </c>
      <c r="DT151" s="501">
        <v>0.19500000000000001</v>
      </c>
      <c r="DU151" s="501">
        <v>0.18396226415094338</v>
      </c>
      <c r="DV151" s="502">
        <v>0.2039</v>
      </c>
      <c r="DW151" s="503">
        <v>0.20499999999999999</v>
      </c>
      <c r="DX151" s="502">
        <v>0.20857443450815363</v>
      </c>
      <c r="DY151" s="501">
        <v>0.218</v>
      </c>
      <c r="DZ151" s="501">
        <v>0.2119205298013245</v>
      </c>
      <c r="EA151" s="501">
        <v>0.19</v>
      </c>
      <c r="EB151" s="480">
        <v>0.20399999999999999</v>
      </c>
    </row>
    <row r="152" spans="1:132">
      <c r="A152" s="5"/>
      <c r="H152" s="126"/>
      <c r="I152" s="126"/>
      <c r="J152" s="126"/>
      <c r="K152" s="126"/>
      <c r="L152" s="126"/>
      <c r="M152" s="127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7"/>
      <c r="Z152" s="126"/>
      <c r="AA152" s="126"/>
      <c r="AB152" s="126"/>
      <c r="AC152" s="126"/>
      <c r="AD152" s="126"/>
      <c r="AE152" s="126"/>
      <c r="AF152" s="126"/>
      <c r="AG152" s="126"/>
      <c r="AH152" s="126"/>
      <c r="AI152" s="126"/>
      <c r="AJ152" s="126"/>
      <c r="AK152" s="127"/>
      <c r="AL152" s="126"/>
      <c r="AM152" s="126"/>
      <c r="AN152" s="126"/>
      <c r="AO152" s="126"/>
      <c r="AP152" s="126"/>
      <c r="AQ152" s="173"/>
      <c r="AR152" s="173"/>
      <c r="AS152" s="173"/>
      <c r="AT152" s="173"/>
      <c r="AU152" s="173"/>
      <c r="AV152" s="173"/>
      <c r="AW152" s="205"/>
      <c r="AX152" s="173"/>
      <c r="AY152" s="173"/>
      <c r="AZ152" s="173"/>
      <c r="BA152" s="173"/>
      <c r="BB152" s="173"/>
      <c r="BC152" s="173"/>
      <c r="BD152" s="173"/>
      <c r="BE152" s="173"/>
      <c r="BF152" s="173"/>
      <c r="BG152" s="173"/>
      <c r="BH152" s="173"/>
      <c r="BI152" s="205"/>
      <c r="BJ152" s="173"/>
      <c r="BK152" s="173"/>
      <c r="BL152" s="173"/>
      <c r="DQ152" s="493" t="s">
        <v>287</v>
      </c>
      <c r="DR152" s="503">
        <v>0.108</v>
      </c>
      <c r="DS152" s="501">
        <v>0.10184757505773671</v>
      </c>
      <c r="DT152" s="501">
        <v>0.1</v>
      </c>
      <c r="DU152" s="501">
        <v>0.11226415094339622</v>
      </c>
      <c r="DV152" s="502">
        <v>0.1017</v>
      </c>
      <c r="DW152" s="503">
        <v>0.10199999999999999</v>
      </c>
      <c r="DX152" s="502">
        <v>0.1031036296685955</v>
      </c>
      <c r="DY152" s="501">
        <v>0.122</v>
      </c>
      <c r="DZ152" s="501">
        <v>0.1490066225165563</v>
      </c>
      <c r="EA152" s="501">
        <v>0.14499999999999999</v>
      </c>
      <c r="EB152" s="480">
        <v>0.13100000000000001</v>
      </c>
    </row>
    <row r="153" spans="1:132">
      <c r="A153" s="5" t="s">
        <v>282</v>
      </c>
      <c r="H153" s="126"/>
      <c r="I153" s="126"/>
      <c r="J153" s="126"/>
      <c r="K153" s="126"/>
      <c r="L153" s="126"/>
      <c r="M153" s="127"/>
      <c r="N153" s="126"/>
      <c r="O153" s="126"/>
      <c r="P153" s="126"/>
      <c r="Q153" s="126"/>
      <c r="R153" s="126"/>
      <c r="S153" s="126"/>
      <c r="T153" s="126"/>
      <c r="U153" s="126"/>
      <c r="V153" s="126"/>
      <c r="W153" s="126"/>
      <c r="X153" s="126"/>
      <c r="Y153" s="127"/>
      <c r="Z153" s="126"/>
      <c r="AA153" s="126"/>
      <c r="AB153" s="126"/>
      <c r="AC153" s="126"/>
      <c r="AD153" s="126"/>
      <c r="AE153" s="126"/>
      <c r="AF153" s="126"/>
      <c r="AG153" s="126"/>
      <c r="AH153" s="126"/>
      <c r="AI153" s="126"/>
      <c r="AJ153" s="126"/>
      <c r="AK153" s="127"/>
      <c r="AL153" s="126"/>
      <c r="AM153" s="126"/>
      <c r="AN153" s="126"/>
      <c r="AO153" s="126"/>
      <c r="AP153" s="126"/>
      <c r="AQ153" s="173">
        <f t="shared" ref="AQ153:AU156" si="307">AQ129/AQ18</f>
        <v>0.42962962962962964</v>
      </c>
      <c r="AR153" s="173">
        <f t="shared" si="307"/>
        <v>0.48920863309352519</v>
      </c>
      <c r="AS153" s="173">
        <f t="shared" si="307"/>
        <v>0.52941176470588236</v>
      </c>
      <c r="AT153" s="173">
        <f t="shared" si="307"/>
        <v>0.51653543307086613</v>
      </c>
      <c r="AU153" s="173">
        <f t="shared" si="307"/>
        <v>0.2037351443123939</v>
      </c>
      <c r="AV153" s="173">
        <f t="shared" ref="AV153:AW153" si="308">AV129/AV18</f>
        <v>0.41064638783269963</v>
      </c>
      <c r="AW153" s="205">
        <f t="shared" si="308"/>
        <v>0.35223367697594504</v>
      </c>
      <c r="AX153" s="173">
        <f t="shared" ref="AX153:AZ153" si="309">AX129/AX18</f>
        <v>0.36891385767790263</v>
      </c>
      <c r="AY153" s="173">
        <f t="shared" si="309"/>
        <v>0.3682008368200837</v>
      </c>
      <c r="AZ153" s="173">
        <f t="shared" si="309"/>
        <v>0.40035587188612098</v>
      </c>
      <c r="BA153" s="173">
        <f t="shared" ref="BA153:BB153" si="310">BA129/BA18</f>
        <v>0.28423236514522821</v>
      </c>
      <c r="BB153" s="173">
        <f t="shared" si="310"/>
        <v>0.27915194346289751</v>
      </c>
      <c r="BC153" s="173">
        <f t="shared" ref="BC153:BD153" si="311">BC129/BC18</f>
        <v>0.3207920792079208</v>
      </c>
      <c r="BD153" s="173">
        <f t="shared" si="311"/>
        <v>0.2219959266802444</v>
      </c>
      <c r="BE153" s="173">
        <f t="shared" ref="BE153:BF153" si="312">BE129/BE18</f>
        <v>0.37419354838709679</v>
      </c>
      <c r="BF153" s="173">
        <f t="shared" si="312"/>
        <v>0.41487279843444225</v>
      </c>
      <c r="BG153" s="173">
        <f t="shared" ref="BG153:BL153" si="313">BG129/BG18</f>
        <v>0.39591078066914498</v>
      </c>
      <c r="BH153" s="173" t="e">
        <f t="shared" si="313"/>
        <v>#DIV/0!</v>
      </c>
      <c r="BI153" s="205" t="e">
        <f t="shared" si="313"/>
        <v>#DIV/0!</v>
      </c>
      <c r="BJ153" s="173" t="e">
        <f t="shared" si="313"/>
        <v>#DIV/0!</v>
      </c>
      <c r="BK153" s="173" t="e">
        <f t="shared" si="313"/>
        <v>#DIV/0!</v>
      </c>
      <c r="BL153" s="173" t="e">
        <f t="shared" si="313"/>
        <v>#DIV/0!</v>
      </c>
      <c r="DQ153" s="493" t="s">
        <v>349</v>
      </c>
      <c r="DR153" s="500">
        <v>3.3000000000000002E-2</v>
      </c>
      <c r="DS153" s="501">
        <v>3.3949191685912233E-2</v>
      </c>
      <c r="DT153" s="501">
        <v>4.8000000000000001E-2</v>
      </c>
      <c r="DU153" s="501">
        <v>4.2452830188679243E-2</v>
      </c>
      <c r="DV153" s="502">
        <v>3.4299999999999997E-2</v>
      </c>
      <c r="DW153" s="503">
        <v>3.6999999999999998E-2</v>
      </c>
      <c r="DX153" s="502">
        <v>3.6559705418200951E-2</v>
      </c>
      <c r="DY153" s="501">
        <v>0.05</v>
      </c>
      <c r="DZ153" s="501">
        <v>4.3046357615894038E-2</v>
      </c>
      <c r="EA153" s="501">
        <v>4.1000000000000002E-2</v>
      </c>
      <c r="EB153" s="480">
        <v>3.7999999999999999E-2</v>
      </c>
    </row>
    <row r="154" spans="1:132">
      <c r="A154" s="5" t="s">
        <v>240</v>
      </c>
      <c r="H154" s="126"/>
      <c r="I154" s="126"/>
      <c r="J154" s="126"/>
      <c r="K154" s="126"/>
      <c r="L154" s="126"/>
      <c r="M154" s="127"/>
      <c r="N154" s="126"/>
      <c r="O154" s="126"/>
      <c r="P154" s="126"/>
      <c r="Q154" s="126"/>
      <c r="R154" s="126"/>
      <c r="S154" s="126"/>
      <c r="T154" s="126"/>
      <c r="U154" s="126"/>
      <c r="V154" s="126"/>
      <c r="W154" s="126"/>
      <c r="X154" s="126"/>
      <c r="Y154" s="127"/>
      <c r="Z154" s="126"/>
      <c r="AA154" s="126"/>
      <c r="AB154" s="126"/>
      <c r="AC154" s="126"/>
      <c r="AD154" s="126"/>
      <c r="AE154" s="126"/>
      <c r="AF154" s="126"/>
      <c r="AG154" s="126"/>
      <c r="AH154" s="126"/>
      <c r="AI154" s="126"/>
      <c r="AJ154" s="126"/>
      <c r="AK154" s="127"/>
      <c r="AL154" s="126"/>
      <c r="AM154" s="126"/>
      <c r="AN154" s="126"/>
      <c r="AO154" s="126"/>
      <c r="AP154" s="126"/>
      <c r="AQ154" s="173">
        <f t="shared" si="307"/>
        <v>0.64676616915422891</v>
      </c>
      <c r="AR154" s="173">
        <f t="shared" si="307"/>
        <v>0.66176470588235292</v>
      </c>
      <c r="AS154" s="173">
        <f t="shared" si="307"/>
        <v>0.67027027027027031</v>
      </c>
      <c r="AT154" s="173">
        <f t="shared" si="307"/>
        <v>0.31843575418994413</v>
      </c>
      <c r="AU154" s="173">
        <f t="shared" si="307"/>
        <v>0.62637362637362637</v>
      </c>
      <c r="AV154" s="173">
        <f t="shared" ref="AV154:AW154" si="314">AV130/AV19</f>
        <v>0.61497326203208558</v>
      </c>
      <c r="AW154" s="205">
        <f t="shared" si="314"/>
        <v>0.67015706806282727</v>
      </c>
      <c r="AX154" s="173">
        <f t="shared" ref="AX154:AZ154" si="315">AX130/AX19</f>
        <v>0.6629213483146067</v>
      </c>
      <c r="AY154" s="173">
        <f t="shared" si="315"/>
        <v>0.63636363636363635</v>
      </c>
      <c r="AZ154" s="173">
        <f t="shared" si="315"/>
        <v>0.64021164021164023</v>
      </c>
      <c r="BA154" s="173">
        <f t="shared" ref="BA154:BB154" si="316">BA130/BA19</f>
        <v>0.66883116883116878</v>
      </c>
      <c r="BB154" s="173">
        <f t="shared" si="316"/>
        <v>-6.25E-2</v>
      </c>
      <c r="BC154" s="173">
        <f t="shared" ref="BC154:BD154" si="317">BC130/BC19</f>
        <v>0.69285714285714284</v>
      </c>
      <c r="BD154" s="173">
        <f t="shared" si="317"/>
        <v>0.69465648854961837</v>
      </c>
      <c r="BE154" s="173">
        <f t="shared" ref="BE154:BF154" si="318">BE130/BE19</f>
        <v>0.43801652892561982</v>
      </c>
      <c r="BF154" s="173">
        <f t="shared" si="318"/>
        <v>0.67441860465116277</v>
      </c>
      <c r="BG154" s="173">
        <f t="shared" ref="BG154:BL154" si="319">BG130/BG19</f>
        <v>0.67938931297709926</v>
      </c>
      <c r="BH154" s="173" t="e">
        <f t="shared" si="319"/>
        <v>#DIV/0!</v>
      </c>
      <c r="BI154" s="205" t="e">
        <f t="shared" si="319"/>
        <v>#DIV/0!</v>
      </c>
      <c r="BJ154" s="173" t="e">
        <f t="shared" si="319"/>
        <v>#DIV/0!</v>
      </c>
      <c r="BK154" s="173" t="e">
        <f t="shared" si="319"/>
        <v>#DIV/0!</v>
      </c>
      <c r="BL154" s="173" t="e">
        <f t="shared" si="319"/>
        <v>#DIV/0!</v>
      </c>
      <c r="DQ154" s="493" t="s">
        <v>170</v>
      </c>
      <c r="DR154" s="503">
        <v>9.5000000000000001E-2</v>
      </c>
      <c r="DS154" s="501">
        <v>0.10531177829099306</v>
      </c>
      <c r="DT154" s="501">
        <v>7.6999999999999999E-2</v>
      </c>
      <c r="DU154" s="501">
        <v>6.7452830188679244E-2</v>
      </c>
      <c r="DV154" s="502">
        <v>9.8699999999999996E-2</v>
      </c>
      <c r="DW154" s="503">
        <v>9.6000000000000002E-2</v>
      </c>
      <c r="DX154" s="502">
        <v>8.0746975276170446E-2</v>
      </c>
      <c r="DY154" s="501">
        <v>7.2999999999999995E-2</v>
      </c>
      <c r="DZ154" s="501">
        <v>5.6291390728476824E-2</v>
      </c>
      <c r="EA154" s="501">
        <v>7.0999999999999994E-2</v>
      </c>
      <c r="EB154" s="480">
        <v>8.2000000000000003E-2</v>
      </c>
    </row>
    <row r="155" spans="1:132">
      <c r="A155" s="5" t="s">
        <v>156</v>
      </c>
      <c r="H155" s="126"/>
      <c r="I155" s="126"/>
      <c r="J155" s="126"/>
      <c r="K155" s="126"/>
      <c r="L155" s="126"/>
      <c r="M155" s="127"/>
      <c r="N155" s="126"/>
      <c r="O155" s="126"/>
      <c r="P155" s="126"/>
      <c r="Q155" s="126"/>
      <c r="R155" s="126"/>
      <c r="S155" s="126"/>
      <c r="T155" s="126"/>
      <c r="U155" s="126"/>
      <c r="V155" s="126"/>
      <c r="W155" s="126"/>
      <c r="X155" s="126"/>
      <c r="Y155" s="127"/>
      <c r="Z155" s="126"/>
      <c r="AA155" s="126"/>
      <c r="AB155" s="126"/>
      <c r="AC155" s="126"/>
      <c r="AD155" s="126"/>
      <c r="AE155" s="126"/>
      <c r="AF155" s="126"/>
      <c r="AG155" s="126"/>
      <c r="AH155" s="126"/>
      <c r="AI155" s="126"/>
      <c r="AJ155" s="126"/>
      <c r="AK155" s="127"/>
      <c r="AL155" s="126"/>
      <c r="AM155" s="126"/>
      <c r="AN155" s="126"/>
      <c r="AO155" s="126"/>
      <c r="AP155" s="126"/>
      <c r="AQ155" s="173">
        <f t="shared" si="307"/>
        <v>0.30707762557077628</v>
      </c>
      <c r="AR155" s="173">
        <f t="shared" si="307"/>
        <v>0.36122177954847279</v>
      </c>
      <c r="AS155" s="173">
        <f t="shared" si="307"/>
        <v>0.29716399506781749</v>
      </c>
      <c r="AT155" s="173">
        <f t="shared" si="307"/>
        <v>0.29674306393244876</v>
      </c>
      <c r="AU155" s="173">
        <f t="shared" si="307"/>
        <v>0.23901808785529716</v>
      </c>
      <c r="AV155" s="173">
        <f t="shared" ref="AV155:AW155" si="320">AV131/AV20</f>
        <v>0.31235154394299286</v>
      </c>
      <c r="AW155" s="205">
        <f t="shared" si="320"/>
        <v>0.16472114137483787</v>
      </c>
      <c r="AX155" s="173">
        <f t="shared" ref="AX155:AZ155" si="321">AX131/AX20</f>
        <v>0.38399189463019251</v>
      </c>
      <c r="AY155" s="173">
        <f t="shared" si="321"/>
        <v>0.28793774319066145</v>
      </c>
      <c r="AZ155" s="173">
        <f t="shared" si="321"/>
        <v>0.27842227378190254</v>
      </c>
      <c r="BA155" s="173">
        <f t="shared" ref="BA155:BB155" si="322">BA131/BA20</f>
        <v>0.26778783958602848</v>
      </c>
      <c r="BB155" s="173">
        <f t="shared" si="322"/>
        <v>0.2802325581395349</v>
      </c>
      <c r="BC155" s="173">
        <f t="shared" ref="BC155:BD155" si="323">BC131/BC20</f>
        <v>0.30711610486891383</v>
      </c>
      <c r="BD155" s="173">
        <f t="shared" si="323"/>
        <v>0.19971264367816091</v>
      </c>
      <c r="BE155" s="173">
        <f t="shared" ref="BE155:BF155" si="324">BE131/BE20</f>
        <v>0.29443690637720488</v>
      </c>
      <c r="BF155" s="173">
        <f t="shared" si="324"/>
        <v>0.29716399506781749</v>
      </c>
      <c r="BG155" s="173">
        <f t="shared" ref="BG155:BL155" si="325">BG131/BG20</f>
        <v>0.29310344827586204</v>
      </c>
      <c r="BH155" s="173" t="e">
        <f t="shared" si="325"/>
        <v>#DIV/0!</v>
      </c>
      <c r="BI155" s="205" t="e">
        <f t="shared" si="325"/>
        <v>#DIV/0!</v>
      </c>
      <c r="BJ155" s="173" t="e">
        <f t="shared" si="325"/>
        <v>#DIV/0!</v>
      </c>
      <c r="BK155" s="173" t="e">
        <f t="shared" si="325"/>
        <v>#DIV/0!</v>
      </c>
      <c r="BL155" s="173" t="e">
        <f t="shared" si="325"/>
        <v>#DIV/0!</v>
      </c>
      <c r="DQ155" s="493" t="s">
        <v>172</v>
      </c>
      <c r="DR155" s="503">
        <v>0.36099999999999999</v>
      </c>
      <c r="DS155" s="501">
        <v>0.34642032332563505</v>
      </c>
      <c r="DT155" s="501">
        <v>0.33500000000000002</v>
      </c>
      <c r="DU155" s="501">
        <v>0.35377358490566035</v>
      </c>
      <c r="DV155" s="502">
        <v>0.33260000000000001</v>
      </c>
      <c r="DW155" s="503">
        <v>0.33137148784557807</v>
      </c>
      <c r="DX155" s="502">
        <v>0.31588637559179383</v>
      </c>
      <c r="DY155" s="501">
        <v>0.36599999999999999</v>
      </c>
      <c r="DZ155" s="501">
        <v>0.32450331125827814</v>
      </c>
      <c r="EA155" s="501">
        <v>0.35299999999999998</v>
      </c>
      <c r="EB155" s="480">
        <v>0.35599999999999998</v>
      </c>
    </row>
    <row r="156" spans="1:132">
      <c r="A156" s="136" t="s">
        <v>269</v>
      </c>
      <c r="B156" s="129"/>
      <c r="C156" s="129"/>
      <c r="D156" s="129"/>
      <c r="E156" s="129"/>
      <c r="F156" s="129"/>
      <c r="G156" s="129"/>
      <c r="H156" s="137"/>
      <c r="I156" s="137"/>
      <c r="J156" s="137"/>
      <c r="K156" s="137"/>
      <c r="L156" s="137"/>
      <c r="M156" s="292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293"/>
      <c r="Z156" s="138"/>
      <c r="AA156" s="138"/>
      <c r="AB156" s="138"/>
      <c r="AC156" s="138"/>
      <c r="AD156" s="138"/>
      <c r="AE156" s="138"/>
      <c r="AF156" s="138"/>
      <c r="AG156" s="138"/>
      <c r="AH156" s="138"/>
      <c r="AI156" s="138"/>
      <c r="AJ156" s="138"/>
      <c r="AK156" s="293"/>
      <c r="AL156" s="138"/>
      <c r="AM156" s="138"/>
      <c r="AN156" s="138"/>
      <c r="AO156" s="138"/>
      <c r="AP156" s="138"/>
      <c r="AQ156" s="305">
        <f t="shared" si="307"/>
        <v>0.39022881880024735</v>
      </c>
      <c r="AR156" s="305">
        <f t="shared" si="307"/>
        <v>0.44877726371447457</v>
      </c>
      <c r="AS156" s="305">
        <f t="shared" si="307"/>
        <v>0.42517662170841364</v>
      </c>
      <c r="AT156" s="305">
        <f t="shared" si="307"/>
        <v>0.38405356055995132</v>
      </c>
      <c r="AU156" s="305">
        <f t="shared" si="307"/>
        <v>0.27119741100323624</v>
      </c>
      <c r="AV156" s="305">
        <f t="shared" ref="AV156:AW156" si="326">AV132/AV21</f>
        <v>0.3819935691318328</v>
      </c>
      <c r="AW156" s="549">
        <f t="shared" si="326"/>
        <v>0.29792746113989638</v>
      </c>
      <c r="AX156" s="305">
        <f t="shared" ref="AX156:AZ156" si="327">AX132/AX21</f>
        <v>0.40847557386698058</v>
      </c>
      <c r="AY156" s="305">
        <f t="shared" si="327"/>
        <v>0.35789473684210527</v>
      </c>
      <c r="AZ156" s="305">
        <f t="shared" si="327"/>
        <v>0.3632982021078735</v>
      </c>
      <c r="BA156" s="305">
        <f t="shared" ref="BA156:BB156" si="328">BA132/BA21</f>
        <v>0.31724627395315824</v>
      </c>
      <c r="BB156" s="305">
        <f t="shared" si="328"/>
        <v>0.24527112232030265</v>
      </c>
      <c r="BC156" s="305">
        <f t="shared" ref="BC156:BD156" si="329">BC132/BC21</f>
        <v>0.34923928077455046</v>
      </c>
      <c r="BD156" s="305">
        <f t="shared" si="329"/>
        <v>0.25720789074355083</v>
      </c>
      <c r="BE156" s="305">
        <f t="shared" ref="BE156:BF156" si="330">BE132/BE21</f>
        <v>0.33560090702947848</v>
      </c>
      <c r="BF156" s="305">
        <f t="shared" si="330"/>
        <v>0.37215713301171605</v>
      </c>
      <c r="BG156" s="305">
        <f t="shared" ref="BG156:BL156" si="331">BG132/BG21</f>
        <v>0.36192332683560752</v>
      </c>
      <c r="BH156" s="305" t="e">
        <f t="shared" si="331"/>
        <v>#DIV/0!</v>
      </c>
      <c r="BI156" s="549" t="e">
        <f t="shared" si="331"/>
        <v>#DIV/0!</v>
      </c>
      <c r="BJ156" s="305" t="e">
        <f t="shared" si="331"/>
        <v>#DIV/0!</v>
      </c>
      <c r="BK156" s="305" t="e">
        <f t="shared" si="331"/>
        <v>#DIV/0!</v>
      </c>
      <c r="BL156" s="305" t="e">
        <f t="shared" si="331"/>
        <v>#DIV/0!</v>
      </c>
      <c r="DQ156" s="493" t="s">
        <v>246</v>
      </c>
      <c r="DR156" s="503">
        <v>4.1000000000000002E-2</v>
      </c>
      <c r="DS156" s="501">
        <v>4.8729792147806004E-2</v>
      </c>
      <c r="DT156" s="501">
        <v>0.05</v>
      </c>
      <c r="DU156" s="501">
        <v>4.8113207547169801E-2</v>
      </c>
      <c r="DV156" s="502">
        <v>4.7899999999999998E-2</v>
      </c>
      <c r="DW156" s="503">
        <v>4.9632435845397574E-2</v>
      </c>
      <c r="DX156" s="502">
        <v>5.1025775907417158E-2</v>
      </c>
      <c r="DY156" s="501">
        <v>5.7999999999999996E-2</v>
      </c>
      <c r="DZ156" s="501">
        <v>6.0927152317880789E-2</v>
      </c>
      <c r="EA156" s="501">
        <v>6.0999999999999999E-2</v>
      </c>
      <c r="EB156" s="480">
        <v>6.2E-2</v>
      </c>
    </row>
    <row r="157" spans="1:132">
      <c r="A157" s="5"/>
      <c r="H157" s="126"/>
      <c r="I157" s="126"/>
      <c r="J157" s="126"/>
      <c r="K157" s="126"/>
      <c r="L157" s="126"/>
      <c r="M157" s="127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  <c r="Y157" s="127"/>
      <c r="Z157" s="126"/>
      <c r="AA157" s="126"/>
      <c r="AB157" s="126"/>
      <c r="AC157" s="126"/>
      <c r="AD157" s="126"/>
      <c r="AE157" s="126"/>
      <c r="AF157" s="126"/>
      <c r="AG157" s="126"/>
      <c r="AH157" s="126"/>
      <c r="AI157" s="126"/>
      <c r="AJ157" s="126"/>
      <c r="AK157" s="127"/>
      <c r="AL157" s="126"/>
      <c r="AM157" s="126"/>
      <c r="AN157" s="126"/>
      <c r="AO157" s="126"/>
      <c r="AP157" s="126"/>
      <c r="AQ157" s="173"/>
      <c r="AR157" s="173"/>
      <c r="AS157" s="173"/>
      <c r="AT157" s="173"/>
      <c r="AU157" s="173"/>
      <c r="AV157" s="173"/>
      <c r="AW157" s="205"/>
      <c r="AX157" s="173"/>
      <c r="AY157" s="173"/>
      <c r="AZ157" s="173"/>
      <c r="BA157" s="173"/>
      <c r="BB157" s="173"/>
      <c r="BC157" s="173"/>
      <c r="BD157" s="173"/>
      <c r="BE157" s="173"/>
      <c r="BF157" s="173"/>
      <c r="BG157" s="173"/>
      <c r="BH157" s="173"/>
      <c r="BI157" s="205"/>
      <c r="BJ157" s="173"/>
      <c r="BK157" s="173"/>
      <c r="BL157" s="173"/>
      <c r="DQ157" s="493" t="s">
        <v>200</v>
      </c>
      <c r="DR157" s="503">
        <v>3.6999999999999998E-2</v>
      </c>
      <c r="DS157" s="501">
        <v>4.1570438799076209E-2</v>
      </c>
      <c r="DT157" s="173"/>
      <c r="DU157" s="501">
        <v>4.1509433962264149E-2</v>
      </c>
      <c r="DV157" s="502">
        <v>4.8899999999999999E-2</v>
      </c>
      <c r="DW157" s="503">
        <v>4.7715690253912431E-2</v>
      </c>
      <c r="DX157" s="502">
        <v>6.0494476591267762E-2</v>
      </c>
      <c r="DY157" s="173"/>
      <c r="DZ157" s="501">
        <v>5.0331125827814564E-2</v>
      </c>
      <c r="EA157" s="501">
        <v>5.3999999999999999E-2</v>
      </c>
      <c r="EB157" s="480">
        <v>4.5999999999999999E-2</v>
      </c>
    </row>
    <row r="158" spans="1:132">
      <c r="A158" s="161" t="s">
        <v>285</v>
      </c>
      <c r="B158" s="162"/>
      <c r="C158" s="162"/>
      <c r="D158" s="162"/>
      <c r="E158" s="162"/>
      <c r="F158" s="162"/>
      <c r="G158" s="162"/>
      <c r="H158" s="163"/>
      <c r="I158" s="163"/>
      <c r="J158" s="163"/>
      <c r="K158" s="163"/>
      <c r="L158" s="163"/>
      <c r="M158" s="261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  <c r="Y158" s="262"/>
      <c r="Z158" s="164"/>
      <c r="AA158" s="164"/>
      <c r="AB158" s="164"/>
      <c r="AC158" s="164"/>
      <c r="AD158" s="164"/>
      <c r="AE158" s="164"/>
      <c r="AF158" s="164"/>
      <c r="AG158" s="164"/>
      <c r="AH158" s="164"/>
      <c r="AI158" s="164"/>
      <c r="AJ158" s="164"/>
      <c r="AK158" s="262"/>
      <c r="AL158" s="164"/>
      <c r="AM158" s="164"/>
      <c r="AN158" s="164"/>
      <c r="AO158" s="164"/>
      <c r="AP158" s="164"/>
      <c r="AQ158" s="306">
        <f>AQ134/AQ23</f>
        <v>0.24604450310049988</v>
      </c>
      <c r="AR158" s="306">
        <f>AR134/AR23</f>
        <v>0.2533067816143591</v>
      </c>
      <c r="AS158" s="306">
        <f>AS134/AS23</f>
        <v>0.22776860541829905</v>
      </c>
      <c r="AT158" s="306">
        <f>AT134/AT23</f>
        <v>0.21907333238124818</v>
      </c>
      <c r="AU158" s="306">
        <f>AU134/AU23</f>
        <v>0.19408879045412711</v>
      </c>
      <c r="AV158" s="306">
        <f t="shared" ref="AV158:AW158" si="332">AV134/AV23</f>
        <v>0.21766051377803969</v>
      </c>
      <c r="AW158" s="550">
        <f t="shared" si="332"/>
        <v>0.19547325296267681</v>
      </c>
      <c r="AX158" s="306">
        <f t="shared" ref="AX158:AZ158" si="333">AX134/AX23</f>
        <v>0.21296780465294185</v>
      </c>
      <c r="AY158" s="306">
        <f t="shared" si="333"/>
        <v>0.20502873837392549</v>
      </c>
      <c r="AZ158" s="306">
        <f t="shared" si="333"/>
        <v>0.20772699979837594</v>
      </c>
      <c r="BA158" s="306">
        <f t="shared" ref="BA158:BB158" si="334">BA134/BA23</f>
        <v>0.19828636790670937</v>
      </c>
      <c r="BB158" s="306">
        <f t="shared" si="334"/>
        <v>0.17846553312898208</v>
      </c>
      <c r="BC158" s="306">
        <f t="shared" ref="BC158:BD158" si="335">BC134/BC23</f>
        <v>0.2021342310498718</v>
      </c>
      <c r="BD158" s="306">
        <f t="shared" si="335"/>
        <v>0.18708349361052765</v>
      </c>
      <c r="BE158" s="306">
        <f t="shared" ref="BE158:BF158" si="336">BE134/BE23</f>
        <v>0.20259066843723661</v>
      </c>
      <c r="BF158" s="306">
        <f t="shared" si="336"/>
        <v>0.1968691720312114</v>
      </c>
      <c r="BG158" s="306">
        <f t="shared" ref="BG158:BL158" si="337">BG134/BG23</f>
        <v>0.20823978046966887</v>
      </c>
      <c r="BH158" s="306">
        <f t="shared" si="337"/>
        <v>0.19580339961693288</v>
      </c>
      <c r="BI158" s="550">
        <f t="shared" si="337"/>
        <v>0.19580339961693291</v>
      </c>
      <c r="BJ158" s="306" t="e">
        <f t="shared" si="337"/>
        <v>#DIV/0!</v>
      </c>
      <c r="BK158" s="306" t="e">
        <f t="shared" si="337"/>
        <v>#DIV/0!</v>
      </c>
      <c r="BL158" s="306" t="e">
        <f t="shared" si="337"/>
        <v>#DIV/0!</v>
      </c>
      <c r="DQ158" s="493" t="s">
        <v>215</v>
      </c>
      <c r="DR158" s="503">
        <v>5.3999999999999999E-2</v>
      </c>
      <c r="DS158" s="501">
        <v>6.1200923787528859E-2</v>
      </c>
      <c r="DT158" s="501">
        <v>7.8E-2</v>
      </c>
      <c r="DU158" s="501">
        <v>5.8490566037735843E-2</v>
      </c>
      <c r="DV158" s="502">
        <v>6.1199999999999997E-2</v>
      </c>
      <c r="DW158" s="503">
        <v>6.0907409912957226E-2</v>
      </c>
      <c r="DX158" s="502">
        <v>5.7075223566543931E-2</v>
      </c>
      <c r="DY158" s="501">
        <v>6.0999999999999999E-2</v>
      </c>
      <c r="DZ158" s="501">
        <v>6.158940397350994E-2</v>
      </c>
      <c r="EA158" s="501">
        <v>0.06</v>
      </c>
      <c r="EB158" s="480">
        <v>6.5000000000000002E-2</v>
      </c>
    </row>
    <row r="159" spans="1:132">
      <c r="A159" s="170" t="s">
        <v>183</v>
      </c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71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71"/>
      <c r="Z159" s="204"/>
      <c r="AA159" s="204"/>
      <c r="AB159" s="204"/>
      <c r="AC159" s="204"/>
      <c r="AD159" s="204"/>
      <c r="AE159" s="204"/>
      <c r="AF159" s="204"/>
      <c r="AG159" s="204"/>
      <c r="AH159" s="204"/>
      <c r="AI159" s="204"/>
      <c r="AJ159" s="204"/>
      <c r="AK159" s="233"/>
      <c r="AL159" s="204"/>
      <c r="AM159" s="204"/>
      <c r="AN159" s="204"/>
      <c r="AO159" s="204"/>
      <c r="AP159" s="204"/>
      <c r="AQ159" s="204"/>
      <c r="AR159" s="204"/>
      <c r="AS159" s="204"/>
      <c r="AT159" s="204"/>
      <c r="AU159" s="204"/>
      <c r="AV159" s="204"/>
      <c r="AW159" s="542"/>
      <c r="AX159" s="204"/>
      <c r="AY159" s="204"/>
      <c r="AZ159" s="204"/>
      <c r="BA159" s="204"/>
      <c r="BB159" s="204"/>
      <c r="BC159" s="204"/>
      <c r="BD159" s="204"/>
      <c r="BE159" s="204"/>
      <c r="BF159" s="204"/>
      <c r="BG159" s="204"/>
      <c r="BH159" s="204"/>
      <c r="BI159" s="542"/>
      <c r="BJ159" s="204"/>
      <c r="BK159" s="204"/>
      <c r="BL159" s="204"/>
      <c r="DQ159" s="493" t="s">
        <v>213</v>
      </c>
      <c r="DR159" s="503">
        <v>0</v>
      </c>
      <c r="DS159" s="501">
        <v>1.0623556581986141E-2</v>
      </c>
      <c r="DT159" s="501">
        <v>9.0000000000000011E-3</v>
      </c>
      <c r="DU159" s="501">
        <v>8.0188679245283001E-3</v>
      </c>
      <c r="DV159" s="173"/>
      <c r="DW159" s="503">
        <v>8.5464303432102127E-3</v>
      </c>
      <c r="DX159" s="502">
        <v>7.1015255128879552E-3</v>
      </c>
      <c r="DY159" s="501">
        <v>0.01</v>
      </c>
      <c r="DZ159" s="501">
        <v>9.2715231788079461E-3</v>
      </c>
      <c r="EA159" s="501">
        <v>8.9999999999999993E-3</v>
      </c>
      <c r="EB159" s="480"/>
    </row>
    <row r="160" spans="1:132" ht="16" thickBot="1">
      <c r="A160" s="181" t="s">
        <v>152</v>
      </c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3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5"/>
      <c r="Z160" s="184"/>
      <c r="AA160" s="184"/>
      <c r="AB160" s="184"/>
      <c r="AC160" s="184"/>
      <c r="AD160" s="184"/>
      <c r="AE160" s="184"/>
      <c r="AF160" s="184"/>
      <c r="AG160" s="184"/>
      <c r="AH160" s="184"/>
      <c r="AI160" s="184"/>
      <c r="AJ160" s="184"/>
      <c r="AK160" s="185"/>
      <c r="AL160" s="184"/>
      <c r="AM160" s="184"/>
      <c r="AN160" s="184"/>
      <c r="AO160" s="184"/>
      <c r="AP160" s="184"/>
      <c r="AQ160" s="184"/>
      <c r="AR160" s="184"/>
      <c r="AS160" s="184"/>
      <c r="AT160" s="184"/>
      <c r="AU160" s="184"/>
      <c r="AV160" s="184"/>
      <c r="AW160" s="185"/>
      <c r="AX160" s="184"/>
      <c r="AY160" s="184"/>
      <c r="AZ160" s="184"/>
      <c r="BA160" s="184"/>
      <c r="BB160" s="184"/>
      <c r="BC160" s="184"/>
      <c r="BD160" s="184"/>
      <c r="BE160" s="184"/>
      <c r="BF160" s="184"/>
      <c r="BG160" s="184"/>
      <c r="BH160" s="184"/>
      <c r="BI160" s="185"/>
      <c r="BJ160" s="184"/>
      <c r="BK160" s="184"/>
      <c r="BL160" s="184"/>
      <c r="DQ160" s="493" t="s">
        <v>350</v>
      </c>
      <c r="DR160" s="503">
        <v>0</v>
      </c>
      <c r="DS160" s="501">
        <v>9.2378752886836015E-4</v>
      </c>
      <c r="DT160" s="501">
        <v>2E-3</v>
      </c>
      <c r="DU160" s="501">
        <v>0</v>
      </c>
      <c r="DV160" s="173"/>
      <c r="DW160" s="503">
        <v>2.1196951247012138E-3</v>
      </c>
      <c r="DX160" s="502">
        <v>3.9452919516044195E-3</v>
      </c>
      <c r="DY160" s="501">
        <v>6.0000000000000001E-3</v>
      </c>
      <c r="DZ160" s="501">
        <v>5.9602649006622521E-3</v>
      </c>
      <c r="EA160" s="501">
        <v>6.0000000000000001E-3</v>
      </c>
      <c r="EB160" s="480"/>
    </row>
    <row r="161" spans="1:132">
      <c r="DQ161" s="493"/>
      <c r="DR161" s="503"/>
      <c r="DS161" s="501"/>
      <c r="DT161" s="501"/>
      <c r="DU161" s="501"/>
      <c r="DV161" s="173"/>
      <c r="DW161" s="503"/>
      <c r="DX161" s="502"/>
      <c r="DY161" s="501"/>
      <c r="DZ161" s="501"/>
      <c r="EA161" s="501"/>
      <c r="EB161" s="480"/>
    </row>
    <row r="162" spans="1:132">
      <c r="DQ162" s="493"/>
      <c r="DR162" s="503"/>
      <c r="DS162" s="501"/>
      <c r="DT162" s="501"/>
      <c r="DU162" s="501"/>
      <c r="DV162" s="173"/>
      <c r="DW162" s="503"/>
      <c r="DX162" s="502"/>
      <c r="DY162" s="501"/>
      <c r="DZ162" s="501"/>
      <c r="EA162" s="501"/>
      <c r="EB162" s="480"/>
    </row>
    <row r="163" spans="1:132">
      <c r="A163" s="98" t="s">
        <v>105</v>
      </c>
      <c r="DQ163" s="493" t="s">
        <v>351</v>
      </c>
      <c r="DR163" s="115"/>
      <c r="DS163" s="501">
        <v>0</v>
      </c>
      <c r="DT163" s="501">
        <v>0.106</v>
      </c>
      <c r="DU163" s="173"/>
      <c r="DV163" s="173"/>
      <c r="DW163" s="115"/>
      <c r="DX163" s="502">
        <v>1.5781167806417677E-3</v>
      </c>
      <c r="DY163" s="173"/>
      <c r="DZ163" s="173"/>
      <c r="EA163" s="173"/>
      <c r="EB163" s="175"/>
    </row>
    <row r="164" spans="1:132" ht="16" thickBot="1">
      <c r="DQ164" s="493" t="s">
        <v>312</v>
      </c>
      <c r="DR164" s="115"/>
      <c r="DS164" s="501">
        <v>3.8106235565819858E-2</v>
      </c>
      <c r="DT164" s="501"/>
      <c r="DU164" s="173"/>
      <c r="DV164" s="501"/>
      <c r="DW164" s="115"/>
      <c r="DX164" s="502">
        <v>7.3908469226722798E-2</v>
      </c>
      <c r="DY164" s="501">
        <v>3.6000000000000004E-2</v>
      </c>
      <c r="DZ164" s="173"/>
      <c r="EA164" s="173"/>
      <c r="EB164" s="175"/>
    </row>
    <row r="165" spans="1:132">
      <c r="A165" s="100" t="s">
        <v>286</v>
      </c>
      <c r="B165" s="101">
        <v>39448</v>
      </c>
      <c r="C165" s="101">
        <v>39479</v>
      </c>
      <c r="D165" s="101">
        <v>39508</v>
      </c>
      <c r="E165" s="101">
        <v>39539</v>
      </c>
      <c r="F165" s="101">
        <v>39569</v>
      </c>
      <c r="G165" s="101">
        <v>39600</v>
      </c>
      <c r="H165" s="101">
        <v>39630</v>
      </c>
      <c r="I165" s="101">
        <v>39661</v>
      </c>
      <c r="J165" s="101">
        <v>39692</v>
      </c>
      <c r="K165" s="101">
        <v>39722</v>
      </c>
      <c r="L165" s="101">
        <v>39753</v>
      </c>
      <c r="M165" s="102">
        <v>39783</v>
      </c>
      <c r="N165" s="101">
        <v>39814</v>
      </c>
      <c r="O165" s="101">
        <v>39845</v>
      </c>
      <c r="P165" s="101">
        <v>39873</v>
      </c>
      <c r="Q165" s="101">
        <v>39904</v>
      </c>
      <c r="R165" s="101">
        <v>39934</v>
      </c>
      <c r="S165" s="101">
        <v>39965</v>
      </c>
      <c r="T165" s="101">
        <v>39995</v>
      </c>
      <c r="U165" s="101">
        <v>40026</v>
      </c>
      <c r="V165" s="101">
        <v>40057</v>
      </c>
      <c r="W165" s="101">
        <v>40087</v>
      </c>
      <c r="X165" s="101">
        <v>40118</v>
      </c>
      <c r="Y165" s="102">
        <v>40148</v>
      </c>
      <c r="Z165" s="101">
        <v>40179</v>
      </c>
      <c r="AA165" s="101">
        <v>40210</v>
      </c>
      <c r="AB165" s="101">
        <v>40238</v>
      </c>
      <c r="AC165" s="101">
        <v>40269</v>
      </c>
      <c r="AD165" s="101">
        <v>40299</v>
      </c>
      <c r="AE165" s="101">
        <v>40330</v>
      </c>
      <c r="AF165" s="101">
        <v>40360</v>
      </c>
      <c r="AG165" s="101">
        <v>40391</v>
      </c>
      <c r="AH165" s="101">
        <v>40422</v>
      </c>
      <c r="AI165" s="101">
        <v>40452</v>
      </c>
      <c r="AJ165" s="101">
        <v>40483</v>
      </c>
      <c r="AK165" s="102">
        <v>40513</v>
      </c>
      <c r="AL165" s="101">
        <v>40544</v>
      </c>
      <c r="AM165" s="101">
        <v>40575</v>
      </c>
      <c r="AN165" s="101">
        <v>40603</v>
      </c>
      <c r="AO165" s="101">
        <v>40634</v>
      </c>
      <c r="AP165" s="101">
        <v>40664</v>
      </c>
      <c r="AQ165" s="101">
        <v>40695</v>
      </c>
      <c r="AR165" s="101">
        <v>40725</v>
      </c>
      <c r="AS165" s="101">
        <v>40756</v>
      </c>
      <c r="AT165" s="101">
        <v>40787</v>
      </c>
      <c r="AU165" s="101">
        <v>40817</v>
      </c>
      <c r="AV165" s="101">
        <v>40848</v>
      </c>
      <c r="AW165" s="102">
        <v>40878</v>
      </c>
      <c r="AX165" s="101">
        <v>40909</v>
      </c>
      <c r="AY165" s="101">
        <v>40940</v>
      </c>
      <c r="AZ165" s="101">
        <v>40969</v>
      </c>
      <c r="BA165" s="101">
        <v>41000</v>
      </c>
      <c r="BB165" s="101">
        <v>41030</v>
      </c>
      <c r="BC165" s="101">
        <v>41061</v>
      </c>
      <c r="BD165" s="101">
        <v>41091</v>
      </c>
      <c r="BE165" s="101">
        <v>41122</v>
      </c>
      <c r="BF165" s="101">
        <v>41153</v>
      </c>
      <c r="BG165" s="101">
        <v>41183</v>
      </c>
      <c r="BH165" s="101">
        <v>41214</v>
      </c>
      <c r="BI165" s="102">
        <v>41244</v>
      </c>
      <c r="BJ165" s="101">
        <v>41275</v>
      </c>
      <c r="BK165" s="101">
        <v>41306</v>
      </c>
      <c r="BL165" s="101">
        <v>41334</v>
      </c>
      <c r="DQ165" s="493" t="s">
        <v>174</v>
      </c>
      <c r="DR165" s="503">
        <v>7.4999999999999997E-2</v>
      </c>
      <c r="DS165" s="173"/>
      <c r="DT165" s="501"/>
      <c r="DU165" s="501">
        <v>8.3962264150943391E-2</v>
      </c>
      <c r="DV165" s="502">
        <v>7.0800000000000002E-2</v>
      </c>
      <c r="DW165" s="503">
        <v>5.9374013439769113E-2</v>
      </c>
      <c r="DX165" s="173"/>
      <c r="DY165" s="501"/>
      <c r="DZ165" s="501">
        <v>2.71523178807947E-2</v>
      </c>
      <c r="EA165" s="501">
        <v>0.01</v>
      </c>
      <c r="EB165" s="480">
        <v>1.6E-2</v>
      </c>
    </row>
    <row r="166" spans="1:132" ht="16" thickBot="1">
      <c r="A166" s="75" t="s">
        <v>20</v>
      </c>
      <c r="M166" s="115"/>
      <c r="Y166" s="115"/>
      <c r="AK166" s="115"/>
      <c r="AW166" s="115"/>
      <c r="BI166" s="115"/>
      <c r="DQ166" s="481"/>
      <c r="DR166" s="483"/>
      <c r="DS166" s="482"/>
      <c r="DT166" s="482"/>
      <c r="DU166" s="482"/>
      <c r="DV166" s="482"/>
      <c r="DW166" s="483"/>
      <c r="DX166" s="482"/>
      <c r="DY166" s="482"/>
      <c r="DZ166" s="482"/>
      <c r="EA166" s="482"/>
      <c r="EB166" s="484"/>
    </row>
    <row r="167" spans="1:132">
      <c r="A167" s="76" t="s">
        <v>140</v>
      </c>
      <c r="B167" s="196">
        <f t="shared" ref="B167:X167" si="338">C167*B43/C43</f>
        <v>2.1270420285288902</v>
      </c>
      <c r="C167" s="196">
        <f t="shared" si="338"/>
        <v>1.9077270852746351</v>
      </c>
      <c r="D167" s="196">
        <f t="shared" si="338"/>
        <v>1.9092470563891342</v>
      </c>
      <c r="E167" s="196">
        <f t="shared" si="338"/>
        <v>1.8207000534203466</v>
      </c>
      <c r="F167" s="196">
        <f t="shared" si="338"/>
        <v>1.9760883893123646</v>
      </c>
      <c r="G167" s="196">
        <f t="shared" si="338"/>
        <v>2.0148746744407893</v>
      </c>
      <c r="H167" s="196">
        <f t="shared" si="338"/>
        <v>1.8058733383615504</v>
      </c>
      <c r="I167" s="196">
        <f t="shared" si="338"/>
        <v>1.301891690622019</v>
      </c>
      <c r="J167" s="196">
        <f t="shared" si="338"/>
        <v>1.3841144074282099</v>
      </c>
      <c r="K167" s="196">
        <f t="shared" si="338"/>
        <v>0.75319876559059262</v>
      </c>
      <c r="L167" s="196">
        <f t="shared" si="338"/>
        <v>1.1888123538652189</v>
      </c>
      <c r="M167" s="197">
        <f t="shared" si="338"/>
        <v>1.7307139031979104</v>
      </c>
      <c r="N167" s="196">
        <f t="shared" si="338"/>
        <v>1.8869613846675046</v>
      </c>
      <c r="O167" s="196">
        <f t="shared" si="338"/>
        <v>1.6874408080986387</v>
      </c>
      <c r="P167" s="196">
        <f t="shared" si="338"/>
        <v>1.7596198935515794</v>
      </c>
      <c r="Q167" s="196">
        <f t="shared" si="338"/>
        <v>1.5708768772455357</v>
      </c>
      <c r="R167" s="196">
        <f t="shared" si="338"/>
        <v>1.697762859557624</v>
      </c>
      <c r="S167" s="196">
        <f t="shared" si="338"/>
        <v>1.9179526306311123</v>
      </c>
      <c r="T167" s="196">
        <f t="shared" si="338"/>
        <v>1.7701935846728536</v>
      </c>
      <c r="U167" s="196">
        <f t="shared" si="338"/>
        <v>1.4988982832205551</v>
      </c>
      <c r="V167" s="196">
        <f t="shared" si="338"/>
        <v>1.5049342574019098</v>
      </c>
      <c r="W167" s="196">
        <f t="shared" si="338"/>
        <v>1.5649395805539956</v>
      </c>
      <c r="X167" s="196">
        <f t="shared" si="338"/>
        <v>1.5287179450997177</v>
      </c>
      <c r="Y167" s="197">
        <f>Z167*Y43/Z43</f>
        <v>1.6312728088475223</v>
      </c>
      <c r="Z167" s="196">
        <v>1.7590300000000001</v>
      </c>
      <c r="AA167" s="196">
        <v>1.5049520000000001</v>
      </c>
      <c r="AB167" s="196">
        <v>1.7088779999999999</v>
      </c>
      <c r="AC167" s="196">
        <v>1.5364169999999999</v>
      </c>
      <c r="AD167" s="196">
        <v>1.6536059999999999</v>
      </c>
      <c r="AE167" s="196">
        <v>1.616724</v>
      </c>
      <c r="AF167" s="196">
        <v>1.681929</v>
      </c>
      <c r="AG167" s="196">
        <v>1.3333980000000001</v>
      </c>
      <c r="AH167" s="196">
        <v>1.1135919999999999</v>
      </c>
      <c r="AI167" s="196">
        <v>1.247063</v>
      </c>
      <c r="AJ167" s="196">
        <v>1.2751699999999999</v>
      </c>
      <c r="AK167" s="197">
        <v>1.1363700000000001</v>
      </c>
      <c r="AL167" s="196">
        <v>1.2175750000000001</v>
      </c>
      <c r="AM167" s="196">
        <v>1.0412220000000001</v>
      </c>
      <c r="AN167" s="196">
        <v>1.1036269999999999</v>
      </c>
      <c r="AO167" s="196">
        <v>1.01088</v>
      </c>
      <c r="AP167" s="196">
        <v>1.094266</v>
      </c>
      <c r="AQ167" s="196">
        <v>1.1736150000000001</v>
      </c>
      <c r="AR167" s="196">
        <v>1.0207999999999999</v>
      </c>
      <c r="AS167" s="196">
        <v>0.90532599999999996</v>
      </c>
      <c r="AT167" s="196">
        <v>0.67199799999999998</v>
      </c>
      <c r="AU167" s="196">
        <v>0.75564600000000004</v>
      </c>
      <c r="AV167" s="196">
        <v>0.91485899999999998</v>
      </c>
      <c r="AW167" s="197">
        <v>1.015271</v>
      </c>
      <c r="AX167" s="196">
        <v>0.55549300000000001</v>
      </c>
      <c r="AY167" s="555">
        <v>0.66042800000000002</v>
      </c>
      <c r="AZ167" s="555">
        <v>0.81124700000000005</v>
      </c>
      <c r="BA167" s="555">
        <v>0.92842100000000005</v>
      </c>
      <c r="BB167" s="555">
        <v>1.6803900000000001</v>
      </c>
      <c r="BC167" s="555">
        <v>1.2894540000000001</v>
      </c>
      <c r="BD167" s="555">
        <v>1.3613900000000001</v>
      </c>
      <c r="BE167" s="555">
        <v>0.95841900000000002</v>
      </c>
      <c r="BF167" s="555">
        <v>0.810832</v>
      </c>
      <c r="BG167" s="555">
        <v>0.95071099999999997</v>
      </c>
      <c r="BH167" s="555">
        <v>0.98400900000000002</v>
      </c>
      <c r="BI167" s="566">
        <v>0.95822399999999996</v>
      </c>
      <c r="BJ167" s="555">
        <v>0.96086899999999997</v>
      </c>
      <c r="BK167" s="555">
        <v>0.74983100000000003</v>
      </c>
      <c r="BL167" s="555">
        <v>0.85215700000000005</v>
      </c>
    </row>
    <row r="168" spans="1:132">
      <c r="A168" s="76" t="s">
        <v>78</v>
      </c>
      <c r="B168" s="196"/>
      <c r="C168" s="196"/>
      <c r="D168" s="196">
        <f t="shared" ref="D168:Y168" si="339">E168*D44/E44</f>
        <v>0.32880969682332239</v>
      </c>
      <c r="E168" s="196">
        <f t="shared" si="339"/>
        <v>0.51661660399507314</v>
      </c>
      <c r="F168" s="196">
        <f t="shared" si="339"/>
        <v>0.65372769633459704</v>
      </c>
      <c r="G168" s="196">
        <f t="shared" si="339"/>
        <v>0.65204392393466082</v>
      </c>
      <c r="H168" s="196">
        <f t="shared" si="339"/>
        <v>0.76129712079719081</v>
      </c>
      <c r="I168" s="196">
        <f t="shared" si="339"/>
        <v>0.63382322983616379</v>
      </c>
      <c r="J168" s="196">
        <f t="shared" si="339"/>
        <v>0.69941686400929004</v>
      </c>
      <c r="K168" s="196">
        <f t="shared" si="339"/>
        <v>0.58929548326061409</v>
      </c>
      <c r="L168" s="196">
        <f t="shared" si="339"/>
        <v>0.60734182009732918</v>
      </c>
      <c r="M168" s="197">
        <f t="shared" si="339"/>
        <v>0.75892816758752457</v>
      </c>
      <c r="N168" s="196">
        <f t="shared" si="339"/>
        <v>0.97927864152552291</v>
      </c>
      <c r="O168" s="196">
        <f t="shared" si="339"/>
        <v>0.82261071648430029</v>
      </c>
      <c r="P168" s="196">
        <f t="shared" si="339"/>
        <v>0.91386260679466647</v>
      </c>
      <c r="Q168" s="196">
        <f t="shared" si="339"/>
        <v>0.9361648458848788</v>
      </c>
      <c r="R168" s="196">
        <f t="shared" si="339"/>
        <v>0.91144430039313196</v>
      </c>
      <c r="S168" s="196">
        <f t="shared" si="339"/>
        <v>0.89660772223922225</v>
      </c>
      <c r="T168" s="196">
        <f t="shared" si="339"/>
        <v>0.89846008802451793</v>
      </c>
      <c r="U168" s="196">
        <f t="shared" si="339"/>
        <v>0.71335211598762427</v>
      </c>
      <c r="V168" s="196">
        <f t="shared" si="339"/>
        <v>0.82509278576875922</v>
      </c>
      <c r="W168" s="196">
        <f t="shared" si="339"/>
        <v>0.81528410906669158</v>
      </c>
      <c r="X168" s="196">
        <f t="shared" si="339"/>
        <v>0.79058301665787079</v>
      </c>
      <c r="Y168" s="197">
        <f t="shared" si="339"/>
        <v>0.8859078061453185</v>
      </c>
      <c r="Z168" s="196">
        <v>0.98772199999999999</v>
      </c>
      <c r="AA168" s="196">
        <v>0.88514899999999996</v>
      </c>
      <c r="AB168" s="196">
        <v>0.76755399999999996</v>
      </c>
      <c r="AC168" s="196">
        <v>0.90368800000000005</v>
      </c>
      <c r="AD168" s="196">
        <v>0.84236200000000006</v>
      </c>
      <c r="AE168" s="196">
        <v>0.75125299999999995</v>
      </c>
      <c r="AF168" s="196">
        <v>0.79373000000000005</v>
      </c>
      <c r="AG168" s="196">
        <v>0.639795</v>
      </c>
      <c r="AH168" s="196">
        <v>0.66833699999999996</v>
      </c>
      <c r="AI168" s="196">
        <v>0.73836599999999997</v>
      </c>
      <c r="AJ168" s="196">
        <v>0.93518800000000002</v>
      </c>
      <c r="AK168" s="197">
        <v>0.81496100000000005</v>
      </c>
      <c r="AL168" s="196">
        <v>0.79226200000000002</v>
      </c>
      <c r="AM168" s="196">
        <v>0.72369700000000003</v>
      </c>
      <c r="AN168" s="196">
        <v>0.87098900000000001</v>
      </c>
      <c r="AO168" s="196">
        <v>0.75743099999999997</v>
      </c>
      <c r="AP168" s="196">
        <v>0.74145499999999998</v>
      </c>
      <c r="AQ168" s="196">
        <v>0.67229000000000005</v>
      </c>
      <c r="AR168" s="196">
        <v>0.35919699999999999</v>
      </c>
      <c r="AS168" s="196">
        <v>0.32413500000000001</v>
      </c>
      <c r="AT168" s="196">
        <v>0.32032100000000002</v>
      </c>
      <c r="AU168" s="196">
        <v>0.39166400000000001</v>
      </c>
      <c r="AV168" s="196">
        <v>0.41240300000000002</v>
      </c>
      <c r="AW168" s="197">
        <v>0.479242</v>
      </c>
      <c r="AX168" s="196">
        <v>0.35808899999999999</v>
      </c>
      <c r="AY168" s="555">
        <v>0.30082700000000001</v>
      </c>
      <c r="AZ168" s="555">
        <v>0.32928400000000002</v>
      </c>
      <c r="BA168" s="555">
        <v>0.37978200000000001</v>
      </c>
      <c r="BB168" s="555">
        <v>0.43136600000000003</v>
      </c>
      <c r="BC168" s="555">
        <v>0.51007000000000002</v>
      </c>
      <c r="BD168" s="555">
        <v>0.51989799999999997</v>
      </c>
      <c r="BE168" s="555">
        <v>0.45530700000000002</v>
      </c>
      <c r="BF168" s="555">
        <v>0.47716399999999998</v>
      </c>
      <c r="BG168" s="555">
        <v>0.51281699999999997</v>
      </c>
      <c r="BH168" s="555">
        <v>0.43680400000000003</v>
      </c>
      <c r="BI168" s="566">
        <v>0.50574600000000003</v>
      </c>
      <c r="BJ168" s="555">
        <v>0.50748490000000002</v>
      </c>
      <c r="BK168" s="555">
        <v>0.42993300000000001</v>
      </c>
      <c r="BL168" s="555">
        <v>0.390123</v>
      </c>
    </row>
    <row r="169" spans="1:132">
      <c r="A169" s="76" t="s">
        <v>190</v>
      </c>
      <c r="B169" s="196"/>
      <c r="C169" s="196"/>
      <c r="D169" s="196">
        <f t="shared" ref="D169:Y169" si="340">E169*D45/E45</f>
        <v>0.19501416102596231</v>
      </c>
      <c r="E169" s="196">
        <f t="shared" si="340"/>
        <v>0.31692851172842773</v>
      </c>
      <c r="F169" s="196">
        <f t="shared" si="340"/>
        <v>0.29601972208355182</v>
      </c>
      <c r="G169" s="196">
        <f t="shared" si="340"/>
        <v>8.683148898473525E-2</v>
      </c>
      <c r="H169" s="196">
        <f t="shared" si="340"/>
        <v>4.0842337456241273E-2</v>
      </c>
      <c r="I169" s="196">
        <f t="shared" si="340"/>
        <v>0.12247912442210561</v>
      </c>
      <c r="J169" s="196">
        <f t="shared" si="340"/>
        <v>0.39688694018424414</v>
      </c>
      <c r="K169" s="196">
        <f t="shared" si="340"/>
        <v>0.39985067199161584</v>
      </c>
      <c r="L169" s="196">
        <f t="shared" si="340"/>
        <v>0.42183960087688033</v>
      </c>
      <c r="M169" s="197">
        <f t="shared" si="340"/>
        <v>0.24262086097356031</v>
      </c>
      <c r="N169" s="196">
        <f t="shared" si="340"/>
        <v>0.27296433622836097</v>
      </c>
      <c r="O169" s="196">
        <f t="shared" si="340"/>
        <v>0.30577898155388883</v>
      </c>
      <c r="P169" s="196">
        <f t="shared" si="340"/>
        <v>0.24103599797833855</v>
      </c>
      <c r="Q169" s="196">
        <f t="shared" si="340"/>
        <v>0.2617311921787745</v>
      </c>
      <c r="R169" s="196">
        <f t="shared" si="340"/>
        <v>0.31855670191344693</v>
      </c>
      <c r="S169" s="196">
        <f t="shared" si="340"/>
        <v>5.4948758302920578E-2</v>
      </c>
      <c r="T169" s="196">
        <f t="shared" si="340"/>
        <v>4.6430024687836247E-2</v>
      </c>
      <c r="U169" s="196">
        <f t="shared" si="340"/>
        <v>0.1911998480715148</v>
      </c>
      <c r="V169" s="196">
        <f t="shared" si="340"/>
        <v>0.39057181223973447</v>
      </c>
      <c r="W169" s="196">
        <f t="shared" si="340"/>
        <v>0.34506838131265377</v>
      </c>
      <c r="X169" s="196">
        <f t="shared" si="340"/>
        <v>0.28021441932113111</v>
      </c>
      <c r="Y169" s="197">
        <f t="shared" si="340"/>
        <v>0.20035024650627742</v>
      </c>
      <c r="Z169" s="196">
        <v>0.245146</v>
      </c>
      <c r="AA169" s="196">
        <v>0.12589800000000001</v>
      </c>
      <c r="AB169" s="196">
        <v>0.22100400000000001</v>
      </c>
      <c r="AC169" s="196">
        <v>0.15243799999999999</v>
      </c>
      <c r="AD169" s="196">
        <v>0.134212</v>
      </c>
      <c r="AE169" s="196">
        <v>5.5204999999999997E-2</v>
      </c>
      <c r="AF169" s="196">
        <v>2.4478E-2</v>
      </c>
      <c r="AG169" s="196">
        <v>4.9515999999999998E-2</v>
      </c>
      <c r="AH169" s="196">
        <v>0.146679</v>
      </c>
      <c r="AI169" s="196">
        <v>0.113649</v>
      </c>
      <c r="AJ169" s="196">
        <v>0.14968999999999999</v>
      </c>
      <c r="AK169" s="197">
        <v>0.117132</v>
      </c>
      <c r="AL169" s="196">
        <v>0.189941</v>
      </c>
      <c r="AM169" s="196">
        <v>0.184973</v>
      </c>
      <c r="AN169" s="196">
        <v>9.9152000000000004E-2</v>
      </c>
      <c r="AO169" s="196">
        <v>0.164546</v>
      </c>
      <c r="AP169" s="196">
        <v>0.99031000000000002</v>
      </c>
      <c r="AQ169" s="196">
        <v>2.5127E-2</v>
      </c>
      <c r="AR169" s="196">
        <v>-0.100767</v>
      </c>
      <c r="AS169" s="196">
        <v>3.0289E-2</v>
      </c>
      <c r="AT169" s="196">
        <v>0.12393700000000001</v>
      </c>
      <c r="AU169" s="196">
        <v>0.10817</v>
      </c>
      <c r="AV169" s="196">
        <v>-9.2013999999999999E-2</v>
      </c>
      <c r="AW169" s="197">
        <v>8.8561000000000001E-2</v>
      </c>
      <c r="AX169" s="196">
        <v>9.1745999999999994E-2</v>
      </c>
      <c r="AY169" s="555">
        <v>8.1317E-2</v>
      </c>
      <c r="AZ169" s="555">
        <v>0.113091</v>
      </c>
      <c r="BA169" s="555">
        <v>7.3972999999999997E-2</v>
      </c>
      <c r="BB169" s="555">
        <v>4.5291999999999999E-2</v>
      </c>
      <c r="BC169" s="555">
        <v>2.1149000000000001E-2</v>
      </c>
      <c r="BD169" s="555">
        <v>1.6389000000000001E-2</v>
      </c>
      <c r="BE169" s="555">
        <v>2.1123699999999999E-2</v>
      </c>
      <c r="BF169" s="555">
        <v>0.120852</v>
      </c>
      <c r="BG169" s="555">
        <v>0.124026</v>
      </c>
      <c r="BH169" s="555">
        <v>7.5080999999999995E-2</v>
      </c>
      <c r="BI169" s="566">
        <v>5.1893000000000002E-2</v>
      </c>
      <c r="BJ169" s="555">
        <v>7.4597999999999998E-2</v>
      </c>
      <c r="BK169" s="555">
        <v>-2.6924E-2</v>
      </c>
      <c r="BL169" s="555">
        <v>5.5546999999999999E-2</v>
      </c>
    </row>
    <row r="170" spans="1:132">
      <c r="A170" s="77" t="s">
        <v>191</v>
      </c>
      <c r="B170" s="202">
        <f t="shared" ref="B170:Y170" si="341">SUM(B167:B169)</f>
        <v>2.1270420285288902</v>
      </c>
      <c r="C170" s="202">
        <f t="shared" si="341"/>
        <v>1.9077270852746351</v>
      </c>
      <c r="D170" s="202">
        <f t="shared" si="341"/>
        <v>2.433070914238419</v>
      </c>
      <c r="E170" s="202">
        <f t="shared" si="341"/>
        <v>2.6542451691438478</v>
      </c>
      <c r="F170" s="202">
        <f t="shared" si="341"/>
        <v>2.9258358077305133</v>
      </c>
      <c r="G170" s="202">
        <f t="shared" si="341"/>
        <v>2.753750087360185</v>
      </c>
      <c r="H170" s="202">
        <f t="shared" si="341"/>
        <v>2.6080127966149824</v>
      </c>
      <c r="I170" s="202">
        <f t="shared" si="341"/>
        <v>2.0581940448802887</v>
      </c>
      <c r="J170" s="202">
        <f t="shared" si="341"/>
        <v>2.4804182116217439</v>
      </c>
      <c r="K170" s="202">
        <f t="shared" si="341"/>
        <v>1.7423449208428226</v>
      </c>
      <c r="L170" s="202">
        <f t="shared" si="341"/>
        <v>2.2179937748394281</v>
      </c>
      <c r="M170" s="294">
        <f t="shared" si="341"/>
        <v>2.7322629317589957</v>
      </c>
      <c r="N170" s="202">
        <f t="shared" si="341"/>
        <v>3.1392043624213888</v>
      </c>
      <c r="O170" s="202">
        <f t="shared" si="341"/>
        <v>2.8158305061368281</v>
      </c>
      <c r="P170" s="202">
        <f t="shared" si="341"/>
        <v>2.9145184983245849</v>
      </c>
      <c r="Q170" s="202">
        <f t="shared" si="341"/>
        <v>2.7687729153091887</v>
      </c>
      <c r="R170" s="202">
        <f t="shared" si="341"/>
        <v>2.9277638618642028</v>
      </c>
      <c r="S170" s="202">
        <f t="shared" si="341"/>
        <v>2.8695091111732549</v>
      </c>
      <c r="T170" s="202">
        <f t="shared" si="341"/>
        <v>2.7150836973852077</v>
      </c>
      <c r="U170" s="202">
        <f t="shared" si="341"/>
        <v>2.4034502472796944</v>
      </c>
      <c r="V170" s="202">
        <f t="shared" si="341"/>
        <v>2.7205988554104037</v>
      </c>
      <c r="W170" s="202">
        <f t="shared" si="341"/>
        <v>2.725292070933341</v>
      </c>
      <c r="X170" s="202">
        <f t="shared" si="341"/>
        <v>2.5995153810787195</v>
      </c>
      <c r="Y170" s="294">
        <f t="shared" si="341"/>
        <v>2.7175308614991183</v>
      </c>
      <c r="Z170" s="202">
        <f t="shared" ref="Z170:BA170" si="342">SUM(Z167:Z169)</f>
        <v>2.9918979999999999</v>
      </c>
      <c r="AA170" s="202">
        <f t="shared" si="342"/>
        <v>2.5159989999999999</v>
      </c>
      <c r="AB170" s="202">
        <f t="shared" si="342"/>
        <v>2.6974360000000002</v>
      </c>
      <c r="AC170" s="202">
        <f t="shared" si="342"/>
        <v>2.592543</v>
      </c>
      <c r="AD170" s="202">
        <f t="shared" si="342"/>
        <v>2.6301800000000002</v>
      </c>
      <c r="AE170" s="202">
        <f t="shared" si="342"/>
        <v>2.4231819999999997</v>
      </c>
      <c r="AF170" s="202">
        <f t="shared" si="342"/>
        <v>2.5001370000000005</v>
      </c>
      <c r="AG170" s="202">
        <f t="shared" si="342"/>
        <v>2.0227090000000003</v>
      </c>
      <c r="AH170" s="202">
        <f t="shared" si="342"/>
        <v>1.9286079999999999</v>
      </c>
      <c r="AI170" s="202">
        <f t="shared" si="342"/>
        <v>2.099078</v>
      </c>
      <c r="AJ170" s="202">
        <f t="shared" si="342"/>
        <v>2.3600479999999999</v>
      </c>
      <c r="AK170" s="294">
        <f t="shared" si="342"/>
        <v>2.0684629999999999</v>
      </c>
      <c r="AL170" s="202">
        <f t="shared" si="342"/>
        <v>2.1997780000000002</v>
      </c>
      <c r="AM170" s="202">
        <f t="shared" si="342"/>
        <v>1.9498920000000002</v>
      </c>
      <c r="AN170" s="202">
        <f t="shared" si="342"/>
        <v>2.0737679999999998</v>
      </c>
      <c r="AO170" s="202">
        <f t="shared" si="342"/>
        <v>1.932857</v>
      </c>
      <c r="AP170" s="202">
        <f t="shared" si="342"/>
        <v>2.826031</v>
      </c>
      <c r="AQ170" s="202">
        <f t="shared" si="342"/>
        <v>1.871032</v>
      </c>
      <c r="AR170" s="202">
        <f t="shared" si="342"/>
        <v>1.2792299999999999</v>
      </c>
      <c r="AS170" s="202">
        <f t="shared" si="342"/>
        <v>1.2597499999999999</v>
      </c>
      <c r="AT170" s="202">
        <f t="shared" si="342"/>
        <v>1.1162559999999999</v>
      </c>
      <c r="AU170" s="202">
        <f t="shared" si="342"/>
        <v>1.2554800000000002</v>
      </c>
      <c r="AV170" s="202">
        <f t="shared" si="342"/>
        <v>1.2352479999999999</v>
      </c>
      <c r="AW170" s="294">
        <f t="shared" si="342"/>
        <v>1.5830739999999999</v>
      </c>
      <c r="AX170" s="202">
        <f t="shared" si="342"/>
        <v>1.005328</v>
      </c>
      <c r="AY170" s="202">
        <f t="shared" si="342"/>
        <v>1.0425720000000001</v>
      </c>
      <c r="AZ170" s="202">
        <f t="shared" si="342"/>
        <v>1.2536220000000002</v>
      </c>
      <c r="BA170" s="202">
        <f t="shared" si="342"/>
        <v>1.3821760000000001</v>
      </c>
      <c r="BB170" s="202">
        <f t="shared" ref="BB170:BG170" si="343">SUM(BB167:BB169)</f>
        <v>2.1570480000000001</v>
      </c>
      <c r="BC170" s="202">
        <f t="shared" si="343"/>
        <v>1.8206730000000002</v>
      </c>
      <c r="BD170" s="202">
        <f t="shared" si="343"/>
        <v>1.8976770000000001</v>
      </c>
      <c r="BE170" s="202">
        <f t="shared" si="343"/>
        <v>1.4348497</v>
      </c>
      <c r="BF170" s="202">
        <f t="shared" si="343"/>
        <v>1.4088479999999999</v>
      </c>
      <c r="BG170" s="202">
        <f t="shared" si="343"/>
        <v>1.5875539999999999</v>
      </c>
      <c r="BH170" s="202">
        <f t="shared" ref="BH170:BL170" si="344">SUM(BH167:BH169)</f>
        <v>1.4958940000000001</v>
      </c>
      <c r="BI170" s="294">
        <f t="shared" si="344"/>
        <v>1.515863</v>
      </c>
      <c r="BJ170" s="202">
        <f t="shared" si="344"/>
        <v>1.5429518999999998</v>
      </c>
      <c r="BK170" s="202">
        <f t="shared" si="344"/>
        <v>1.1528400000000001</v>
      </c>
      <c r="BL170" s="202">
        <f t="shared" si="344"/>
        <v>1.2978270000000001</v>
      </c>
    </row>
    <row r="171" spans="1:132">
      <c r="A171" s="76" t="s">
        <v>192</v>
      </c>
      <c r="B171" s="196">
        <f t="shared" ref="B171:X171" si="345">C171*B47/C47</f>
        <v>10.973395663056277</v>
      </c>
      <c r="C171" s="196">
        <f t="shared" si="345"/>
        <v>13.33399954298843</v>
      </c>
      <c r="D171" s="196">
        <f t="shared" si="345"/>
        <v>15.793175097979836</v>
      </c>
      <c r="E171" s="196">
        <f t="shared" si="345"/>
        <v>12.609271087665951</v>
      </c>
      <c r="F171" s="196">
        <f t="shared" si="345"/>
        <v>10.792471908717463</v>
      </c>
      <c r="G171" s="196">
        <f t="shared" si="345"/>
        <v>10.925084848744683</v>
      </c>
      <c r="H171" s="196">
        <f t="shared" si="345"/>
        <v>4.8906736987203026</v>
      </c>
      <c r="I171" s="196">
        <f t="shared" si="345"/>
        <v>9.0543940109651455</v>
      </c>
      <c r="J171" s="196">
        <f t="shared" si="345"/>
        <v>13.318838539852647</v>
      </c>
      <c r="K171" s="196">
        <f t="shared" si="345"/>
        <v>15.848594204678616</v>
      </c>
      <c r="L171" s="196">
        <f t="shared" si="345"/>
        <v>18.864704083898772</v>
      </c>
      <c r="M171" s="197">
        <f t="shared" si="345"/>
        <v>13.085889743441179</v>
      </c>
      <c r="N171" s="196">
        <f t="shared" si="345"/>
        <v>14.250002063617274</v>
      </c>
      <c r="O171" s="196">
        <f t="shared" si="345"/>
        <v>15.461313780639996</v>
      </c>
      <c r="P171" s="196">
        <f t="shared" si="345"/>
        <v>16.396237509324749</v>
      </c>
      <c r="Q171" s="196">
        <f t="shared" si="345"/>
        <v>16.682885671038818</v>
      </c>
      <c r="R171" s="196">
        <f t="shared" si="345"/>
        <v>16.94579410662935</v>
      </c>
      <c r="S171" s="196">
        <f t="shared" si="345"/>
        <v>8.6271117815693295</v>
      </c>
      <c r="T171" s="196">
        <f t="shared" si="345"/>
        <v>6.1115279820925181</v>
      </c>
      <c r="U171" s="196">
        <f t="shared" si="345"/>
        <v>11.146398069958087</v>
      </c>
      <c r="V171" s="196">
        <f t="shared" si="345"/>
        <v>17.401021644594397</v>
      </c>
      <c r="W171" s="196">
        <f t="shared" si="345"/>
        <v>17.172131834762812</v>
      </c>
      <c r="X171" s="196">
        <f t="shared" si="345"/>
        <v>16.601337842672233</v>
      </c>
      <c r="Y171" s="197">
        <f>Z171*Y47/Z47</f>
        <v>13.941619422756244</v>
      </c>
      <c r="Z171" s="196">
        <v>19.535862999999999</v>
      </c>
      <c r="AA171" s="196">
        <v>18.978002</v>
      </c>
      <c r="AB171" s="196">
        <v>23.527740999999999</v>
      </c>
      <c r="AC171" s="196">
        <v>20.056609999999999</v>
      </c>
      <c r="AD171" s="196">
        <v>12.276560999999999</v>
      </c>
      <c r="AE171" s="196">
        <v>24.404392999999999</v>
      </c>
      <c r="AF171" s="196">
        <v>14.170487</v>
      </c>
      <c r="AG171" s="196">
        <v>16.316355999999999</v>
      </c>
      <c r="AH171" s="196">
        <v>24.205660999999999</v>
      </c>
      <c r="AI171" s="196">
        <v>5.7519410000000004</v>
      </c>
      <c r="AJ171" s="196">
        <v>24.830553999999999</v>
      </c>
      <c r="AK171" s="197">
        <v>8.7850280000000005</v>
      </c>
      <c r="AL171" s="196">
        <v>18.963000000000001</v>
      </c>
      <c r="AM171" s="196">
        <v>33.475999999999999</v>
      </c>
      <c r="AN171" s="196">
        <v>21.638999999999999</v>
      </c>
      <c r="AO171" s="196">
        <v>25.367999999999999</v>
      </c>
      <c r="AP171" s="196">
        <v>7.7729999999999997</v>
      </c>
      <c r="AQ171" s="196">
        <v>9.6329999999999991</v>
      </c>
      <c r="AR171" s="196">
        <v>6.8979999999999997</v>
      </c>
      <c r="AS171" s="196">
        <v>8.1940000000000008</v>
      </c>
      <c r="AT171" s="196">
        <v>15.555999999999999</v>
      </c>
      <c r="AU171" s="196">
        <v>24.273</v>
      </c>
      <c r="AV171" s="196">
        <v>22.479357</v>
      </c>
      <c r="AW171" s="197">
        <v>14.582350999999999</v>
      </c>
      <c r="AX171" s="196">
        <v>5.3599800000000002</v>
      </c>
      <c r="AY171" s="555">
        <v>25.587458000000002</v>
      </c>
      <c r="AZ171" s="555">
        <f>(1-0.7843)*AZ47</f>
        <v>22.846583996699998</v>
      </c>
      <c r="BA171" s="555">
        <f>(1-0.8299)*BA47</f>
        <v>17.986381994700004</v>
      </c>
      <c r="BB171" s="555">
        <f>(1-0.9166)*BB47</f>
        <v>7.8583149600000031</v>
      </c>
      <c r="BC171" s="555">
        <v>8.0337320000000005</v>
      </c>
      <c r="BD171" s="555">
        <v>9.3231020000000004</v>
      </c>
      <c r="BE171" s="555">
        <v>9.7129220000000007</v>
      </c>
      <c r="BF171" s="555">
        <v>-0.62418799999999997</v>
      </c>
      <c r="BG171" s="555">
        <v>21.698922</v>
      </c>
      <c r="BH171" s="555">
        <v>24.743487999999999</v>
      </c>
      <c r="BI171" s="566">
        <v>14.379591</v>
      </c>
      <c r="BJ171" s="555">
        <v>21.537572999999998</v>
      </c>
      <c r="BK171" s="555">
        <v>24.833434</v>
      </c>
      <c r="BL171" s="555">
        <v>23.062738</v>
      </c>
    </row>
    <row r="172" spans="1:132">
      <c r="A172" s="77" t="s">
        <v>238</v>
      </c>
      <c r="B172" s="202">
        <f t="shared" ref="B172:X172" si="346">SUM(B170:B171)</f>
        <v>13.100437691585167</v>
      </c>
      <c r="C172" s="202">
        <f t="shared" si="346"/>
        <v>15.241726628263065</v>
      </c>
      <c r="D172" s="202">
        <f t="shared" si="346"/>
        <v>18.226246012218255</v>
      </c>
      <c r="E172" s="202">
        <f t="shared" si="346"/>
        <v>15.263516256809798</v>
      </c>
      <c r="F172" s="202">
        <f t="shared" si="346"/>
        <v>13.718307716447976</v>
      </c>
      <c r="G172" s="202">
        <f t="shared" si="346"/>
        <v>13.678834936104868</v>
      </c>
      <c r="H172" s="202">
        <f t="shared" si="346"/>
        <v>7.498686495335285</v>
      </c>
      <c r="I172" s="202">
        <f t="shared" si="346"/>
        <v>11.112588055845434</v>
      </c>
      <c r="J172" s="202">
        <f t="shared" si="346"/>
        <v>15.799256751474392</v>
      </c>
      <c r="K172" s="202">
        <f t="shared" si="346"/>
        <v>17.590939125521437</v>
      </c>
      <c r="L172" s="202">
        <f t="shared" si="346"/>
        <v>21.0826978587382</v>
      </c>
      <c r="M172" s="294">
        <f t="shared" si="346"/>
        <v>15.818152675200174</v>
      </c>
      <c r="N172" s="202">
        <f t="shared" si="346"/>
        <v>17.389206426038662</v>
      </c>
      <c r="O172" s="202">
        <f t="shared" si="346"/>
        <v>18.277144286776824</v>
      </c>
      <c r="P172" s="202">
        <f t="shared" si="346"/>
        <v>19.310756007649335</v>
      </c>
      <c r="Q172" s="202">
        <f t="shared" si="346"/>
        <v>19.451658586348007</v>
      </c>
      <c r="R172" s="202">
        <f t="shared" si="346"/>
        <v>19.873557968493554</v>
      </c>
      <c r="S172" s="202">
        <f t="shared" si="346"/>
        <v>11.496620892742584</v>
      </c>
      <c r="T172" s="202">
        <f t="shared" si="346"/>
        <v>8.8266116794777254</v>
      </c>
      <c r="U172" s="202">
        <f t="shared" si="346"/>
        <v>13.549848317237782</v>
      </c>
      <c r="V172" s="202">
        <f t="shared" si="346"/>
        <v>20.121620500004802</v>
      </c>
      <c r="W172" s="202">
        <f t="shared" si="346"/>
        <v>19.897423905696154</v>
      </c>
      <c r="X172" s="202">
        <f t="shared" si="346"/>
        <v>19.200853223750954</v>
      </c>
      <c r="Y172" s="294">
        <f t="shared" ref="Y172:BA172" si="347">SUM(Y170:Y171)</f>
        <v>16.659150284255361</v>
      </c>
      <c r="Z172" s="202">
        <f t="shared" si="347"/>
        <v>22.527760999999998</v>
      </c>
      <c r="AA172" s="202">
        <f t="shared" si="347"/>
        <v>21.494001000000001</v>
      </c>
      <c r="AB172" s="202">
        <f t="shared" si="347"/>
        <v>26.225176999999999</v>
      </c>
      <c r="AC172" s="202">
        <f t="shared" si="347"/>
        <v>22.649152999999998</v>
      </c>
      <c r="AD172" s="202">
        <f t="shared" si="347"/>
        <v>14.906741</v>
      </c>
      <c r="AE172" s="202">
        <f t="shared" si="347"/>
        <v>26.827575</v>
      </c>
      <c r="AF172" s="202">
        <f t="shared" si="347"/>
        <v>16.670624</v>
      </c>
      <c r="AG172" s="202">
        <f t="shared" si="347"/>
        <v>18.339064999999998</v>
      </c>
      <c r="AH172" s="202">
        <f t="shared" si="347"/>
        <v>26.134269</v>
      </c>
      <c r="AI172" s="202">
        <f t="shared" si="347"/>
        <v>7.8510190000000009</v>
      </c>
      <c r="AJ172" s="202">
        <f t="shared" si="347"/>
        <v>27.190601999999998</v>
      </c>
      <c r="AK172" s="294">
        <f t="shared" si="347"/>
        <v>10.853491</v>
      </c>
      <c r="AL172" s="202">
        <f t="shared" si="347"/>
        <v>21.162778000000003</v>
      </c>
      <c r="AM172" s="202">
        <f t="shared" si="347"/>
        <v>35.425891999999997</v>
      </c>
      <c r="AN172" s="202">
        <f t="shared" si="347"/>
        <v>23.712768000000001</v>
      </c>
      <c r="AO172" s="202">
        <f t="shared" si="347"/>
        <v>27.300856999999997</v>
      </c>
      <c r="AP172" s="202">
        <f t="shared" si="347"/>
        <v>10.599031</v>
      </c>
      <c r="AQ172" s="202">
        <f t="shared" si="347"/>
        <v>11.504031999999999</v>
      </c>
      <c r="AR172" s="202">
        <f t="shared" si="347"/>
        <v>8.1772299999999998</v>
      </c>
      <c r="AS172" s="202">
        <f t="shared" si="347"/>
        <v>9.4537500000000012</v>
      </c>
      <c r="AT172" s="202">
        <f t="shared" si="347"/>
        <v>16.672255999999997</v>
      </c>
      <c r="AU172" s="202">
        <f t="shared" si="347"/>
        <v>25.528479999999998</v>
      </c>
      <c r="AV172" s="202">
        <f t="shared" si="347"/>
        <v>23.714604999999999</v>
      </c>
      <c r="AW172" s="294">
        <f t="shared" si="347"/>
        <v>16.165424999999999</v>
      </c>
      <c r="AX172" s="202">
        <f t="shared" si="347"/>
        <v>6.3653080000000006</v>
      </c>
      <c r="AY172" s="202">
        <f t="shared" si="347"/>
        <v>26.630030000000001</v>
      </c>
      <c r="AZ172" s="202">
        <f t="shared" si="347"/>
        <v>24.100205996699998</v>
      </c>
      <c r="BA172" s="202">
        <f t="shared" si="347"/>
        <v>19.368557994700005</v>
      </c>
      <c r="BB172" s="202">
        <f t="shared" ref="BB172:BG172" si="348">SUM(BB170:BB171)</f>
        <v>10.015362960000003</v>
      </c>
      <c r="BC172" s="202">
        <f t="shared" si="348"/>
        <v>9.8544049999999999</v>
      </c>
      <c r="BD172" s="202">
        <f t="shared" si="348"/>
        <v>11.220779</v>
      </c>
      <c r="BE172" s="202">
        <f t="shared" si="348"/>
        <v>11.1477717</v>
      </c>
      <c r="BF172" s="202">
        <f t="shared" si="348"/>
        <v>0.78465999999999991</v>
      </c>
      <c r="BG172" s="202">
        <f t="shared" si="348"/>
        <v>23.286476</v>
      </c>
      <c r="BH172" s="202">
        <f t="shared" ref="BH172:BL172" si="349">SUM(BH170:BH171)</f>
        <v>26.239381999999999</v>
      </c>
      <c r="BI172" s="294">
        <f t="shared" si="349"/>
        <v>15.895453999999999</v>
      </c>
      <c r="BJ172" s="202">
        <f t="shared" si="349"/>
        <v>23.080524899999997</v>
      </c>
      <c r="BK172" s="202">
        <f t="shared" si="349"/>
        <v>25.986274000000002</v>
      </c>
      <c r="BL172" s="202">
        <f t="shared" si="349"/>
        <v>24.360565000000001</v>
      </c>
    </row>
    <row r="173" spans="1:132">
      <c r="A173" s="76"/>
      <c r="B173" s="196"/>
      <c r="C173" s="196"/>
      <c r="D173" s="196"/>
      <c r="E173" s="196"/>
      <c r="F173" s="196"/>
      <c r="G173" s="196"/>
      <c r="H173" s="196"/>
      <c r="I173" s="196"/>
      <c r="J173" s="196"/>
      <c r="K173" s="196"/>
      <c r="L173" s="196"/>
      <c r="M173" s="197"/>
      <c r="N173" s="196"/>
      <c r="O173" s="196"/>
      <c r="P173" s="196"/>
      <c r="Q173" s="196"/>
      <c r="R173" s="196"/>
      <c r="S173" s="196"/>
      <c r="T173" s="196"/>
      <c r="U173" s="196"/>
      <c r="V173" s="196"/>
      <c r="W173" s="196"/>
      <c r="X173" s="196"/>
      <c r="Y173" s="197"/>
      <c r="Z173" s="196"/>
      <c r="AA173" s="196"/>
      <c r="AB173" s="196"/>
      <c r="AC173" s="196"/>
      <c r="AD173" s="196"/>
      <c r="AE173" s="196"/>
      <c r="AF173" s="196"/>
      <c r="AG173" s="196"/>
      <c r="AH173" s="196"/>
      <c r="AI173" s="196"/>
      <c r="AJ173" s="196"/>
      <c r="AK173" s="197"/>
      <c r="AL173" s="196"/>
      <c r="AM173" s="196"/>
      <c r="AN173" s="196"/>
      <c r="AO173" s="196"/>
      <c r="AP173" s="196"/>
      <c r="AQ173" s="196"/>
      <c r="AR173" s="196"/>
      <c r="AS173" s="196"/>
      <c r="AT173" s="196"/>
      <c r="AU173" s="196"/>
      <c r="AV173" s="196"/>
      <c r="AW173" s="197"/>
      <c r="AX173" s="196"/>
      <c r="AY173" s="555"/>
      <c r="AZ173" s="555"/>
      <c r="BA173" s="555"/>
      <c r="BB173" s="555"/>
      <c r="BC173" s="555"/>
      <c r="BD173" s="555"/>
      <c r="BE173" s="555"/>
      <c r="BF173" s="555"/>
      <c r="BG173" s="555"/>
      <c r="BH173" s="555"/>
      <c r="BI173" s="566"/>
      <c r="BJ173" s="555"/>
      <c r="BK173" s="555"/>
      <c r="BL173" s="555"/>
    </row>
    <row r="174" spans="1:132">
      <c r="A174" s="76" t="s">
        <v>102</v>
      </c>
      <c r="B174" s="196"/>
      <c r="C174" s="196"/>
      <c r="D174" s="196"/>
      <c r="E174" s="196"/>
      <c r="F174" s="196"/>
      <c r="G174" s="196"/>
      <c r="H174" s="196"/>
      <c r="I174" s="196"/>
      <c r="J174" s="196">
        <f t="shared" ref="J174:X174" si="350">K174*J50/K50</f>
        <v>2.2183417919220227</v>
      </c>
      <c r="K174" s="196">
        <f t="shared" si="350"/>
        <v>6.2179674057939325</v>
      </c>
      <c r="L174" s="196">
        <f t="shared" si="350"/>
        <v>9.0300906043240534</v>
      </c>
      <c r="M174" s="197">
        <f t="shared" si="350"/>
        <v>12.172846683442188</v>
      </c>
      <c r="N174" s="196">
        <f t="shared" si="350"/>
        <v>17.323044469027497</v>
      </c>
      <c r="O174" s="196">
        <f t="shared" si="350"/>
        <v>17.50631949592583</v>
      </c>
      <c r="P174" s="196">
        <f t="shared" si="350"/>
        <v>22.263719460767707</v>
      </c>
      <c r="Q174" s="196">
        <f t="shared" si="350"/>
        <v>22.935770766253135</v>
      </c>
      <c r="R174" s="196">
        <f t="shared" si="350"/>
        <v>24.418241117344543</v>
      </c>
      <c r="S174" s="196">
        <f t="shared" si="350"/>
        <v>23.061506547693185</v>
      </c>
      <c r="T174" s="196">
        <f t="shared" si="350"/>
        <v>22.523740623975041</v>
      </c>
      <c r="U174" s="196">
        <f t="shared" si="350"/>
        <v>21.693075819625946</v>
      </c>
      <c r="V174" s="196">
        <f t="shared" si="350"/>
        <v>25.824516860085375</v>
      </c>
      <c r="W174" s="196">
        <f t="shared" si="350"/>
        <v>29.153011319084811</v>
      </c>
      <c r="X174" s="196">
        <f t="shared" si="350"/>
        <v>29.547807160199881</v>
      </c>
      <c r="Y174" s="197">
        <f>Z174*Y50/Z50</f>
        <v>30.763765532791471</v>
      </c>
      <c r="Z174" s="196">
        <v>36.428260999999999</v>
      </c>
      <c r="AA174" s="196">
        <v>31.910487</v>
      </c>
      <c r="AB174" s="196">
        <v>35.385094000000002</v>
      </c>
      <c r="AC174" s="196">
        <v>32.945965999999999</v>
      </c>
      <c r="AD174" s="196">
        <v>33.921692999999998</v>
      </c>
      <c r="AE174" s="196">
        <v>29.194009000000001</v>
      </c>
      <c r="AF174" s="196">
        <v>27.479068999999999</v>
      </c>
      <c r="AG174" s="196">
        <v>26.379859</v>
      </c>
      <c r="AH174" s="196">
        <v>29.452586</v>
      </c>
      <c r="AI174" s="196">
        <v>31.646061</v>
      </c>
      <c r="AJ174" s="196">
        <v>30.230405999999999</v>
      </c>
      <c r="AK174" s="197">
        <v>31.510586</v>
      </c>
      <c r="AL174" s="196">
        <v>35.274630999999999</v>
      </c>
      <c r="AM174" s="196">
        <v>30.003291000000001</v>
      </c>
      <c r="AN174" s="196">
        <v>31.470037999999999</v>
      </c>
      <c r="AO174" s="196">
        <v>27.418716</v>
      </c>
      <c r="AP174" s="196">
        <v>27.653503000000001</v>
      </c>
      <c r="AQ174" s="196">
        <v>24.966937999999999</v>
      </c>
      <c r="AR174" s="196">
        <v>15.946391999999999</v>
      </c>
      <c r="AS174" s="196">
        <v>9.6246829999999992</v>
      </c>
      <c r="AT174" s="196">
        <v>11.720795000000001</v>
      </c>
      <c r="AU174" s="196">
        <v>14.631342</v>
      </c>
      <c r="AV174" s="196">
        <v>13.514194</v>
      </c>
      <c r="AW174" s="197">
        <v>14.157679999999999</v>
      </c>
      <c r="AX174" s="196">
        <v>16.40175</v>
      </c>
      <c r="AY174" s="555">
        <v>15.382429999999999</v>
      </c>
      <c r="AZ174" s="555">
        <v>13.392795</v>
      </c>
      <c r="BA174" s="555">
        <v>14.421913</v>
      </c>
      <c r="BB174" s="555">
        <v>12.509782</v>
      </c>
      <c r="BC174" s="555">
        <v>11.613861999999999</v>
      </c>
      <c r="BD174" s="555">
        <v>11.623082999999999</v>
      </c>
      <c r="BE174" s="555">
        <v>9.1362539999999992</v>
      </c>
      <c r="BF174" s="555">
        <v>12.699629</v>
      </c>
      <c r="BG174" s="555">
        <v>11.081866</v>
      </c>
      <c r="BH174" s="555">
        <v>11.750123</v>
      </c>
      <c r="BI174" s="566">
        <v>11.224372000000001</v>
      </c>
      <c r="BJ174" s="555">
        <v>10.904616000000001</v>
      </c>
      <c r="BK174" s="555">
        <v>8.6054560000000002</v>
      </c>
      <c r="BL174" s="555">
        <v>9.2223100000000002</v>
      </c>
    </row>
    <row r="175" spans="1:132">
      <c r="A175" s="76" t="s">
        <v>103</v>
      </c>
      <c r="B175" s="196"/>
      <c r="C175" s="196"/>
      <c r="D175" s="196"/>
      <c r="E175" s="196"/>
      <c r="F175" s="196"/>
      <c r="G175" s="196"/>
      <c r="H175" s="196"/>
      <c r="I175" s="196"/>
      <c r="J175" s="196"/>
      <c r="K175" s="196"/>
      <c r="L175" s="196"/>
      <c r="M175" s="197"/>
      <c r="N175" s="196"/>
      <c r="O175" s="196"/>
      <c r="P175" s="196"/>
      <c r="Q175" s="196"/>
      <c r="R175" s="196"/>
      <c r="S175" s="196"/>
      <c r="T175" s="196"/>
      <c r="U175" s="196"/>
      <c r="V175" s="196"/>
      <c r="W175" s="196"/>
      <c r="X175" s="196"/>
      <c r="Y175" s="197"/>
      <c r="Z175" s="196"/>
      <c r="AA175" s="196"/>
      <c r="AB175" s="196"/>
      <c r="AC175" s="196"/>
      <c r="AD175" s="196"/>
      <c r="AE175" s="196"/>
      <c r="AF175" s="196"/>
      <c r="AG175" s="196"/>
      <c r="AH175" s="196"/>
      <c r="AI175" s="196"/>
      <c r="AJ175" s="196"/>
      <c r="AK175" s="197"/>
      <c r="AL175" s="196"/>
      <c r="AM175" s="196"/>
      <c r="AN175" s="196"/>
      <c r="AO175" s="196"/>
      <c r="AP175" s="196"/>
      <c r="AQ175" s="196"/>
      <c r="AR175" s="196">
        <v>9.0994930000000007</v>
      </c>
      <c r="AS175" s="196">
        <v>24.132829999999998</v>
      </c>
      <c r="AT175" s="196">
        <v>23.948098000000002</v>
      </c>
      <c r="AU175" s="196">
        <v>24.725905999999998</v>
      </c>
      <c r="AV175" s="196">
        <v>23.426553999999999</v>
      </c>
      <c r="AW175" s="197">
        <v>22.655217</v>
      </c>
      <c r="AX175" s="196">
        <v>24.649000000000001</v>
      </c>
      <c r="AY175" s="555">
        <v>21.354621999999999</v>
      </c>
      <c r="AZ175" s="555">
        <v>19.971533000000001</v>
      </c>
      <c r="BA175" s="555">
        <v>18.087416000000001</v>
      </c>
      <c r="BB175" s="555">
        <v>17.985623</v>
      </c>
      <c r="BC175" s="555">
        <v>15.032588000000001</v>
      </c>
      <c r="BD175" s="555">
        <v>14.712372</v>
      </c>
      <c r="BE175" s="555">
        <v>14.23644</v>
      </c>
      <c r="BF175" s="555">
        <v>16.536321999999998</v>
      </c>
      <c r="BG175" s="555">
        <v>16.603355000000001</v>
      </c>
      <c r="BH175" s="555">
        <v>15.444825</v>
      </c>
      <c r="BI175" s="566">
        <v>14.776595</v>
      </c>
      <c r="BJ175" s="555">
        <v>15.969283000000001</v>
      </c>
      <c r="BK175" s="555">
        <v>13.668271000000001</v>
      </c>
      <c r="BL175" s="555">
        <v>13.499829</v>
      </c>
      <c r="BN175" s="521"/>
    </row>
    <row r="176" spans="1:132">
      <c r="A176" s="76" t="s">
        <v>100</v>
      </c>
      <c r="B176" s="196"/>
      <c r="C176" s="196"/>
      <c r="D176" s="196"/>
      <c r="E176" s="196"/>
      <c r="F176" s="196"/>
      <c r="G176" s="196"/>
      <c r="H176" s="196"/>
      <c r="I176" s="196"/>
      <c r="J176" s="196"/>
      <c r="K176" s="196"/>
      <c r="L176" s="196"/>
      <c r="M176" s="197"/>
      <c r="N176" s="196"/>
      <c r="O176" s="196"/>
      <c r="P176" s="196"/>
      <c r="Q176" s="196"/>
      <c r="R176" s="196"/>
      <c r="S176" s="196"/>
      <c r="T176" s="196"/>
      <c r="U176" s="196"/>
      <c r="V176" s="196"/>
      <c r="W176" s="196"/>
      <c r="X176" s="196"/>
      <c r="Y176" s="197"/>
      <c r="Z176" s="196"/>
      <c r="AA176" s="196"/>
      <c r="AB176" s="196"/>
      <c r="AC176" s="196"/>
      <c r="AD176" s="196"/>
      <c r="AE176" s="196"/>
      <c r="AF176" s="196"/>
      <c r="AG176" s="196"/>
      <c r="AH176" s="196"/>
      <c r="AI176" s="196"/>
      <c r="AJ176" s="196"/>
      <c r="AK176" s="197"/>
      <c r="AL176" s="196"/>
      <c r="AM176" s="196"/>
      <c r="AN176" s="196"/>
      <c r="AO176" s="196"/>
      <c r="AP176" s="196"/>
      <c r="AQ176" s="196"/>
      <c r="AR176" s="196">
        <v>2.345898</v>
      </c>
      <c r="AS176" s="196">
        <v>7.2486230000000003</v>
      </c>
      <c r="AT176" s="196">
        <v>8.8703199999999995</v>
      </c>
      <c r="AU176" s="196">
        <v>9.9404990000000009</v>
      </c>
      <c r="AV176" s="196">
        <v>9.8974270000000004</v>
      </c>
      <c r="AW176" s="197">
        <v>10.856248000000001</v>
      </c>
      <c r="AX176" s="196">
        <v>11.49231</v>
      </c>
      <c r="AY176" s="555">
        <v>10.107549000000001</v>
      </c>
      <c r="AZ176" s="555">
        <v>10.760793</v>
      </c>
      <c r="BA176" s="555">
        <v>10.661536999999999</v>
      </c>
      <c r="BB176" s="555">
        <v>11.991652</v>
      </c>
      <c r="BC176" s="555">
        <v>11.320459</v>
      </c>
      <c r="BD176" s="555">
        <v>11.016285</v>
      </c>
      <c r="BE176" s="555">
        <v>10.522715</v>
      </c>
      <c r="BF176" s="555">
        <v>12.995785</v>
      </c>
      <c r="BG176" s="555">
        <v>13.581498</v>
      </c>
      <c r="BH176" s="555">
        <v>13.506392</v>
      </c>
      <c r="BI176" s="566">
        <v>18.934376</v>
      </c>
      <c r="BJ176" s="555">
        <v>20.775099000000001</v>
      </c>
      <c r="BK176" s="555">
        <v>18.589645000000001</v>
      </c>
      <c r="BL176" s="555">
        <v>20.417168</v>
      </c>
      <c r="BN176" s="521"/>
    </row>
    <row r="177" spans="1:66">
      <c r="A177" s="77" t="s">
        <v>104</v>
      </c>
      <c r="B177" s="417"/>
      <c r="C177" s="417"/>
      <c r="D177" s="417"/>
      <c r="E177" s="417"/>
      <c r="F177" s="417"/>
      <c r="G177" s="417"/>
      <c r="H177" s="417"/>
      <c r="I177" s="417"/>
      <c r="J177" s="417">
        <f t="shared" ref="J177:Y177" si="351">SUM(J174:J176)</f>
        <v>2.2183417919220227</v>
      </c>
      <c r="K177" s="417">
        <f t="shared" si="351"/>
        <v>6.2179674057939325</v>
      </c>
      <c r="L177" s="417">
        <f t="shared" si="351"/>
        <v>9.0300906043240534</v>
      </c>
      <c r="M177" s="418">
        <f t="shared" si="351"/>
        <v>12.172846683442188</v>
      </c>
      <c r="N177" s="417">
        <f t="shared" si="351"/>
        <v>17.323044469027497</v>
      </c>
      <c r="O177" s="417">
        <f t="shared" si="351"/>
        <v>17.50631949592583</v>
      </c>
      <c r="P177" s="417">
        <f t="shared" si="351"/>
        <v>22.263719460767707</v>
      </c>
      <c r="Q177" s="417">
        <f t="shared" si="351"/>
        <v>22.935770766253135</v>
      </c>
      <c r="R177" s="417">
        <f t="shared" si="351"/>
        <v>24.418241117344543</v>
      </c>
      <c r="S177" s="417">
        <f t="shared" si="351"/>
        <v>23.061506547693185</v>
      </c>
      <c r="T177" s="417">
        <f t="shared" si="351"/>
        <v>22.523740623975041</v>
      </c>
      <c r="U177" s="417">
        <f t="shared" si="351"/>
        <v>21.693075819625946</v>
      </c>
      <c r="V177" s="417">
        <f t="shared" si="351"/>
        <v>25.824516860085375</v>
      </c>
      <c r="W177" s="417">
        <f t="shared" si="351"/>
        <v>29.153011319084811</v>
      </c>
      <c r="X177" s="417">
        <f t="shared" si="351"/>
        <v>29.547807160199881</v>
      </c>
      <c r="Y177" s="418">
        <f t="shared" si="351"/>
        <v>30.763765532791471</v>
      </c>
      <c r="Z177" s="417">
        <f t="shared" ref="Z177" si="352">SUM(Z174:Z176)</f>
        <v>36.428260999999999</v>
      </c>
      <c r="AA177" s="417">
        <f t="shared" ref="AA177" si="353">SUM(AA174:AA176)</f>
        <v>31.910487</v>
      </c>
      <c r="AB177" s="417">
        <f t="shared" ref="AB177" si="354">SUM(AB174:AB176)</f>
        <v>35.385094000000002</v>
      </c>
      <c r="AC177" s="417">
        <f t="shared" ref="AC177" si="355">SUM(AC174:AC176)</f>
        <v>32.945965999999999</v>
      </c>
      <c r="AD177" s="417">
        <f t="shared" ref="AD177" si="356">SUM(AD174:AD176)</f>
        <v>33.921692999999998</v>
      </c>
      <c r="AE177" s="417">
        <f t="shared" ref="AE177" si="357">SUM(AE174:AE176)</f>
        <v>29.194009000000001</v>
      </c>
      <c r="AF177" s="417">
        <f t="shared" ref="AF177" si="358">SUM(AF174:AF176)</f>
        <v>27.479068999999999</v>
      </c>
      <c r="AG177" s="417">
        <f t="shared" ref="AG177" si="359">SUM(AG174:AG176)</f>
        <v>26.379859</v>
      </c>
      <c r="AH177" s="417">
        <f t="shared" ref="AH177" si="360">SUM(AH174:AH176)</f>
        <v>29.452586</v>
      </c>
      <c r="AI177" s="417">
        <f t="shared" ref="AI177" si="361">SUM(AI174:AI176)</f>
        <v>31.646061</v>
      </c>
      <c r="AJ177" s="417">
        <f t="shared" ref="AJ177" si="362">SUM(AJ174:AJ176)</f>
        <v>30.230405999999999</v>
      </c>
      <c r="AK177" s="418">
        <f t="shared" ref="AK177" si="363">SUM(AK174:AK176)</f>
        <v>31.510586</v>
      </c>
      <c r="AL177" s="417">
        <f t="shared" ref="AL177" si="364">SUM(AL174:AL176)</f>
        <v>35.274630999999999</v>
      </c>
      <c r="AM177" s="417">
        <f t="shared" ref="AM177" si="365">SUM(AM174:AM176)</f>
        <v>30.003291000000001</v>
      </c>
      <c r="AN177" s="417">
        <f t="shared" ref="AN177" si="366">SUM(AN174:AN176)</f>
        <v>31.470037999999999</v>
      </c>
      <c r="AO177" s="417">
        <f t="shared" ref="AO177" si="367">SUM(AO174:AO176)</f>
        <v>27.418716</v>
      </c>
      <c r="AP177" s="417">
        <f t="shared" ref="AP177" si="368">SUM(AP174:AP176)</f>
        <v>27.653503000000001</v>
      </c>
      <c r="AQ177" s="417">
        <f t="shared" ref="AQ177" si="369">SUM(AQ174:AQ176)</f>
        <v>24.966937999999999</v>
      </c>
      <c r="AR177" s="417">
        <f t="shared" ref="AR177" si="370">SUM(AR174:AR176)</f>
        <v>27.391782999999997</v>
      </c>
      <c r="AS177" s="417">
        <f t="shared" ref="AS177" si="371">SUM(AS174:AS176)</f>
        <v>41.006135999999998</v>
      </c>
      <c r="AT177" s="417">
        <f t="shared" ref="AT177" si="372">SUM(AT174:AT176)</f>
        <v>44.539213000000004</v>
      </c>
      <c r="AU177" s="417">
        <f t="shared" ref="AU177:BA177" si="373">SUM(AU174:AU176)</f>
        <v>49.297747000000001</v>
      </c>
      <c r="AV177" s="417">
        <f t="shared" si="373"/>
        <v>46.838175</v>
      </c>
      <c r="AW177" s="418">
        <f t="shared" si="373"/>
        <v>47.669145</v>
      </c>
      <c r="AX177" s="417">
        <f t="shared" si="373"/>
        <v>52.543059999999997</v>
      </c>
      <c r="AY177" s="417">
        <f t="shared" si="373"/>
        <v>46.844600999999997</v>
      </c>
      <c r="AZ177" s="417">
        <f t="shared" si="373"/>
        <v>44.125121</v>
      </c>
      <c r="BA177" s="417">
        <f t="shared" si="373"/>
        <v>43.170866000000004</v>
      </c>
      <c r="BB177" s="417">
        <f t="shared" ref="BB177:BG177" si="374">SUM(BB174:BB176)</f>
        <v>42.487057</v>
      </c>
      <c r="BC177" s="417">
        <f t="shared" si="374"/>
        <v>37.966909000000001</v>
      </c>
      <c r="BD177" s="417">
        <f t="shared" si="374"/>
        <v>37.351739999999999</v>
      </c>
      <c r="BE177" s="417">
        <f t="shared" si="374"/>
        <v>33.895409000000001</v>
      </c>
      <c r="BF177" s="417">
        <f t="shared" si="374"/>
        <v>42.231735999999998</v>
      </c>
      <c r="BG177" s="417">
        <f t="shared" si="374"/>
        <v>41.266718999999995</v>
      </c>
      <c r="BH177" s="417">
        <f t="shared" ref="BH177:BL177" si="375">SUM(BH174:BH176)</f>
        <v>40.701340000000002</v>
      </c>
      <c r="BI177" s="418">
        <f t="shared" si="375"/>
        <v>44.935343000000003</v>
      </c>
      <c r="BJ177" s="417">
        <f t="shared" si="375"/>
        <v>47.648998000000006</v>
      </c>
      <c r="BK177" s="417">
        <f t="shared" si="375"/>
        <v>40.863371999999998</v>
      </c>
      <c r="BL177" s="417">
        <f t="shared" si="375"/>
        <v>43.139307000000002</v>
      </c>
      <c r="BN177" s="260"/>
    </row>
    <row r="178" spans="1:66">
      <c r="A178" s="76" t="s">
        <v>241</v>
      </c>
      <c r="B178" s="361"/>
      <c r="C178" s="361"/>
      <c r="D178" s="361"/>
      <c r="E178" s="361"/>
      <c r="F178" s="361"/>
      <c r="G178" s="361"/>
      <c r="H178" s="361"/>
      <c r="I178" s="361"/>
      <c r="J178" s="361"/>
      <c r="K178" s="361"/>
      <c r="L178" s="361"/>
      <c r="M178" s="424"/>
      <c r="N178" s="361"/>
      <c r="O178" s="361"/>
      <c r="P178" s="361"/>
      <c r="Q178" s="361"/>
      <c r="R178" s="361"/>
      <c r="S178" s="361"/>
      <c r="T178" s="361"/>
      <c r="U178" s="361"/>
      <c r="V178" s="361"/>
      <c r="W178" s="361"/>
      <c r="X178" s="361"/>
      <c r="Y178" s="424">
        <f>Z178*Y54/Z54</f>
        <v>2.3498587646205524E-2</v>
      </c>
      <c r="Z178" s="361">
        <v>1.91981</v>
      </c>
      <c r="AA178" s="361">
        <v>2.2353000000000001</v>
      </c>
      <c r="AB178" s="361">
        <v>3.1903239999999999</v>
      </c>
      <c r="AC178" s="361">
        <v>3.1724800000000002</v>
      </c>
      <c r="AD178" s="361">
        <v>3.6275840000000001</v>
      </c>
      <c r="AE178" s="361">
        <v>2.9994230000000002</v>
      </c>
      <c r="AF178" s="361">
        <v>3.2723840000000002</v>
      </c>
      <c r="AG178" s="361">
        <v>3.2461739999999999</v>
      </c>
      <c r="AH178" s="361">
        <v>4.5419099999999997</v>
      </c>
      <c r="AI178" s="361">
        <v>5.2191409999999996</v>
      </c>
      <c r="AJ178" s="361">
        <v>5.0760079999999999</v>
      </c>
      <c r="AK178" s="424">
        <v>5.7057029999999997</v>
      </c>
      <c r="AL178" s="361">
        <v>6.0008470000000003</v>
      </c>
      <c r="AM178" s="361">
        <v>5.362209</v>
      </c>
      <c r="AN178" s="361">
        <v>5.994103</v>
      </c>
      <c r="AO178" s="361">
        <v>5.1959910000000002</v>
      </c>
      <c r="AP178" s="361">
        <v>5.3270160000000004</v>
      </c>
      <c r="AQ178" s="361">
        <v>4.6027240000000003</v>
      </c>
      <c r="AR178" s="361">
        <v>3.636825</v>
      </c>
      <c r="AS178" s="361">
        <v>3.1845210000000002</v>
      </c>
      <c r="AT178" s="361">
        <v>3.3395220000000001</v>
      </c>
      <c r="AU178" s="361">
        <v>4.0149340000000002</v>
      </c>
      <c r="AV178" s="361">
        <v>3.876147</v>
      </c>
      <c r="AW178" s="424">
        <v>4.3995870000000004</v>
      </c>
      <c r="AX178" s="361">
        <v>4.7395269999999998</v>
      </c>
      <c r="AY178" s="556">
        <v>4.0748600000000001</v>
      </c>
      <c r="AZ178" s="556">
        <v>4.0998099999999997</v>
      </c>
      <c r="BA178" s="556">
        <v>3.8136999999999999</v>
      </c>
      <c r="BB178" s="556">
        <v>3.7258629999999999</v>
      </c>
      <c r="BC178" s="556">
        <v>3.0439940000000001</v>
      </c>
      <c r="BD178" s="556">
        <v>2.8123239999999998</v>
      </c>
      <c r="BE178" s="556">
        <v>2.78423</v>
      </c>
      <c r="BF178" s="556">
        <v>3.2328329999999998</v>
      </c>
      <c r="BG178" s="556">
        <v>3.4386779999999999</v>
      </c>
      <c r="BH178" s="556">
        <v>3.3519589999999999</v>
      </c>
      <c r="BI178" s="567">
        <v>3.697638</v>
      </c>
      <c r="BJ178" s="556">
        <v>3.4992070000000002</v>
      </c>
      <c r="BK178" s="556">
        <v>2.8792710000000001</v>
      </c>
      <c r="BL178" s="556">
        <v>3.0128499999999998</v>
      </c>
      <c r="BN178" s="260"/>
    </row>
    <row r="179" spans="1:66">
      <c r="A179" s="77" t="s">
        <v>301</v>
      </c>
      <c r="B179" s="417"/>
      <c r="C179" s="417"/>
      <c r="D179" s="417"/>
      <c r="E179" s="417"/>
      <c r="F179" s="417"/>
      <c r="G179" s="417"/>
      <c r="H179" s="417"/>
      <c r="I179" s="417"/>
      <c r="J179" s="417">
        <f t="shared" ref="J179:Y179" si="376">J177+J178</f>
        <v>2.2183417919220227</v>
      </c>
      <c r="K179" s="417">
        <f t="shared" si="376"/>
        <v>6.2179674057939325</v>
      </c>
      <c r="L179" s="417">
        <f t="shared" si="376"/>
        <v>9.0300906043240534</v>
      </c>
      <c r="M179" s="418">
        <f t="shared" si="376"/>
        <v>12.172846683442188</v>
      </c>
      <c r="N179" s="417">
        <f t="shared" si="376"/>
        <v>17.323044469027497</v>
      </c>
      <c r="O179" s="417">
        <f t="shared" si="376"/>
        <v>17.50631949592583</v>
      </c>
      <c r="P179" s="417">
        <f t="shared" si="376"/>
        <v>22.263719460767707</v>
      </c>
      <c r="Q179" s="417">
        <f t="shared" si="376"/>
        <v>22.935770766253135</v>
      </c>
      <c r="R179" s="417">
        <f t="shared" si="376"/>
        <v>24.418241117344543</v>
      </c>
      <c r="S179" s="417">
        <f t="shared" si="376"/>
        <v>23.061506547693185</v>
      </c>
      <c r="T179" s="417">
        <f t="shared" si="376"/>
        <v>22.523740623975041</v>
      </c>
      <c r="U179" s="417">
        <f t="shared" si="376"/>
        <v>21.693075819625946</v>
      </c>
      <c r="V179" s="417">
        <f t="shared" si="376"/>
        <v>25.824516860085375</v>
      </c>
      <c r="W179" s="417">
        <f t="shared" si="376"/>
        <v>29.153011319084811</v>
      </c>
      <c r="X179" s="417">
        <f t="shared" si="376"/>
        <v>29.547807160199881</v>
      </c>
      <c r="Y179" s="418">
        <f t="shared" si="376"/>
        <v>30.787264120437676</v>
      </c>
      <c r="Z179" s="417">
        <f t="shared" ref="Z179" si="377">Z177+Z178</f>
        <v>38.348070999999997</v>
      </c>
      <c r="AA179" s="417">
        <f t="shared" ref="AA179" si="378">AA177+AA178</f>
        <v>34.145786999999999</v>
      </c>
      <c r="AB179" s="417">
        <f t="shared" ref="AB179" si="379">AB177+AB178</f>
        <v>38.575417999999999</v>
      </c>
      <c r="AC179" s="417">
        <f t="shared" ref="AC179" si="380">AC177+AC178</f>
        <v>36.118445999999999</v>
      </c>
      <c r="AD179" s="417">
        <f t="shared" ref="AD179" si="381">AD177+AD178</f>
        <v>37.549276999999996</v>
      </c>
      <c r="AE179" s="417">
        <f t="shared" ref="AE179" si="382">AE177+AE178</f>
        <v>32.193432000000001</v>
      </c>
      <c r="AF179" s="417">
        <f t="shared" ref="AF179" si="383">AF177+AF178</f>
        <v>30.751452999999998</v>
      </c>
      <c r="AG179" s="417">
        <f t="shared" ref="AG179" si="384">AG177+AG178</f>
        <v>29.626033</v>
      </c>
      <c r="AH179" s="417">
        <f t="shared" ref="AH179" si="385">AH177+AH178</f>
        <v>33.994495999999998</v>
      </c>
      <c r="AI179" s="417">
        <f t="shared" ref="AI179" si="386">AI177+AI178</f>
        <v>36.865201999999996</v>
      </c>
      <c r="AJ179" s="417">
        <f t="shared" ref="AJ179" si="387">AJ177+AJ178</f>
        <v>35.306413999999997</v>
      </c>
      <c r="AK179" s="418">
        <f t="shared" ref="AK179" si="388">AK177+AK178</f>
        <v>37.216289000000003</v>
      </c>
      <c r="AL179" s="417">
        <f t="shared" ref="AL179" si="389">AL177+AL178</f>
        <v>41.275478</v>
      </c>
      <c r="AM179" s="417">
        <f t="shared" ref="AM179" si="390">AM177+AM178</f>
        <v>35.365499999999997</v>
      </c>
      <c r="AN179" s="417">
        <f t="shared" ref="AN179" si="391">AN177+AN178</f>
        <v>37.464140999999998</v>
      </c>
      <c r="AO179" s="417">
        <f t="shared" ref="AO179" si="392">AO177+AO178</f>
        <v>32.614707000000003</v>
      </c>
      <c r="AP179" s="417">
        <f t="shared" ref="AP179" si="393">AP177+AP178</f>
        <v>32.980519000000001</v>
      </c>
      <c r="AQ179" s="417">
        <f t="shared" ref="AQ179" si="394">AQ177+AQ178</f>
        <v>29.569662000000001</v>
      </c>
      <c r="AR179" s="417">
        <f t="shared" ref="AR179" si="395">AR177+AR178</f>
        <v>31.028607999999998</v>
      </c>
      <c r="AS179" s="417">
        <f t="shared" ref="AS179" si="396">AS177+AS178</f>
        <v>44.190657000000002</v>
      </c>
      <c r="AT179" s="417">
        <f t="shared" ref="AT179" si="397">AT177+AT178</f>
        <v>47.878735000000006</v>
      </c>
      <c r="AU179" s="417">
        <f t="shared" ref="AU179:AZ179" si="398">AU177+AU178</f>
        <v>53.312680999999998</v>
      </c>
      <c r="AV179" s="417">
        <f t="shared" si="398"/>
        <v>50.714322000000003</v>
      </c>
      <c r="AW179" s="418">
        <f t="shared" si="398"/>
        <v>52.068731999999997</v>
      </c>
      <c r="AX179" s="417">
        <f t="shared" si="398"/>
        <v>57.282586999999999</v>
      </c>
      <c r="AY179" s="417">
        <f t="shared" si="398"/>
        <v>50.919460999999998</v>
      </c>
      <c r="AZ179" s="417">
        <f t="shared" si="398"/>
        <v>48.224930999999998</v>
      </c>
      <c r="BA179" s="417">
        <f t="shared" ref="BA179:BG179" si="399">BA177+BA178</f>
        <v>46.984566000000001</v>
      </c>
      <c r="BB179" s="417">
        <f t="shared" si="399"/>
        <v>46.212919999999997</v>
      </c>
      <c r="BC179" s="417">
        <f t="shared" si="399"/>
        <v>41.010902999999999</v>
      </c>
      <c r="BD179" s="417">
        <f t="shared" si="399"/>
        <v>40.164063999999996</v>
      </c>
      <c r="BE179" s="417">
        <f t="shared" si="399"/>
        <v>36.679639000000002</v>
      </c>
      <c r="BF179" s="417">
        <f t="shared" si="399"/>
        <v>45.464568999999997</v>
      </c>
      <c r="BG179" s="417">
        <f t="shared" si="399"/>
        <v>44.705396999999998</v>
      </c>
      <c r="BH179" s="417">
        <f t="shared" ref="BH179:BL179" si="400">BH177+BH178</f>
        <v>44.053299000000003</v>
      </c>
      <c r="BI179" s="418">
        <f t="shared" si="400"/>
        <v>48.632981000000001</v>
      </c>
      <c r="BJ179" s="417">
        <f t="shared" si="400"/>
        <v>51.148205000000004</v>
      </c>
      <c r="BK179" s="417">
        <f t="shared" si="400"/>
        <v>43.742643000000001</v>
      </c>
      <c r="BL179" s="417">
        <f t="shared" si="400"/>
        <v>46.152157000000003</v>
      </c>
    </row>
    <row r="180" spans="1:66">
      <c r="A180" s="76"/>
      <c r="B180" s="196"/>
      <c r="C180" s="196"/>
      <c r="D180" s="196"/>
      <c r="E180" s="196"/>
      <c r="F180" s="196"/>
      <c r="G180" s="196"/>
      <c r="H180" s="196"/>
      <c r="I180" s="196"/>
      <c r="J180" s="196"/>
      <c r="K180" s="196"/>
      <c r="L180" s="196"/>
      <c r="M180" s="197"/>
      <c r="N180" s="196"/>
      <c r="O180" s="196"/>
      <c r="P180" s="196"/>
      <c r="Q180" s="196"/>
      <c r="R180" s="196"/>
      <c r="S180" s="196"/>
      <c r="T180" s="196"/>
      <c r="U180" s="196"/>
      <c r="V180" s="196"/>
      <c r="W180" s="196"/>
      <c r="X180" s="196"/>
      <c r="Y180" s="197"/>
      <c r="Z180" s="196"/>
      <c r="AA180" s="196"/>
      <c r="AB180" s="196"/>
      <c r="AC180" s="196"/>
      <c r="AD180" s="196"/>
      <c r="AE180" s="196"/>
      <c r="AF180" s="196"/>
      <c r="AG180" s="196"/>
      <c r="AH180" s="196"/>
      <c r="AI180" s="196"/>
      <c r="AJ180" s="196"/>
      <c r="AK180" s="197"/>
      <c r="AL180" s="196"/>
      <c r="AM180" s="196"/>
      <c r="AN180" s="196"/>
      <c r="AO180" s="196"/>
      <c r="AP180" s="196"/>
      <c r="AQ180" s="196"/>
      <c r="AR180" s="196"/>
      <c r="AS180" s="196"/>
      <c r="AT180" s="196"/>
      <c r="AU180" s="196"/>
      <c r="AV180" s="196"/>
      <c r="AW180" s="197"/>
      <c r="AX180" s="196"/>
      <c r="AY180" s="555"/>
      <c r="AZ180" s="555"/>
      <c r="BA180" s="555"/>
      <c r="BB180" s="555"/>
      <c r="BC180" s="555"/>
      <c r="BD180" s="555"/>
      <c r="BE180" s="555"/>
      <c r="BF180" s="555"/>
      <c r="BG180" s="555"/>
      <c r="BH180" s="555"/>
      <c r="BI180" s="566"/>
      <c r="BJ180" s="555"/>
      <c r="BK180" s="555"/>
      <c r="BL180" s="555"/>
    </row>
    <row r="181" spans="1:66">
      <c r="A181" s="76" t="s">
        <v>236</v>
      </c>
      <c r="B181" s="196">
        <f t="shared" ref="B181:X182" si="401">C181*B57/C57</f>
        <v>1.5030865643250886</v>
      </c>
      <c r="C181" s="196">
        <f t="shared" si="401"/>
        <v>1.509538950797088</v>
      </c>
      <c r="D181" s="196">
        <f t="shared" si="401"/>
        <v>1.7463254418096452</v>
      </c>
      <c r="E181" s="196">
        <f t="shared" si="401"/>
        <v>1.6813108147039457</v>
      </c>
      <c r="F181" s="196">
        <f t="shared" si="401"/>
        <v>1.6182009609566361</v>
      </c>
      <c r="G181" s="196">
        <f t="shared" si="401"/>
        <v>1.5070836597775763</v>
      </c>
      <c r="H181" s="196">
        <f t="shared" si="401"/>
        <v>1.226337401697122</v>
      </c>
      <c r="I181" s="196">
        <f t="shared" si="401"/>
        <v>1.1890776209305411</v>
      </c>
      <c r="J181" s="196">
        <f t="shared" si="401"/>
        <v>1.8677345538151919</v>
      </c>
      <c r="K181" s="196">
        <f t="shared" si="401"/>
        <v>2.244995639508903</v>
      </c>
      <c r="L181" s="196">
        <f t="shared" si="401"/>
        <v>2.1934525730090555</v>
      </c>
      <c r="M181" s="197">
        <f t="shared" si="401"/>
        <v>2.1602673920620834</v>
      </c>
      <c r="N181" s="196">
        <f t="shared" si="401"/>
        <v>2.3333970614845505</v>
      </c>
      <c r="O181" s="196">
        <f t="shared" si="401"/>
        <v>2.1113337378614063</v>
      </c>
      <c r="P181" s="196">
        <f t="shared" si="401"/>
        <v>2.2512947921558286</v>
      </c>
      <c r="Q181" s="196">
        <f t="shared" si="401"/>
        <v>2.0555513008072666</v>
      </c>
      <c r="R181" s="196">
        <f t="shared" si="401"/>
        <v>1.7157038213415998</v>
      </c>
      <c r="S181" s="196">
        <f t="shared" si="401"/>
        <v>1.3566249051928623</v>
      </c>
      <c r="T181" s="196">
        <f t="shared" si="401"/>
        <v>1.4009014935477351</v>
      </c>
      <c r="U181" s="196">
        <f t="shared" si="401"/>
        <v>1.5374668507803531</v>
      </c>
      <c r="V181" s="196">
        <f t="shared" si="401"/>
        <v>1.9116546812449424</v>
      </c>
      <c r="W181" s="196">
        <f t="shared" si="401"/>
        <v>2.0524682835777059</v>
      </c>
      <c r="X181" s="196">
        <f t="shared" si="401"/>
        <v>1.8493654271709008</v>
      </c>
      <c r="Y181" s="197">
        <f>Z181*Y57/Z57</f>
        <v>1.8387952514228045</v>
      </c>
      <c r="Z181" s="196">
        <v>2.0416439999999998</v>
      </c>
      <c r="AA181" s="196">
        <v>2.0323389999999999</v>
      </c>
      <c r="AB181" s="196">
        <v>1.6956869999999999</v>
      </c>
      <c r="AC181" s="196">
        <v>1.333324</v>
      </c>
      <c r="AD181" s="196">
        <v>1.5874109999999999</v>
      </c>
      <c r="AE181" s="196">
        <v>1.2920510000000001</v>
      </c>
      <c r="AF181" s="196">
        <v>1.0003329999999999</v>
      </c>
      <c r="AG181" s="196">
        <v>1.14164</v>
      </c>
      <c r="AH181" s="196">
        <v>1.355561</v>
      </c>
      <c r="AI181" s="196">
        <v>0.45643299999999998</v>
      </c>
      <c r="AJ181" s="196">
        <v>1.33846</v>
      </c>
      <c r="AK181" s="197">
        <v>1.558605</v>
      </c>
      <c r="AL181" s="196">
        <v>1.1317140000000001</v>
      </c>
      <c r="AM181" s="196">
        <v>1.346314</v>
      </c>
      <c r="AN181" s="196">
        <v>1.3212729999999999</v>
      </c>
      <c r="AO181" s="196">
        <v>1.1141369999999999</v>
      </c>
      <c r="AP181" s="196">
        <v>0.95406100000000005</v>
      </c>
      <c r="AQ181" s="196">
        <v>0.83425700000000003</v>
      </c>
      <c r="AR181" s="196">
        <v>0.73016800000000004</v>
      </c>
      <c r="AS181" s="196">
        <v>0.67679900000000004</v>
      </c>
      <c r="AT181" s="196">
        <v>0.65722999999999998</v>
      </c>
      <c r="AU181" s="196">
        <v>0.77856999999999998</v>
      </c>
      <c r="AV181" s="196">
        <v>0.78948799999999997</v>
      </c>
      <c r="AW181" s="197">
        <v>0.81999599999999995</v>
      </c>
      <c r="AX181" s="196">
        <v>0.741174</v>
      </c>
      <c r="AY181" s="555">
        <v>0.618591</v>
      </c>
      <c r="AZ181" s="555">
        <v>0.75438300000000003</v>
      </c>
      <c r="BA181" s="555">
        <v>0.65288000000000002</v>
      </c>
      <c r="BB181" s="555">
        <v>0.62637399999999999</v>
      </c>
      <c r="BC181" s="555">
        <v>0.55734600000000001</v>
      </c>
      <c r="BD181" s="555">
        <v>0.52924800000000005</v>
      </c>
      <c r="BE181" s="555">
        <v>0.53066500000000005</v>
      </c>
      <c r="BF181" s="555">
        <v>0.42561599999999999</v>
      </c>
      <c r="BG181" s="555">
        <v>0.55143200000000003</v>
      </c>
      <c r="BH181" s="555">
        <v>0.52625100000000002</v>
      </c>
      <c r="BI181" s="566">
        <v>0.56824399999999997</v>
      </c>
      <c r="BJ181" s="555">
        <v>0.51834499999999994</v>
      </c>
      <c r="BK181" s="555">
        <v>0.52886900000000003</v>
      </c>
      <c r="BL181" s="555">
        <v>0.55229799999999996</v>
      </c>
    </row>
    <row r="182" spans="1:66">
      <c r="A182" s="76" t="s">
        <v>268</v>
      </c>
      <c r="B182" s="196"/>
      <c r="C182" s="196"/>
      <c r="D182" s="196"/>
      <c r="E182" s="196"/>
      <c r="F182" s="196"/>
      <c r="G182" s="196"/>
      <c r="H182" s="196"/>
      <c r="I182" s="196"/>
      <c r="J182" s="196"/>
      <c r="K182" s="196"/>
      <c r="L182" s="196"/>
      <c r="M182" s="197"/>
      <c r="N182" s="196"/>
      <c r="O182" s="196"/>
      <c r="P182" s="196"/>
      <c r="Q182" s="196"/>
      <c r="R182" s="196"/>
      <c r="S182" s="196"/>
      <c r="T182" s="196">
        <f t="shared" si="401"/>
        <v>0.31094770632933882</v>
      </c>
      <c r="U182" s="196">
        <f t="shared" si="401"/>
        <v>0.79393822688154503</v>
      </c>
      <c r="V182" s="196">
        <f t="shared" si="401"/>
        <v>0.52420372680007699</v>
      </c>
      <c r="W182" s="196">
        <f t="shared" si="401"/>
        <v>0.75327605607234371</v>
      </c>
      <c r="X182" s="196">
        <f t="shared" si="401"/>
        <v>0.62680470638118224</v>
      </c>
      <c r="Y182" s="197">
        <f>Z182*Y58/Z58</f>
        <v>0.79970931880730534</v>
      </c>
      <c r="Z182" s="196">
        <v>1.0234099999999999</v>
      </c>
      <c r="AA182" s="196">
        <v>0.68372500000000003</v>
      </c>
      <c r="AB182" s="196">
        <v>0.655389</v>
      </c>
      <c r="AC182" s="196">
        <v>0.54957699999999998</v>
      </c>
      <c r="AD182" s="196">
        <v>1.154415</v>
      </c>
      <c r="AE182" s="196">
        <v>1.0702</v>
      </c>
      <c r="AF182" s="196">
        <v>-0.21720900000000001</v>
      </c>
      <c r="AG182" s="196">
        <v>0.70677299999999998</v>
      </c>
      <c r="AH182" s="196">
        <v>1.677737</v>
      </c>
      <c r="AI182" s="196">
        <v>0.71201099999999995</v>
      </c>
      <c r="AJ182" s="196">
        <v>1.3997569999999999</v>
      </c>
      <c r="AK182" s="197">
        <v>1.1533800000000001</v>
      </c>
      <c r="AL182" s="196">
        <v>1.0831489999999999</v>
      </c>
      <c r="AM182" s="196">
        <v>0.83841600000000005</v>
      </c>
      <c r="AN182" s="196">
        <v>0.94062100000000004</v>
      </c>
      <c r="AO182" s="196">
        <v>0.95946600000000004</v>
      </c>
      <c r="AP182" s="196">
        <v>0.58296700000000001</v>
      </c>
      <c r="AQ182" s="196">
        <v>-1.803898</v>
      </c>
      <c r="AR182" s="196">
        <v>0.74723300000000004</v>
      </c>
      <c r="AS182" s="196">
        <v>0.77384399999999998</v>
      </c>
      <c r="AT182" s="196">
        <v>0.77458099999999996</v>
      </c>
      <c r="AU182" s="196">
        <v>0.76202199999999998</v>
      </c>
      <c r="AV182" s="196">
        <v>0.83305899999999999</v>
      </c>
      <c r="AW182" s="197">
        <v>0.80064199999999996</v>
      </c>
      <c r="AX182" s="196">
        <v>0.55549000000000004</v>
      </c>
      <c r="AY182" s="555">
        <v>0.74681799999999998</v>
      </c>
      <c r="AZ182" s="555">
        <v>0.74489700000000003</v>
      </c>
      <c r="BA182" s="555">
        <v>0.72742399999999996</v>
      </c>
      <c r="BB182" s="555">
        <v>0.614514</v>
      </c>
      <c r="BC182" s="555">
        <v>0.56270299999999995</v>
      </c>
      <c r="BD182" s="555">
        <v>0.42979099999999998</v>
      </c>
      <c r="BE182" s="555">
        <v>0.48599199999999998</v>
      </c>
      <c r="BF182" s="555">
        <v>0.59823700000000002</v>
      </c>
      <c r="BG182" s="555">
        <v>0.168739</v>
      </c>
      <c r="BH182" s="555">
        <v>0.53385800000000005</v>
      </c>
      <c r="BI182" s="566">
        <v>0.37088100000000002</v>
      </c>
      <c r="BJ182" s="555">
        <v>0.48796200000000001</v>
      </c>
      <c r="BK182" s="555">
        <v>0.42356300000000002</v>
      </c>
      <c r="BL182" s="555">
        <v>0.43246099999999998</v>
      </c>
    </row>
    <row r="183" spans="1:66" ht="16" thickBot="1">
      <c r="A183" s="78" t="s">
        <v>237</v>
      </c>
      <c r="B183" s="540">
        <f t="shared" ref="B183" si="402">SUM(B179:B182)+B172</f>
        <v>14.603524255910255</v>
      </c>
      <c r="C183" s="419">
        <f t="shared" ref="C183" si="403">SUM(C179:C182)+C172</f>
        <v>16.751265579060153</v>
      </c>
      <c r="D183" s="419">
        <f t="shared" ref="D183" si="404">SUM(D179:D182)+D172</f>
        <v>19.9725714540279</v>
      </c>
      <c r="E183" s="419">
        <f t="shared" ref="E183" si="405">SUM(E179:E182)+E172</f>
        <v>16.944827071513743</v>
      </c>
      <c r="F183" s="419">
        <f t="shared" ref="F183" si="406">SUM(F179:F182)+F172</f>
        <v>15.336508677404613</v>
      </c>
      <c r="G183" s="419">
        <f t="shared" ref="G183" si="407">SUM(G179:G182)+G172</f>
        <v>15.185918595882445</v>
      </c>
      <c r="H183" s="419">
        <f t="shared" ref="H183" si="408">SUM(H179:H182)+H172</f>
        <v>8.7250238970324077</v>
      </c>
      <c r="I183" s="419">
        <f t="shared" ref="I183" si="409">SUM(I179:I182)+I172</f>
        <v>12.301665676775976</v>
      </c>
      <c r="J183" s="419">
        <f t="shared" ref="J183" si="410">SUM(J179:J182)+J172</f>
        <v>19.885333097211607</v>
      </c>
      <c r="K183" s="419">
        <f t="shared" ref="K183" si="411">SUM(K179:K182)+K172</f>
        <v>26.053902170824273</v>
      </c>
      <c r="L183" s="419">
        <f t="shared" ref="L183" si="412">SUM(L179:L182)+L172</f>
        <v>32.306241036071313</v>
      </c>
      <c r="M183" s="360">
        <f>SUM(M179:M182)+M172</f>
        <v>30.151266750704444</v>
      </c>
      <c r="N183" s="540">
        <f t="shared" ref="N183" si="413">SUM(N179:N182)+N172</f>
        <v>37.04564795655071</v>
      </c>
      <c r="O183" s="419">
        <f t="shared" ref="O183" si="414">SUM(O179:O182)+O172</f>
        <v>37.894797520564062</v>
      </c>
      <c r="P183" s="419">
        <f t="shared" ref="P183" si="415">SUM(P179:P182)+P172</f>
        <v>43.825770260572867</v>
      </c>
      <c r="Q183" s="419">
        <f t="shared" ref="Q183" si="416">SUM(Q179:Q182)+Q172</f>
        <v>44.442980653408412</v>
      </c>
      <c r="R183" s="419">
        <f t="shared" ref="R183" si="417">SUM(R179:R182)+R172</f>
        <v>46.007502907179699</v>
      </c>
      <c r="S183" s="419">
        <f t="shared" ref="S183" si="418">SUM(S179:S182)+S172</f>
        <v>35.914752345628628</v>
      </c>
      <c r="T183" s="419">
        <f t="shared" ref="T183" si="419">SUM(T179:T182)+T172</f>
        <v>33.062201503329845</v>
      </c>
      <c r="U183" s="419">
        <f t="shared" ref="U183" si="420">SUM(U179:U182)+U172</f>
        <v>37.574329214525626</v>
      </c>
      <c r="V183" s="419">
        <f t="shared" ref="V183" si="421">SUM(V179:V182)+V172</f>
        <v>48.381995768135198</v>
      </c>
      <c r="W183" s="419">
        <f t="shared" ref="W183" si="422">SUM(W179:W182)+W172</f>
        <v>51.856179564431017</v>
      </c>
      <c r="X183" s="419">
        <f t="shared" ref="X183" si="423">SUM(X179:X182)+X172</f>
        <v>51.224830517502916</v>
      </c>
      <c r="Y183" s="360">
        <f>SUM(Y179:Y182)+Y172</f>
        <v>50.084918974923141</v>
      </c>
      <c r="Z183" s="540">
        <f t="shared" ref="Z183" si="424">SUM(Z179:Z182)+Z172</f>
        <v>63.940885999999992</v>
      </c>
      <c r="AA183" s="419">
        <f t="shared" ref="AA183" si="425">SUM(AA179:AA182)+AA172</f>
        <v>58.355851999999999</v>
      </c>
      <c r="AB183" s="419">
        <f t="shared" ref="AB183" si="426">SUM(AB179:AB182)+AB172</f>
        <v>67.151670999999993</v>
      </c>
      <c r="AC183" s="419">
        <f t="shared" ref="AC183" si="427">SUM(AC179:AC182)+AC172</f>
        <v>60.650499999999994</v>
      </c>
      <c r="AD183" s="419">
        <f t="shared" ref="AD183" si="428">SUM(AD179:AD182)+AD172</f>
        <v>55.197844000000003</v>
      </c>
      <c r="AE183" s="419">
        <f t="shared" ref="AE183" si="429">SUM(AE179:AE182)+AE172</f>
        <v>61.383257999999998</v>
      </c>
      <c r="AF183" s="419">
        <f t="shared" ref="AF183" si="430">SUM(AF179:AF182)+AF172</f>
        <v>48.205201000000002</v>
      </c>
      <c r="AG183" s="419">
        <f t="shared" ref="AG183" si="431">SUM(AG179:AG182)+AG172</f>
        <v>49.813510999999991</v>
      </c>
      <c r="AH183" s="419">
        <f t="shared" ref="AH183" si="432">SUM(AH179:AH182)+AH172</f>
        <v>63.162063000000003</v>
      </c>
      <c r="AI183" s="419">
        <f t="shared" ref="AI183" si="433">SUM(AI179:AI182)+AI172</f>
        <v>45.884664999999991</v>
      </c>
      <c r="AJ183" s="419">
        <f t="shared" ref="AJ183" si="434">SUM(AJ179:AJ182)+AJ172</f>
        <v>65.235232999999994</v>
      </c>
      <c r="AK183" s="541">
        <f>SUM(AK179:AK182)+AK172</f>
        <v>50.781765</v>
      </c>
      <c r="AL183" s="540">
        <f t="shared" ref="AL183:AV183" si="435">SUM(AL179:AL182)+AL172</f>
        <v>64.653119000000004</v>
      </c>
      <c r="AM183" s="419">
        <f t="shared" si="435"/>
        <v>72.976122000000004</v>
      </c>
      <c r="AN183" s="419">
        <f t="shared" si="435"/>
        <v>63.438802999999993</v>
      </c>
      <c r="AO183" s="419">
        <f t="shared" si="435"/>
        <v>61.989166999999995</v>
      </c>
      <c r="AP183" s="419">
        <f t="shared" si="435"/>
        <v>45.116578000000004</v>
      </c>
      <c r="AQ183" s="419">
        <f t="shared" si="435"/>
        <v>40.104053</v>
      </c>
      <c r="AR183" s="419">
        <f t="shared" si="435"/>
        <v>40.683239</v>
      </c>
      <c r="AS183" s="419">
        <f t="shared" si="435"/>
        <v>55.095050000000001</v>
      </c>
      <c r="AT183" s="419">
        <f t="shared" si="435"/>
        <v>65.982801999999992</v>
      </c>
      <c r="AU183" s="419">
        <f t="shared" si="435"/>
        <v>80.381753000000003</v>
      </c>
      <c r="AV183" s="419">
        <f t="shared" si="435"/>
        <v>76.051473999999999</v>
      </c>
      <c r="AW183" s="541">
        <f>SUM(AW179:AW182)+AW172</f>
        <v>69.854794999999996</v>
      </c>
      <c r="AX183" s="540">
        <f>SUM(AX179:AX182)+AX172</f>
        <v>64.944558999999998</v>
      </c>
      <c r="AY183" s="419">
        <f t="shared" ref="AY183:AZ183" si="436">SUM(AY179:AY182)+AY172</f>
        <v>78.914900000000003</v>
      </c>
      <c r="AZ183" s="419">
        <f t="shared" si="436"/>
        <v>73.824416996699995</v>
      </c>
      <c r="BA183" s="419">
        <f t="shared" ref="BA183:BB183" si="437">SUM(BA179:BA182)+BA172</f>
        <v>67.733427994700008</v>
      </c>
      <c r="BB183" s="419">
        <f t="shared" si="437"/>
        <v>57.46917096</v>
      </c>
      <c r="BC183" s="419">
        <f t="shared" ref="BC183:BE183" si="438">SUM(BC179:BC182)+BC172</f>
        <v>51.985357</v>
      </c>
      <c r="BD183" s="419">
        <f t="shared" si="438"/>
        <v>52.343882000000001</v>
      </c>
      <c r="BE183" s="419">
        <f t="shared" si="438"/>
        <v>48.844067700000004</v>
      </c>
      <c r="BF183" s="419">
        <f t="shared" ref="BF183:BG183" si="439">SUM(BF179:BF182)+BF172</f>
        <v>47.273081999999995</v>
      </c>
      <c r="BG183" s="419">
        <f t="shared" si="439"/>
        <v>68.712043999999992</v>
      </c>
      <c r="BH183" s="419">
        <f t="shared" ref="BH183:BL183" si="440">SUM(BH179:BH182)+BH172</f>
        <v>71.352789999999999</v>
      </c>
      <c r="BI183" s="541">
        <f t="shared" si="440"/>
        <v>65.467559999999992</v>
      </c>
      <c r="BJ183" s="419">
        <f t="shared" si="440"/>
        <v>75.235036899999997</v>
      </c>
      <c r="BK183" s="419">
        <f t="shared" si="440"/>
        <v>70.681349000000012</v>
      </c>
      <c r="BL183" s="419">
        <f t="shared" si="440"/>
        <v>71.497480999999993</v>
      </c>
    </row>
    <row r="184" spans="1:66">
      <c r="A184" s="170" t="s">
        <v>183</v>
      </c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71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71"/>
      <c r="Z184" s="204">
        <f t="shared" ref="Z184" si="441">Z183/N183-1</f>
        <v>0.72600263531612619</v>
      </c>
      <c r="AA184" s="204">
        <f t="shared" ref="AA184" si="442">AA183/O183-1</f>
        <v>0.53994362862956335</v>
      </c>
      <c r="AB184" s="204">
        <f t="shared" ref="AB184" si="443">AB183/P183-1</f>
        <v>0.5322416605741187</v>
      </c>
      <c r="AC184" s="204">
        <f t="shared" ref="AC184" si="444">AC183/Q183-1</f>
        <v>0.36468119618229511</v>
      </c>
      <c r="AD184" s="204">
        <f t="shared" ref="AD184" si="445">AD183/R183-1</f>
        <v>0.1997574419842314</v>
      </c>
      <c r="AE184" s="204">
        <f t="shared" ref="AE184" si="446">AE183/S183-1</f>
        <v>0.70913772171594203</v>
      </c>
      <c r="AF184" s="204">
        <f t="shared" ref="AF184" si="447">AF183/T183-1</f>
        <v>0.4580154620116581</v>
      </c>
      <c r="AG184" s="204">
        <f t="shared" ref="AG184" si="448">AG183/U183-1</f>
        <v>0.32573254243865235</v>
      </c>
      <c r="AH184" s="204">
        <f t="shared" ref="AH184" si="449">AH183/V183-1</f>
        <v>0.30548692746567285</v>
      </c>
      <c r="AI184" s="204">
        <f t="shared" ref="AI184" si="450">AI183/W183-1</f>
        <v>-0.11515531253148825</v>
      </c>
      <c r="AJ184" s="204">
        <f t="shared" ref="AJ184" si="451">AJ183/X183-1</f>
        <v>0.27350803001114654</v>
      </c>
      <c r="AK184" s="542">
        <f t="shared" ref="AK184" si="452">AK183/Y183-1</f>
        <v>1.3913290454273586E-2</v>
      </c>
      <c r="AL184" s="543">
        <f t="shared" ref="AL184" si="453">AL183/Z183-1</f>
        <v>1.1138929166543132E-2</v>
      </c>
      <c r="AM184" s="204">
        <f t="shared" ref="AM184" si="454">AM183/AA183-1</f>
        <v>0.25053648432722753</v>
      </c>
      <c r="AN184" s="204">
        <f t="shared" ref="AN184" si="455">AN183/AB183-1</f>
        <v>-5.5290776010622267E-2</v>
      </c>
      <c r="AO184" s="204">
        <f t="shared" ref="AO184" si="456">AO183/AC183-1</f>
        <v>2.2071821337004582E-2</v>
      </c>
      <c r="AP184" s="204">
        <f t="shared" ref="AP184" si="457">AP183/AD183-1</f>
        <v>-0.18263876393433043</v>
      </c>
      <c r="AQ184" s="204">
        <f t="shared" ref="AQ184" si="458">AQ183/AE183-1</f>
        <v>-0.34666138118638146</v>
      </c>
      <c r="AR184" s="204">
        <f t="shared" ref="AR184" si="459">AR183/AF183-1</f>
        <v>-0.15604046542612693</v>
      </c>
      <c r="AS184" s="204">
        <f t="shared" ref="AS184" si="460">AS183/AG183-1</f>
        <v>0.10602623452902193</v>
      </c>
      <c r="AT184" s="204">
        <f t="shared" ref="AT184" si="461">AT183/AH183-1</f>
        <v>4.4658753467251122E-2</v>
      </c>
      <c r="AU184" s="204">
        <f t="shared" ref="AU184" si="462">AU183/AI183-1</f>
        <v>0.75182172518857926</v>
      </c>
      <c r="AV184" s="204">
        <f t="shared" ref="AV184" si="463">AV183/AJ183-1</f>
        <v>0.16580366931470913</v>
      </c>
      <c r="AW184" s="542">
        <f t="shared" ref="AW184:AX184" si="464">AW183/AK183-1</f>
        <v>0.37558816634278069</v>
      </c>
      <c r="AX184" s="543">
        <f t="shared" si="464"/>
        <v>4.5077484970212911E-3</v>
      </c>
      <c r="AY184" s="204">
        <f t="shared" ref="AY184" si="465">AY183/AM183-1</f>
        <v>8.1379742266929345E-2</v>
      </c>
      <c r="AZ184" s="204">
        <f t="shared" ref="AZ184:BC184" si="466">AZ183/AN183-1</f>
        <v>0.1637107496605823</v>
      </c>
      <c r="BA184" s="204">
        <f t="shared" si="466"/>
        <v>9.2665561947299802E-2</v>
      </c>
      <c r="BB184" s="204">
        <f t="shared" si="466"/>
        <v>0.27379277213799313</v>
      </c>
      <c r="BC184" s="204">
        <f t="shared" si="466"/>
        <v>0.29626192644419258</v>
      </c>
      <c r="BD184" s="204">
        <f t="shared" ref="BD184" si="467">BD183/AR183-1</f>
        <v>0.28662032047153385</v>
      </c>
      <c r="BE184" s="204">
        <f t="shared" ref="BE184" si="468">BE183/AS183-1</f>
        <v>-0.11345814732902493</v>
      </c>
      <c r="BF184" s="204">
        <f t="shared" ref="BF184" si="469">BF183/AT183-1</f>
        <v>-0.28355449348756057</v>
      </c>
      <c r="BG184" s="204">
        <f t="shared" ref="BG184" si="470">BG183/AU183-1</f>
        <v>-0.14517858300502617</v>
      </c>
      <c r="BH184" s="204">
        <f t="shared" ref="BH184" si="471">BH183/AV183-1</f>
        <v>-6.1782944535696993E-2</v>
      </c>
      <c r="BI184" s="542">
        <f t="shared" ref="BI184" si="472">BI183/AW183-1</f>
        <v>-6.2805065851241904E-2</v>
      </c>
      <c r="BJ184" s="204">
        <f t="shared" ref="BJ184" si="473">BJ183/AX183-1</f>
        <v>0.15845019287912931</v>
      </c>
      <c r="BK184" s="204">
        <f t="shared" ref="BK184" si="474">BK183/AY183-1</f>
        <v>-0.10433455532478642</v>
      </c>
      <c r="BL184" s="204">
        <f t="shared" ref="BL184" si="475">BL183/AZ183-1</f>
        <v>-3.1519869595502792E-2</v>
      </c>
    </row>
    <row r="185" spans="1:66">
      <c r="A185" s="429" t="s">
        <v>252</v>
      </c>
      <c r="B185" s="430"/>
      <c r="C185" s="430"/>
      <c r="D185" s="430"/>
      <c r="E185" s="430"/>
      <c r="F185" s="430"/>
      <c r="G185" s="430"/>
      <c r="H185" s="430"/>
      <c r="I185" s="430"/>
      <c r="J185" s="430"/>
      <c r="K185" s="430"/>
      <c r="L185" s="430"/>
      <c r="M185" s="431"/>
      <c r="N185" s="432"/>
      <c r="O185" s="432"/>
      <c r="P185" s="432"/>
      <c r="Q185" s="432"/>
      <c r="R185" s="432"/>
      <c r="S185" s="432"/>
      <c r="T185" s="432"/>
      <c r="U185" s="432"/>
      <c r="V185" s="432"/>
      <c r="W185" s="432"/>
      <c r="X185" s="432"/>
      <c r="Y185" s="433"/>
      <c r="Z185" s="432"/>
      <c r="AA185" s="432"/>
      <c r="AB185" s="432"/>
      <c r="AC185" s="432"/>
      <c r="AD185" s="432"/>
      <c r="AE185" s="432"/>
      <c r="AF185" s="432"/>
      <c r="AG185" s="432"/>
      <c r="AH185" s="432"/>
      <c r="AI185" s="432"/>
      <c r="AJ185" s="432"/>
      <c r="AK185" s="433"/>
      <c r="AL185" s="432"/>
      <c r="AM185" s="432"/>
      <c r="AN185" s="432"/>
      <c r="AO185" s="432"/>
      <c r="AP185" s="432"/>
      <c r="AQ185" s="432">
        <f>AQ183/AQ134</f>
        <v>2.8136084557478094E-2</v>
      </c>
      <c r="AR185" s="432">
        <f t="shared" ref="AR185:AU185" si="476">AR183/AR134</f>
        <v>2.6349683709422162E-2</v>
      </c>
      <c r="AS185" s="432">
        <f t="shared" si="476"/>
        <v>3.7630930134133836E-2</v>
      </c>
      <c r="AT185" s="432">
        <f t="shared" si="476"/>
        <v>4.3652722623743132E-2</v>
      </c>
      <c r="AU185" s="432">
        <f t="shared" si="476"/>
        <v>5.7914569296680526E-2</v>
      </c>
      <c r="AV185" s="432">
        <f t="shared" ref="AV185:AW185" si="477">AV183/AV134</f>
        <v>4.8850251792819578E-2</v>
      </c>
      <c r="AW185" s="433">
        <f t="shared" si="477"/>
        <v>4.5535653295338201E-2</v>
      </c>
      <c r="AX185" s="432">
        <f t="shared" ref="AX185:AZ185" si="478">AX183/AX134</f>
        <v>3.6595860988863575E-2</v>
      </c>
      <c r="AY185" s="432">
        <f t="shared" si="478"/>
        <v>5.4161203652058315E-2</v>
      </c>
      <c r="AZ185" s="432">
        <f t="shared" si="478"/>
        <v>4.6101242369475555E-2</v>
      </c>
      <c r="BA185" s="432">
        <f t="shared" ref="BA185:BB185" si="479">BA183/BA134</f>
        <v>4.7078880957012917E-2</v>
      </c>
      <c r="BB185" s="432">
        <f t="shared" si="479"/>
        <v>4.3080338050974512E-2</v>
      </c>
      <c r="BC185" s="432">
        <f t="shared" ref="BC185:BE185" si="480">BC183/BC134</f>
        <v>3.7884561266582524E-2</v>
      </c>
      <c r="BD185" s="432">
        <f t="shared" si="480"/>
        <v>4.503273854091705E-2</v>
      </c>
      <c r="BE185" s="432">
        <f t="shared" si="480"/>
        <v>4.0171274057339584E-2</v>
      </c>
      <c r="BF185" s="432">
        <f t="shared" ref="BF185:BG185" si="481">BF183/BF134</f>
        <v>3.5785830431491292E-2</v>
      </c>
      <c r="BG185" s="432">
        <f t="shared" si="481"/>
        <v>4.6870425648021824E-2</v>
      </c>
      <c r="BH185" s="432">
        <f t="shared" ref="BH185:BL185" si="482">BH183/BH134</f>
        <v>0.87993012289997896</v>
      </c>
      <c r="BI185" s="433">
        <f t="shared" si="482"/>
        <v>0.90376054412899531</v>
      </c>
      <c r="BJ185" s="432" t="e">
        <f t="shared" si="482"/>
        <v>#DIV/0!</v>
      </c>
      <c r="BK185" s="432" t="e">
        <f t="shared" si="482"/>
        <v>#DIV/0!</v>
      </c>
      <c r="BL185" s="432" t="e">
        <f t="shared" si="482"/>
        <v>#DIV/0!</v>
      </c>
    </row>
    <row r="186" spans="1:66" ht="16" thickBot="1">
      <c r="A186" s="5"/>
      <c r="D186" s="196"/>
      <c r="G186" s="196"/>
      <c r="J186" s="173"/>
      <c r="K186" s="173"/>
      <c r="L186" s="173"/>
      <c r="M186" s="205"/>
      <c r="N186" s="173"/>
      <c r="O186" s="173"/>
      <c r="P186" s="173"/>
      <c r="Q186" s="173"/>
      <c r="R186" s="173"/>
      <c r="S186" s="173"/>
      <c r="T186" s="173"/>
      <c r="U186" s="173"/>
      <c r="V186" s="173"/>
      <c r="W186" s="173"/>
      <c r="X186" s="173"/>
      <c r="Y186" s="205"/>
      <c r="Z186" s="173"/>
      <c r="AA186" s="173"/>
      <c r="AB186" s="173"/>
      <c r="AC186" s="173"/>
      <c r="AD186" s="173"/>
      <c r="AE186" s="173"/>
      <c r="AF186" s="173"/>
      <c r="AG186" s="173"/>
      <c r="AH186" s="173"/>
      <c r="AI186" s="173"/>
      <c r="AJ186" s="173"/>
      <c r="AK186" s="205"/>
      <c r="AL186" s="173"/>
      <c r="AM186" s="173"/>
      <c r="AN186" s="173"/>
      <c r="AO186" s="173"/>
      <c r="AP186" s="173"/>
      <c r="AQ186" s="173"/>
      <c r="AR186" s="173"/>
      <c r="AS186" s="173"/>
      <c r="AT186" s="173"/>
      <c r="AU186" s="173"/>
      <c r="AV186" s="173"/>
      <c r="AW186" s="551"/>
      <c r="AX186" s="173"/>
      <c r="AY186" s="173"/>
      <c r="AZ186" s="173"/>
      <c r="BA186" s="173"/>
      <c r="BB186" s="173"/>
      <c r="BC186" s="173"/>
      <c r="BD186" s="173"/>
      <c r="BE186" s="173"/>
      <c r="BF186" s="173"/>
      <c r="BG186" s="173"/>
      <c r="BH186" s="173"/>
      <c r="BI186" s="205"/>
      <c r="BJ186" s="173"/>
      <c r="BK186" s="173"/>
      <c r="BL186" s="173"/>
    </row>
    <row r="187" spans="1:66" ht="16" thickBot="1">
      <c r="A187" s="79" t="s">
        <v>153</v>
      </c>
      <c r="B187" s="206"/>
      <c r="C187" s="206"/>
      <c r="D187" s="206"/>
      <c r="E187" s="206"/>
      <c r="F187" s="206"/>
      <c r="G187" s="206"/>
      <c r="H187" s="206"/>
      <c r="I187" s="206"/>
      <c r="J187" s="206"/>
      <c r="K187" s="206"/>
      <c r="L187" s="206"/>
      <c r="M187" s="207"/>
      <c r="N187" s="206">
        <f t="shared" ref="N187:Y187" si="483">N171/N120</f>
        <v>0.14026417048467921</v>
      </c>
      <c r="O187" s="206">
        <f t="shared" si="483"/>
        <v>9.8974578501680371E-2</v>
      </c>
      <c r="P187" s="206">
        <f t="shared" si="483"/>
        <v>0.15008849481000061</v>
      </c>
      <c r="Q187" s="206">
        <f t="shared" si="483"/>
        <v>0.22702622149788013</v>
      </c>
      <c r="R187" s="206">
        <f t="shared" si="483"/>
        <v>0.29343366418405814</v>
      </c>
      <c r="S187" s="206">
        <f t="shared" si="483"/>
        <v>0.20236804802089869</v>
      </c>
      <c r="T187" s="206">
        <f t="shared" si="483"/>
        <v>0.21025368564414149</v>
      </c>
      <c r="U187" s="206">
        <f t="shared" si="483"/>
        <v>2.686137957865359</v>
      </c>
      <c r="V187" s="206">
        <f t="shared" si="483"/>
        <v>0.15686233924442225</v>
      </c>
      <c r="W187" s="206">
        <f t="shared" si="483"/>
        <v>0.14327876429074396</v>
      </c>
      <c r="X187" s="206">
        <f t="shared" si="483"/>
        <v>0.12737426712123007</v>
      </c>
      <c r="Y187" s="207">
        <f t="shared" si="483"/>
        <v>0.32262949761907173</v>
      </c>
      <c r="Z187" s="206">
        <f>Z171/Z120</f>
        <v>0.27303791754018164</v>
      </c>
      <c r="AA187" s="206">
        <f t="shared" ref="AA187:AU187" si="484">AA171/AA120</f>
        <v>0.27269124882175783</v>
      </c>
      <c r="AB187" s="206">
        <f t="shared" si="484"/>
        <v>0.26006009700410293</v>
      </c>
      <c r="AC187" s="206">
        <f t="shared" si="484"/>
        <v>0.24236775069846583</v>
      </c>
      <c r="AD187" s="206">
        <f t="shared" si="484"/>
        <v>0.2517866064506602</v>
      </c>
      <c r="AE187" s="206">
        <f t="shared" si="484"/>
        <v>0.3906706885570968</v>
      </c>
      <c r="AF187" s="206">
        <f t="shared" si="484"/>
        <v>0.219632094012325</v>
      </c>
      <c r="AG187" s="206">
        <f t="shared" si="484"/>
        <v>0.23951174607230002</v>
      </c>
      <c r="AH187" s="206">
        <f t="shared" si="484"/>
        <v>0.24638058934296916</v>
      </c>
      <c r="AI187" s="206">
        <f t="shared" si="484"/>
        <v>0.37868125139900233</v>
      </c>
      <c r="AJ187" s="206">
        <f t="shared" si="484"/>
        <v>0.24693259477306173</v>
      </c>
      <c r="AK187" s="207">
        <f t="shared" si="484"/>
        <v>0.2308456490999366</v>
      </c>
      <c r="AL187" s="206">
        <f t="shared" si="484"/>
        <v>0.25974485881517589</v>
      </c>
      <c r="AM187" s="206">
        <f t="shared" si="484"/>
        <v>0.25717230170917504</v>
      </c>
      <c r="AN187" s="206">
        <f t="shared" si="484"/>
        <v>0.70654768968932324</v>
      </c>
      <c r="AO187" s="206">
        <f t="shared" si="484"/>
        <v>0.23679236956277122</v>
      </c>
      <c r="AP187" s="206">
        <f t="shared" si="484"/>
        <v>0.26319231077140504</v>
      </c>
      <c r="AQ187" s="206">
        <f t="shared" si="484"/>
        <v>0.66927498713005884</v>
      </c>
      <c r="AR187" s="206">
        <f t="shared" si="484"/>
        <v>0.19946395562676142</v>
      </c>
      <c r="AS187" s="206">
        <f t="shared" si="484"/>
        <v>0.22708520460624473</v>
      </c>
      <c r="AT187" s="206">
        <f t="shared" si="484"/>
        <v>0.22222857142857141</v>
      </c>
      <c r="AU187" s="206">
        <f t="shared" si="484"/>
        <v>0.22342826069655319</v>
      </c>
      <c r="AV187" s="206">
        <f t="shared" ref="AV187:AW187" si="485">AV171/AV120</f>
        <v>0.23215593071167712</v>
      </c>
      <c r="AW187" s="207">
        <f t="shared" si="485"/>
        <v>0.15781936634895902</v>
      </c>
      <c r="AX187" s="206">
        <f t="shared" ref="AX187:AZ187" si="486">AX171/AX120</f>
        <v>5.0999278937914741E-2</v>
      </c>
      <c r="AY187" s="206">
        <f t="shared" si="486"/>
        <v>0.252858456516244</v>
      </c>
      <c r="AZ187" s="206">
        <f t="shared" si="486"/>
        <v>0.23991190448115082</v>
      </c>
      <c r="BA187" s="206">
        <f t="shared" ref="BA187:BB187" si="487">BA171/BA120</f>
        <v>0.21788135797847577</v>
      </c>
      <c r="BB187" s="206">
        <f t="shared" si="487"/>
        <v>0.22452328457142867</v>
      </c>
      <c r="BC187" s="206">
        <f t="shared" ref="BC187:BE187" si="488">BC171/BC120</f>
        <v>0.228203295119289</v>
      </c>
      <c r="BD187" s="206">
        <f t="shared" si="488"/>
        <v>0.21681632558139535</v>
      </c>
      <c r="BE187" s="206">
        <f t="shared" si="488"/>
        <v>0.23690053658536586</v>
      </c>
      <c r="BF187" s="206">
        <f t="shared" ref="BF187:BG187" si="489">BF171/BF120</f>
        <v>7.8023499999999996E-2</v>
      </c>
      <c r="BG187" s="206">
        <f t="shared" si="489"/>
        <v>0.24657865909090909</v>
      </c>
      <c r="BH187" s="206">
        <f t="shared" ref="BH187:BL187" si="490">BH171/BH120</f>
        <v>0.30513930060498201</v>
      </c>
      <c r="BI187" s="207">
        <f t="shared" si="490"/>
        <v>0.19850605378468977</v>
      </c>
      <c r="BJ187" s="206" t="e">
        <f t="shared" si="490"/>
        <v>#DIV/0!</v>
      </c>
      <c r="BK187" s="206" t="e">
        <f t="shared" si="490"/>
        <v>#DIV/0!</v>
      </c>
      <c r="BL187" s="206" t="e">
        <f t="shared" si="490"/>
        <v>#DIV/0!</v>
      </c>
    </row>
    <row r="190" spans="1:66">
      <c r="A190" s="98" t="s">
        <v>21</v>
      </c>
    </row>
    <row r="191" spans="1:66" ht="16" thickBot="1"/>
    <row r="192" spans="1:66">
      <c r="A192" s="100" t="s">
        <v>286</v>
      </c>
      <c r="B192" s="101">
        <v>39448</v>
      </c>
      <c r="C192" s="101">
        <v>39479</v>
      </c>
      <c r="D192" s="101">
        <v>39508</v>
      </c>
      <c r="E192" s="101">
        <v>39539</v>
      </c>
      <c r="F192" s="101">
        <v>39569</v>
      </c>
      <c r="G192" s="101">
        <v>39600</v>
      </c>
      <c r="H192" s="101">
        <v>39630</v>
      </c>
      <c r="I192" s="101">
        <v>39661</v>
      </c>
      <c r="J192" s="101">
        <v>39692</v>
      </c>
      <c r="K192" s="101">
        <v>39722</v>
      </c>
      <c r="L192" s="101">
        <v>39753</v>
      </c>
      <c r="M192" s="102">
        <v>39783</v>
      </c>
      <c r="N192" s="101">
        <v>39814</v>
      </c>
      <c r="O192" s="101">
        <v>39845</v>
      </c>
      <c r="P192" s="101">
        <v>39873</v>
      </c>
      <c r="Q192" s="101">
        <v>39904</v>
      </c>
      <c r="R192" s="101">
        <v>39934</v>
      </c>
      <c r="S192" s="101">
        <v>39965</v>
      </c>
      <c r="T192" s="101">
        <v>39995</v>
      </c>
      <c r="U192" s="101">
        <v>40026</v>
      </c>
      <c r="V192" s="101">
        <v>40057</v>
      </c>
      <c r="W192" s="101">
        <v>40087</v>
      </c>
      <c r="X192" s="101">
        <v>40118</v>
      </c>
      <c r="Y192" s="102">
        <v>40148</v>
      </c>
      <c r="Z192" s="101">
        <v>40179</v>
      </c>
      <c r="AA192" s="101">
        <v>40210</v>
      </c>
      <c r="AB192" s="101">
        <v>40238</v>
      </c>
      <c r="AC192" s="101">
        <v>40269</v>
      </c>
      <c r="AD192" s="101">
        <v>40299</v>
      </c>
      <c r="AE192" s="101">
        <v>40330</v>
      </c>
      <c r="AF192" s="101">
        <v>40360</v>
      </c>
      <c r="AG192" s="101">
        <v>40391</v>
      </c>
      <c r="AH192" s="101">
        <v>40422</v>
      </c>
      <c r="AI192" s="101">
        <v>40452</v>
      </c>
      <c r="AJ192" s="101">
        <v>40483</v>
      </c>
      <c r="AK192" s="102">
        <v>40513</v>
      </c>
      <c r="AL192" s="101">
        <v>40544</v>
      </c>
      <c r="AM192" s="101">
        <v>40575</v>
      </c>
      <c r="AN192" s="101">
        <v>40603</v>
      </c>
      <c r="AO192" s="101">
        <v>40634</v>
      </c>
      <c r="AP192" s="101">
        <v>40664</v>
      </c>
      <c r="AQ192" s="101">
        <v>40695</v>
      </c>
      <c r="AR192" s="101">
        <v>40725</v>
      </c>
      <c r="AS192" s="101">
        <v>40756</v>
      </c>
      <c r="AT192" s="101">
        <v>40787</v>
      </c>
      <c r="AU192" s="101">
        <v>40817</v>
      </c>
      <c r="AV192" s="101">
        <v>40848</v>
      </c>
      <c r="AW192" s="102">
        <v>40878</v>
      </c>
      <c r="AX192" s="101">
        <v>40909</v>
      </c>
      <c r="AY192" s="101">
        <v>40940</v>
      </c>
      <c r="AZ192" s="101">
        <v>40969</v>
      </c>
      <c r="BA192" s="101">
        <v>41000</v>
      </c>
      <c r="BB192" s="101">
        <v>41030</v>
      </c>
      <c r="BC192" s="101">
        <v>41061</v>
      </c>
      <c r="BD192" s="101">
        <v>41091</v>
      </c>
      <c r="BE192" s="101">
        <v>41122</v>
      </c>
      <c r="BF192" s="101">
        <v>41153</v>
      </c>
      <c r="BG192" s="101">
        <v>41183</v>
      </c>
      <c r="BH192" s="101">
        <v>41214</v>
      </c>
      <c r="BI192" s="102">
        <v>41244</v>
      </c>
      <c r="BJ192" s="101">
        <v>41275</v>
      </c>
      <c r="BK192" s="101">
        <v>41306</v>
      </c>
      <c r="BL192" s="101">
        <v>41334</v>
      </c>
    </row>
    <row r="193" spans="1:64">
      <c r="A193" s="75" t="s">
        <v>22</v>
      </c>
      <c r="M193" s="115"/>
      <c r="Y193" s="115"/>
      <c r="AK193" s="115"/>
      <c r="AW193" s="115"/>
      <c r="BI193" s="115"/>
    </row>
    <row r="194" spans="1:64">
      <c r="A194" s="76" t="s">
        <v>140</v>
      </c>
      <c r="B194" s="196"/>
      <c r="C194" s="196"/>
      <c r="D194" s="196"/>
      <c r="E194" s="196"/>
      <c r="F194" s="196"/>
      <c r="G194" s="196"/>
      <c r="H194" s="196"/>
      <c r="I194" s="196"/>
      <c r="J194" s="196"/>
      <c r="K194" s="196"/>
      <c r="L194" s="196"/>
      <c r="M194" s="197"/>
      <c r="N194" s="196"/>
      <c r="O194" s="196"/>
      <c r="P194" s="196"/>
      <c r="Q194" s="196"/>
      <c r="R194" s="196"/>
      <c r="S194" s="196"/>
      <c r="T194" s="196"/>
      <c r="U194" s="196"/>
      <c r="V194" s="196"/>
      <c r="W194" s="196"/>
      <c r="X194" s="196"/>
      <c r="Y194" s="197"/>
      <c r="Z194" s="173">
        <f>Z167/Z43</f>
        <v>0.24126525626966935</v>
      </c>
      <c r="AA194" s="173">
        <f t="shared" ref="AA194:AU206" si="491">AA167/AA43</f>
        <v>0.24187052073250051</v>
      </c>
      <c r="AB194" s="173">
        <f t="shared" si="491"/>
        <v>0.25510580182462184</v>
      </c>
      <c r="AC194" s="173">
        <f t="shared" si="491"/>
        <v>0.24219537812973452</v>
      </c>
      <c r="AD194" s="173">
        <f t="shared" si="491"/>
        <v>0.25819580558251154</v>
      </c>
      <c r="AE194" s="173">
        <f t="shared" si="491"/>
        <v>0.25002427984735554</v>
      </c>
      <c r="AF194" s="173">
        <f t="shared" si="491"/>
        <v>0.26102885716680169</v>
      </c>
      <c r="AG194" s="173">
        <f t="shared" si="491"/>
        <v>0.24812020841086718</v>
      </c>
      <c r="AH194" s="173">
        <f t="shared" si="491"/>
        <v>0.23982037462726999</v>
      </c>
      <c r="AI194" s="173">
        <f t="shared" si="491"/>
        <v>0.24399488869249414</v>
      </c>
      <c r="AJ194" s="173">
        <f t="shared" si="491"/>
        <v>0.24492910679828714</v>
      </c>
      <c r="AK194" s="205">
        <f t="shared" si="491"/>
        <v>0.22555285130228259</v>
      </c>
      <c r="AL194" s="173">
        <f t="shared" si="491"/>
        <v>0.23914435002998205</v>
      </c>
      <c r="AM194" s="173">
        <f t="shared" si="491"/>
        <v>0.23792290290884999</v>
      </c>
      <c r="AN194" s="173">
        <f t="shared" si="491"/>
        <v>0.23832302950481804</v>
      </c>
      <c r="AO194" s="173">
        <f t="shared" si="491"/>
        <v>0.22698954354416528</v>
      </c>
      <c r="AP194" s="173">
        <f t="shared" si="491"/>
        <v>0.23637430341613927</v>
      </c>
      <c r="AQ194" s="173">
        <f t="shared" si="491"/>
        <v>0.23372001393221134</v>
      </c>
      <c r="AR194" s="173">
        <f t="shared" si="491"/>
        <v>0.24751316914086888</v>
      </c>
      <c r="AS194" s="173">
        <f t="shared" si="491"/>
        <v>0.2506663107840732</v>
      </c>
      <c r="AT194" s="173">
        <f t="shared" si="491"/>
        <v>0.23344757939846769</v>
      </c>
      <c r="AU194" s="173">
        <f t="shared" si="491"/>
        <v>0.23097654398083833</v>
      </c>
      <c r="AV194" s="173">
        <f t="shared" ref="AV194:AW194" si="492">AV167/AV43</f>
        <v>0.25156254038682258</v>
      </c>
      <c r="AW194" s="205">
        <f t="shared" si="492"/>
        <v>0.25201483586422729</v>
      </c>
      <c r="AX194" s="173">
        <f t="shared" ref="AX194:AZ194" si="493">AX167/AX43</f>
        <v>0.26609295886644407</v>
      </c>
      <c r="AY194" s="173">
        <f t="shared" si="493"/>
        <v>0.24883237607512582</v>
      </c>
      <c r="AZ194" s="173">
        <f t="shared" si="493"/>
        <v>0.2273623349252259</v>
      </c>
      <c r="BA194" s="173">
        <f t="shared" ref="BA194:BB194" si="494">BA167/BA43</f>
        <v>0.23966246664510341</v>
      </c>
      <c r="BB194" s="173">
        <f t="shared" si="494"/>
        <v>0.19101403434067199</v>
      </c>
      <c r="BC194" s="173">
        <f t="shared" ref="BC194:BD194" si="495">BC167/BC43</f>
        <v>0.17717045326201747</v>
      </c>
      <c r="BD194" s="173">
        <f t="shared" si="495"/>
        <v>0.2134328880014687</v>
      </c>
      <c r="BE194" s="173">
        <f t="shared" ref="BE194:BG194" si="496">BE167/BE43</f>
        <v>0.1765095233876928</v>
      </c>
      <c r="BF194" s="173">
        <f t="shared" si="496"/>
        <v>0.20578493003692444</v>
      </c>
      <c r="BG194" s="173">
        <f t="shared" si="496"/>
        <v>0.20578493003692447</v>
      </c>
      <c r="BH194" s="173">
        <f t="shared" ref="BH194:BL194" si="497">BH167/BH43</f>
        <v>0.20578493003692444</v>
      </c>
      <c r="BI194" s="205">
        <f t="shared" si="497"/>
        <v>0.20578493003692444</v>
      </c>
      <c r="BJ194" s="173">
        <f t="shared" si="497"/>
        <v>0.20578493003692447</v>
      </c>
      <c r="BK194" s="173">
        <f t="shared" si="497"/>
        <v>0.20578493003692444</v>
      </c>
      <c r="BL194" s="173">
        <f t="shared" si="497"/>
        <v>0.20578493003692444</v>
      </c>
    </row>
    <row r="195" spans="1:64">
      <c r="A195" s="76" t="s">
        <v>78</v>
      </c>
      <c r="B195" s="196"/>
      <c r="C195" s="196"/>
      <c r="D195" s="196"/>
      <c r="E195" s="196"/>
      <c r="F195" s="196"/>
      <c r="G195" s="196"/>
      <c r="H195" s="196"/>
      <c r="I195" s="196"/>
      <c r="J195" s="196"/>
      <c r="K195" s="196"/>
      <c r="L195" s="196"/>
      <c r="M195" s="197"/>
      <c r="N195" s="196"/>
      <c r="O195" s="196"/>
      <c r="P195" s="196"/>
      <c r="Q195" s="196"/>
      <c r="R195" s="196"/>
      <c r="S195" s="196"/>
      <c r="T195" s="196"/>
      <c r="U195" s="196"/>
      <c r="V195" s="196"/>
      <c r="W195" s="196"/>
      <c r="X195" s="196"/>
      <c r="Y195" s="197"/>
      <c r="Z195" s="173">
        <f t="shared" ref="Z195:AO210" si="498">Z168/Z44</f>
        <v>0.36024227640912432</v>
      </c>
      <c r="AA195" s="173">
        <f t="shared" si="498"/>
        <v>0.40474001089184652</v>
      </c>
      <c r="AB195" s="173">
        <f t="shared" si="498"/>
        <v>0.31044318055884734</v>
      </c>
      <c r="AC195" s="173">
        <f t="shared" si="498"/>
        <v>0.38820814453202196</v>
      </c>
      <c r="AD195" s="173">
        <f t="shared" si="498"/>
        <v>0.3451949595328348</v>
      </c>
      <c r="AE195" s="173">
        <f t="shared" si="498"/>
        <v>0.32600481769189077</v>
      </c>
      <c r="AF195" s="173">
        <f t="shared" si="498"/>
        <v>0.35044798867588473</v>
      </c>
      <c r="AG195" s="173">
        <f t="shared" si="498"/>
        <v>0.3526308073203156</v>
      </c>
      <c r="AH195" s="173">
        <f t="shared" si="498"/>
        <v>0.34582916788266777</v>
      </c>
      <c r="AI195" s="173">
        <f t="shared" si="498"/>
        <v>0.33204822116221328</v>
      </c>
      <c r="AJ195" s="173">
        <f t="shared" si="498"/>
        <v>0.35593233240669975</v>
      </c>
      <c r="AK195" s="205">
        <f t="shared" si="498"/>
        <v>0.3562199192850084</v>
      </c>
      <c r="AL195" s="173">
        <f t="shared" si="498"/>
        <v>0.34587803449079751</v>
      </c>
      <c r="AM195" s="173">
        <f t="shared" si="498"/>
        <v>0.35606738985826131</v>
      </c>
      <c r="AN195" s="173">
        <f t="shared" si="498"/>
        <v>0.38094307125343668</v>
      </c>
      <c r="AO195" s="173">
        <f t="shared" si="498"/>
        <v>0.35349339292164755</v>
      </c>
      <c r="AP195" s="173">
        <f t="shared" si="491"/>
        <v>0.38452502701951419</v>
      </c>
      <c r="AQ195" s="173">
        <f t="shared" si="491"/>
        <v>0.35429145398147732</v>
      </c>
      <c r="AR195" s="173">
        <f t="shared" si="491"/>
        <v>0.37121125217669881</v>
      </c>
      <c r="AS195" s="173">
        <f t="shared" si="491"/>
        <v>0.40178222804536268</v>
      </c>
      <c r="AT195" s="173">
        <f t="shared" si="491"/>
        <v>0.35575885062884005</v>
      </c>
      <c r="AU195" s="173">
        <f t="shared" si="491"/>
        <v>0.36137299298224246</v>
      </c>
      <c r="AV195" s="173">
        <f t="shared" ref="AV195:AW195" si="499">AV168/AV44</f>
        <v>0.36758812602726054</v>
      </c>
      <c r="AW195" s="205">
        <f t="shared" si="499"/>
        <v>0.35362254249444375</v>
      </c>
      <c r="AX195" s="173">
        <f t="shared" ref="AX195:AZ195" si="500">AX168/AX44</f>
        <v>0.37159306352143234</v>
      </c>
      <c r="AY195" s="173">
        <f t="shared" si="500"/>
        <v>0.3118483441800099</v>
      </c>
      <c r="AZ195" s="173">
        <f t="shared" si="500"/>
        <v>0.29081242437891353</v>
      </c>
      <c r="BA195" s="173">
        <f t="shared" ref="BA195:BB195" si="501">BA168/BA44</f>
        <v>0.31527958106838189</v>
      </c>
      <c r="BB195" s="173">
        <f t="shared" si="501"/>
        <v>0.32992445709993889</v>
      </c>
      <c r="BC195" s="173">
        <f t="shared" ref="BC195:BD195" si="502">BC168/BC44</f>
        <v>0.36170072450767587</v>
      </c>
      <c r="BD195" s="173">
        <f t="shared" si="502"/>
        <v>0.32719224049823531</v>
      </c>
      <c r="BE195" s="173">
        <f t="shared" ref="BE195:BG195" si="503">BE168/BE44</f>
        <v>0.49988911042405937</v>
      </c>
      <c r="BF195" s="173">
        <f t="shared" si="503"/>
        <v>0.34638250269149529</v>
      </c>
      <c r="BG195" s="173">
        <f t="shared" si="503"/>
        <v>0.34638250269149529</v>
      </c>
      <c r="BH195" s="173">
        <f t="shared" ref="BH195:BL195" si="504">BH168/BH44</f>
        <v>0.34638250269149529</v>
      </c>
      <c r="BI195" s="205">
        <f t="shared" si="504"/>
        <v>0.34638250269149529</v>
      </c>
      <c r="BJ195" s="173">
        <f t="shared" si="504"/>
        <v>0.34638250269149529</v>
      </c>
      <c r="BK195" s="173">
        <f t="shared" si="504"/>
        <v>0.34638250269149529</v>
      </c>
      <c r="BL195" s="173">
        <f t="shared" si="504"/>
        <v>0.34638250269149529</v>
      </c>
    </row>
    <row r="196" spans="1:64">
      <c r="A196" s="76" t="s">
        <v>190</v>
      </c>
      <c r="B196" s="196"/>
      <c r="C196" s="196"/>
      <c r="D196" s="196"/>
      <c r="E196" s="196"/>
      <c r="F196" s="196"/>
      <c r="G196" s="196"/>
      <c r="H196" s="196"/>
      <c r="I196" s="196"/>
      <c r="J196" s="196"/>
      <c r="K196" s="196"/>
      <c r="L196" s="196"/>
      <c r="M196" s="197"/>
      <c r="N196" s="196"/>
      <c r="O196" s="196"/>
      <c r="P196" s="196"/>
      <c r="Q196" s="196"/>
      <c r="R196" s="196"/>
      <c r="S196" s="196"/>
      <c r="T196" s="196"/>
      <c r="U196" s="196"/>
      <c r="V196" s="196"/>
      <c r="W196" s="196"/>
      <c r="X196" s="196"/>
      <c r="Y196" s="197"/>
      <c r="Z196" s="173">
        <f t="shared" si="498"/>
        <v>0.76012613679703078</v>
      </c>
      <c r="AA196" s="173">
        <f t="shared" si="491"/>
        <v>0.43838945898608206</v>
      </c>
      <c r="AB196" s="173">
        <f t="shared" si="491"/>
        <v>0.67572095981214686</v>
      </c>
      <c r="AC196" s="173">
        <f t="shared" si="491"/>
        <v>0.55347670276923511</v>
      </c>
      <c r="AD196" s="173">
        <f t="shared" si="491"/>
        <v>0.53432172687533341</v>
      </c>
      <c r="AE196" s="173">
        <f t="shared" si="491"/>
        <v>0.62987768700652635</v>
      </c>
      <c r="AF196" s="173">
        <f t="shared" si="491"/>
        <v>0.51139663637313282</v>
      </c>
      <c r="AG196" s="173">
        <f t="shared" si="491"/>
        <v>0.51923157585671742</v>
      </c>
      <c r="AH196" s="173">
        <f t="shared" si="491"/>
        <v>0.54599767722338866</v>
      </c>
      <c r="AI196" s="173">
        <f t="shared" si="491"/>
        <v>0.3395507672450882</v>
      </c>
      <c r="AJ196" s="173">
        <f t="shared" si="491"/>
        <v>0.49043955755923674</v>
      </c>
      <c r="AK196" s="205">
        <f t="shared" si="491"/>
        <v>0.594319231198563</v>
      </c>
      <c r="AL196" s="173">
        <f t="shared" si="491"/>
        <v>0.81501553301409124</v>
      </c>
      <c r="AM196" s="173">
        <f t="shared" si="491"/>
        <v>0.67808334677478488</v>
      </c>
      <c r="AN196" s="173">
        <f t="shared" si="491"/>
        <v>0.38036781573919914</v>
      </c>
      <c r="AO196" s="173">
        <f t="shared" si="491"/>
        <v>0.74331765800683924</v>
      </c>
      <c r="AP196" s="173">
        <f t="shared" si="491"/>
        <v>4.4005367863030624</v>
      </c>
      <c r="AQ196" s="173">
        <f t="shared" si="491"/>
        <v>0.58487930914084874</v>
      </c>
      <c r="AR196" s="173">
        <f t="shared" si="491"/>
        <v>-2.5855592333153719</v>
      </c>
      <c r="AS196" s="173">
        <f t="shared" si="491"/>
        <v>0.64185208730663268</v>
      </c>
      <c r="AT196" s="173">
        <f t="shared" si="491"/>
        <v>0.72935866200581434</v>
      </c>
      <c r="AU196" s="173">
        <f t="shared" si="491"/>
        <v>0.45379032596383773</v>
      </c>
      <c r="AV196" s="173">
        <f t="shared" ref="AV196:AW196" si="505">AV169/AV45</f>
        <v>-0.50674083048793916</v>
      </c>
      <c r="AW196" s="205">
        <f t="shared" si="505"/>
        <v>0.57856536225256416</v>
      </c>
      <c r="AX196" s="173">
        <f t="shared" ref="AX196:AZ196" si="506">AX169/AX45</f>
        <v>0.53425806226197547</v>
      </c>
      <c r="AY196" s="173">
        <f t="shared" si="506"/>
        <v>0.64646071167360952</v>
      </c>
      <c r="AZ196" s="173">
        <f t="shared" si="506"/>
        <v>0.64134176425553635</v>
      </c>
      <c r="BA196" s="173">
        <f t="shared" ref="BA196:BB196" si="507">BA169/BA45</f>
        <v>0.48075623261496864</v>
      </c>
      <c r="BB196" s="173">
        <f t="shared" si="507"/>
        <v>0.38445606410430533</v>
      </c>
      <c r="BC196" s="173">
        <f t="shared" ref="BC196:BD196" si="508">BC169/BC45</f>
        <v>0.60063616483485283</v>
      </c>
      <c r="BD196" s="173">
        <f t="shared" si="508"/>
        <v>0.73894224266197761</v>
      </c>
      <c r="BE196" s="173">
        <f t="shared" ref="BE196:BG196" si="509">BE169/BE45</f>
        <v>0.48311453663891685</v>
      </c>
      <c r="BF196" s="173">
        <f t="shared" si="509"/>
        <v>0.54814472283936844</v>
      </c>
      <c r="BG196" s="173">
        <f t="shared" si="509"/>
        <v>0.54814472283936844</v>
      </c>
      <c r="BH196" s="173">
        <f t="shared" ref="BH196:BL196" si="510">BH169/BH45</f>
        <v>0.54814472283936844</v>
      </c>
      <c r="BI196" s="205">
        <f t="shared" si="510"/>
        <v>0.54814472283936844</v>
      </c>
      <c r="BJ196" s="173">
        <f t="shared" si="510"/>
        <v>0.54814472283936855</v>
      </c>
      <c r="BK196" s="173">
        <f t="shared" si="510"/>
        <v>-0.27008749523826631</v>
      </c>
      <c r="BL196" s="173">
        <f t="shared" si="510"/>
        <v>0.54814472283936855</v>
      </c>
    </row>
    <row r="197" spans="1:64">
      <c r="A197" s="77" t="s">
        <v>191</v>
      </c>
      <c r="B197" s="202"/>
      <c r="C197" s="202"/>
      <c r="D197" s="202"/>
      <c r="E197" s="202"/>
      <c r="F197" s="202"/>
      <c r="G197" s="202"/>
      <c r="H197" s="202"/>
      <c r="I197" s="202"/>
      <c r="J197" s="202"/>
      <c r="K197" s="202"/>
      <c r="L197" s="202"/>
      <c r="M197" s="294"/>
      <c r="N197" s="202"/>
      <c r="O197" s="202"/>
      <c r="P197" s="202"/>
      <c r="Q197" s="202"/>
      <c r="R197" s="202"/>
      <c r="S197" s="202"/>
      <c r="T197" s="202"/>
      <c r="U197" s="202"/>
      <c r="V197" s="202"/>
      <c r="W197" s="202"/>
      <c r="X197" s="202"/>
      <c r="Y197" s="294"/>
      <c r="Z197" s="425">
        <f t="shared" si="498"/>
        <v>0.28892741600370597</v>
      </c>
      <c r="AA197" s="425">
        <f t="shared" si="491"/>
        <v>0.28931902943776294</v>
      </c>
      <c r="AB197" s="425">
        <f t="shared" si="491"/>
        <v>0.28399405235490088</v>
      </c>
      <c r="AC197" s="425">
        <f t="shared" si="491"/>
        <v>0.28976764429351076</v>
      </c>
      <c r="AD197" s="425">
        <f t="shared" si="491"/>
        <v>0.2891611459540494</v>
      </c>
      <c r="AE197" s="425">
        <f t="shared" si="491"/>
        <v>0.27354824580465742</v>
      </c>
      <c r="AF197" s="425">
        <f t="shared" si="491"/>
        <v>0.28552677831750811</v>
      </c>
      <c r="AG197" s="425">
        <f t="shared" si="491"/>
        <v>0.27770304482110225</v>
      </c>
      <c r="AH197" s="425">
        <f t="shared" si="491"/>
        <v>0.28176868064838956</v>
      </c>
      <c r="AI197" s="425">
        <f t="shared" si="491"/>
        <v>0.27369534706514043</v>
      </c>
      <c r="AJ197" s="425">
        <f t="shared" si="491"/>
        <v>0.28997030322167655</v>
      </c>
      <c r="AK197" s="426">
        <f t="shared" si="491"/>
        <v>0.27495030933626197</v>
      </c>
      <c r="AL197" s="425">
        <f t="shared" si="491"/>
        <v>0.28887375796370723</v>
      </c>
      <c r="AM197" s="425">
        <f t="shared" si="491"/>
        <v>0.29183184765234471</v>
      </c>
      <c r="AN197" s="425">
        <f t="shared" si="491"/>
        <v>0.28891097216879802</v>
      </c>
      <c r="AO197" s="425">
        <f t="shared" si="491"/>
        <v>0.28351446060060231</v>
      </c>
      <c r="AP197" s="425">
        <f t="shared" si="491"/>
        <v>0.41665544933202425</v>
      </c>
      <c r="AQ197" s="425">
        <f t="shared" si="491"/>
        <v>0.26874998204533768</v>
      </c>
      <c r="AR197" s="425">
        <f t="shared" si="491"/>
        <v>0.24932208863551</v>
      </c>
      <c r="AS197" s="425">
        <f t="shared" si="491"/>
        <v>0.28210025459002136</v>
      </c>
      <c r="AT197" s="425">
        <f t="shared" si="491"/>
        <v>0.28267546169866209</v>
      </c>
      <c r="AU197" s="425">
        <f t="shared" si="491"/>
        <v>0.27330361304206902</v>
      </c>
      <c r="AV197" s="425">
        <f t="shared" ref="AV197:AW197" si="511">AV170/AV46</f>
        <v>0.25003997812235207</v>
      </c>
      <c r="AW197" s="426">
        <f t="shared" si="511"/>
        <v>0.28591228122772899</v>
      </c>
      <c r="AX197" s="425">
        <f t="shared" ref="AX197:AZ197" si="512">AX170/AX46</f>
        <v>0.31192547258356018</v>
      </c>
      <c r="AY197" s="425">
        <f t="shared" si="512"/>
        <v>0.27842354523395846</v>
      </c>
      <c r="AZ197" s="425">
        <f t="shared" si="512"/>
        <v>0.25706332451932201</v>
      </c>
      <c r="BA197" s="425">
        <f t="shared" ref="BA197:BB197" si="513">BA170/BA46</f>
        <v>0.26416096094948233</v>
      </c>
      <c r="BB197" s="425">
        <f t="shared" si="513"/>
        <v>0.21101016152238539</v>
      </c>
      <c r="BC197" s="425">
        <f t="shared" ref="BC197:BD197" si="514">BC170/BC46</f>
        <v>0.20871015281565145</v>
      </c>
      <c r="BD197" s="425">
        <f t="shared" si="514"/>
        <v>0.23751584229968489</v>
      </c>
      <c r="BE197" s="425">
        <f t="shared" ref="BE197:BG197" si="515">BE170/BE46</f>
        <v>0.22474367530895312</v>
      </c>
      <c r="BF197" s="425">
        <f t="shared" si="515"/>
        <v>0.25438597844602306</v>
      </c>
      <c r="BG197" s="425">
        <f t="shared" si="515"/>
        <v>0.25092988235801339</v>
      </c>
      <c r="BH197" s="425">
        <f t="shared" ref="BH197:BL197" si="516">BH170/BH46</f>
        <v>0.2420637137276897</v>
      </c>
      <c r="BI197" s="426">
        <f t="shared" si="516"/>
        <v>0.24405378888532175</v>
      </c>
      <c r="BJ197" s="425">
        <f t="shared" si="516"/>
        <v>0.24606603470843122</v>
      </c>
      <c r="BK197" s="425">
        <f t="shared" si="516"/>
        <v>0.23127776897679178</v>
      </c>
      <c r="BL197" s="425">
        <f t="shared" si="516"/>
        <v>0.24174303061110419</v>
      </c>
    </row>
    <row r="198" spans="1:64">
      <c r="A198" s="76" t="s">
        <v>192</v>
      </c>
      <c r="B198" s="196"/>
      <c r="C198" s="196"/>
      <c r="D198" s="196"/>
      <c r="E198" s="196"/>
      <c r="F198" s="196"/>
      <c r="G198" s="196"/>
      <c r="H198" s="196"/>
      <c r="I198" s="196"/>
      <c r="J198" s="196"/>
      <c r="K198" s="196"/>
      <c r="L198" s="196"/>
      <c r="M198" s="197"/>
      <c r="N198" s="196"/>
      <c r="O198" s="196"/>
      <c r="P198" s="196"/>
      <c r="Q198" s="196"/>
      <c r="R198" s="196"/>
      <c r="S198" s="196"/>
      <c r="T198" s="196"/>
      <c r="U198" s="196"/>
      <c r="V198" s="196"/>
      <c r="W198" s="196"/>
      <c r="X198" s="196"/>
      <c r="Y198" s="197"/>
      <c r="Z198" s="173">
        <f t="shared" si="498"/>
        <v>0.13974820381774652</v>
      </c>
      <c r="AA198" s="173">
        <f t="shared" si="491"/>
        <v>0.14157605373718557</v>
      </c>
      <c r="AB198" s="173">
        <f t="shared" si="491"/>
        <v>0.16720888031066111</v>
      </c>
      <c r="AC198" s="173">
        <f t="shared" si="491"/>
        <v>0.14279900564051021</v>
      </c>
      <c r="AD198" s="173">
        <f t="shared" si="491"/>
        <v>0.1225395698332984</v>
      </c>
      <c r="AE198" s="173">
        <f t="shared" si="491"/>
        <v>0.243694593799788</v>
      </c>
      <c r="AF198" s="173">
        <f t="shared" si="491"/>
        <v>0.24160757529828347</v>
      </c>
      <c r="AG198" s="173">
        <f t="shared" si="491"/>
        <v>0.24363403138375658</v>
      </c>
      <c r="AH198" s="173">
        <f t="shared" si="491"/>
        <v>0.24080728015788566</v>
      </c>
      <c r="AI198" s="173">
        <f t="shared" si="491"/>
        <v>4.4538707824984564E-2</v>
      </c>
      <c r="AJ198" s="173">
        <f t="shared" si="491"/>
        <v>0.18396869985033817</v>
      </c>
      <c r="AK198" s="205">
        <f t="shared" si="491"/>
        <v>8.1652629073829308E-2</v>
      </c>
      <c r="AL198" s="173">
        <f t="shared" si="491"/>
        <v>0.13756713362086553</v>
      </c>
      <c r="AM198" s="173">
        <f t="shared" si="491"/>
        <v>0.25833097324781978</v>
      </c>
      <c r="AN198" s="173">
        <f t="shared" si="491"/>
        <v>0.20618481063303426</v>
      </c>
      <c r="AO198" s="173">
        <f t="shared" si="491"/>
        <v>0.23701531125637734</v>
      </c>
      <c r="AP198" s="173">
        <f t="shared" si="491"/>
        <v>7.9771558394504866E-2</v>
      </c>
      <c r="AQ198" s="173">
        <f t="shared" si="491"/>
        <v>0.18728698365767957</v>
      </c>
      <c r="AR198" s="173">
        <f t="shared" si="491"/>
        <v>0.16392196002946696</v>
      </c>
      <c r="AS198" s="173">
        <f t="shared" si="491"/>
        <v>0.15795640422520468</v>
      </c>
      <c r="AT198" s="173">
        <f t="shared" si="491"/>
        <v>0.16616070575104142</v>
      </c>
      <c r="AU198" s="173">
        <f t="shared" si="491"/>
        <v>0.20998720534021001</v>
      </c>
      <c r="AV198" s="173">
        <f t="shared" ref="AV198:AW198" si="517">AV171/AV47</f>
        <v>0.22182518522834102</v>
      </c>
      <c r="AW198" s="205">
        <f t="shared" si="517"/>
        <v>0.15781936464093868</v>
      </c>
      <c r="AX198" s="173">
        <f t="shared" ref="AX198:AZ198" si="518">AX171/AX47</f>
        <v>5.0999278937914741E-2</v>
      </c>
      <c r="AY198" s="173">
        <f t="shared" si="518"/>
        <v>0.25285845401746521</v>
      </c>
      <c r="AZ198" s="173">
        <f t="shared" si="518"/>
        <v>0.2157</v>
      </c>
      <c r="BA198" s="173">
        <f t="shared" ref="BA198:BB198" si="519">BA171/BA47</f>
        <v>0.17010000000000003</v>
      </c>
      <c r="BB198" s="173">
        <f t="shared" si="519"/>
        <v>8.340000000000003E-2</v>
      </c>
      <c r="BC198" s="173">
        <f t="shared" ref="BC198:BD198" si="520">BC171/BC47</f>
        <v>9.4225619430669913E-2</v>
      </c>
      <c r="BD198" s="173">
        <f t="shared" si="520"/>
        <v>0.16754826075737744</v>
      </c>
      <c r="BE198" s="173">
        <f t="shared" ref="BE198:BG198" si="521">BE171/BE47</f>
        <v>0.13761705672907404</v>
      </c>
      <c r="BF198" s="173">
        <f t="shared" si="521"/>
        <v>-4.9003476728050359E-3</v>
      </c>
      <c r="BG198" s="173">
        <f t="shared" si="521"/>
        <v>0.14745686013200757</v>
      </c>
      <c r="BH198" s="173">
        <f t="shared" ref="BH198:BL198" si="522">BH171/BH47</f>
        <v>0.14745686013200757</v>
      </c>
      <c r="BI198" s="205">
        <f t="shared" si="522"/>
        <v>0.14745686013200759</v>
      </c>
      <c r="BJ198" s="173">
        <f t="shared" si="522"/>
        <v>0.14745686013200757</v>
      </c>
      <c r="BK198" s="173">
        <f t="shared" si="522"/>
        <v>0.14745686013200759</v>
      </c>
      <c r="BL198" s="173">
        <f t="shared" si="522"/>
        <v>0.14745686013200759</v>
      </c>
    </row>
    <row r="199" spans="1:64">
      <c r="A199" s="77" t="s">
        <v>238</v>
      </c>
      <c r="B199" s="202"/>
      <c r="C199" s="202"/>
      <c r="D199" s="202"/>
      <c r="E199" s="202"/>
      <c r="F199" s="202"/>
      <c r="G199" s="202"/>
      <c r="H199" s="202"/>
      <c r="I199" s="202"/>
      <c r="J199" s="202"/>
      <c r="K199" s="202"/>
      <c r="L199" s="202"/>
      <c r="M199" s="294"/>
      <c r="N199" s="202"/>
      <c r="O199" s="202"/>
      <c r="P199" s="202"/>
      <c r="Q199" s="202"/>
      <c r="R199" s="202"/>
      <c r="S199" s="202"/>
      <c r="T199" s="202"/>
      <c r="U199" s="202"/>
      <c r="V199" s="202"/>
      <c r="W199" s="202"/>
      <c r="X199" s="202"/>
      <c r="Y199" s="294"/>
      <c r="Z199" s="425">
        <f t="shared" si="498"/>
        <v>0.15003654515557838</v>
      </c>
      <c r="AA199" s="425">
        <f t="shared" si="491"/>
        <v>0.15057685701208595</v>
      </c>
      <c r="AB199" s="425">
        <f t="shared" si="491"/>
        <v>0.17459369741045305</v>
      </c>
      <c r="AC199" s="425">
        <f t="shared" si="491"/>
        <v>0.15160034945287731</v>
      </c>
      <c r="AD199" s="425">
        <f t="shared" si="491"/>
        <v>0.13640823474593239</v>
      </c>
      <c r="AE199" s="425">
        <f t="shared" si="491"/>
        <v>0.24612073657393463</v>
      </c>
      <c r="AF199" s="425">
        <f t="shared" si="491"/>
        <v>0.24731271121209622</v>
      </c>
      <c r="AG199" s="425">
        <f t="shared" si="491"/>
        <v>0.24697590263621969</v>
      </c>
      <c r="AH199" s="425">
        <f t="shared" si="491"/>
        <v>0.24341865699390328</v>
      </c>
      <c r="AI199" s="425">
        <f t="shared" si="491"/>
        <v>5.7384549122919015E-2</v>
      </c>
      <c r="AJ199" s="425">
        <f t="shared" si="491"/>
        <v>0.18999718350609687</v>
      </c>
      <c r="AK199" s="426">
        <f t="shared" si="491"/>
        <v>9.4285284547638917E-2</v>
      </c>
      <c r="AL199" s="425">
        <f t="shared" si="491"/>
        <v>0.14548820284057989</v>
      </c>
      <c r="AM199" s="425">
        <f t="shared" si="491"/>
        <v>0.25997361361782717</v>
      </c>
      <c r="AN199" s="425">
        <f t="shared" si="491"/>
        <v>0.21148055728815793</v>
      </c>
      <c r="AO199" s="425">
        <f t="shared" si="491"/>
        <v>0.2397997778627835</v>
      </c>
      <c r="AP199" s="425">
        <f t="shared" si="491"/>
        <v>0.10169530929047307</v>
      </c>
      <c r="AQ199" s="425">
        <f t="shared" si="491"/>
        <v>0.19699894585992897</v>
      </c>
      <c r="AR199" s="425">
        <f t="shared" si="491"/>
        <v>0.17320297646566696</v>
      </c>
      <c r="AS199" s="425">
        <f t="shared" si="491"/>
        <v>0.16779615242157872</v>
      </c>
      <c r="AT199" s="425">
        <f t="shared" si="491"/>
        <v>0.17087638551158171</v>
      </c>
      <c r="AU199" s="425">
        <f t="shared" si="491"/>
        <v>0.21240725953226217</v>
      </c>
      <c r="AV199" s="425">
        <f t="shared" ref="AV199:AW199" si="523">AV172/AV48</f>
        <v>0.22313671062650697</v>
      </c>
      <c r="AW199" s="426">
        <f t="shared" si="523"/>
        <v>0.16506124785534507</v>
      </c>
      <c r="AX199" s="425">
        <f t="shared" ref="AX199:AZ199" si="524">AX172/AX48</f>
        <v>5.876277813943577E-2</v>
      </c>
      <c r="AY199" s="425">
        <f t="shared" si="524"/>
        <v>0.25377071118785277</v>
      </c>
      <c r="AZ199" s="425">
        <f t="shared" si="524"/>
        <v>0.21752062968506999</v>
      </c>
      <c r="BA199" s="425">
        <f t="shared" ref="BA199:BB199" si="525">BA172/BA48</f>
        <v>0.17453495537339694</v>
      </c>
      <c r="BB199" s="425">
        <f t="shared" si="525"/>
        <v>9.5889533286603393E-2</v>
      </c>
      <c r="BC199" s="425">
        <f t="shared" ref="BC199:BD199" si="526">BC172/BC48</f>
        <v>0.10485189491156494</v>
      </c>
      <c r="BD199" s="425">
        <f t="shared" si="526"/>
        <v>0.17633317641503524</v>
      </c>
      <c r="BE199" s="425">
        <f t="shared" ref="BE199:BG199" si="527">BE172/BE48</f>
        <v>0.144844483239053</v>
      </c>
      <c r="BF199" s="425">
        <f t="shared" si="527"/>
        <v>5.9034944365686957E-3</v>
      </c>
      <c r="BG199" s="425">
        <f t="shared" si="527"/>
        <v>0.15172214923464714</v>
      </c>
      <c r="BH199" s="425">
        <f t="shared" ref="BH199:BL199" si="528">BH172/BH48</f>
        <v>0.15081726168312351</v>
      </c>
      <c r="BI199" s="426">
        <f t="shared" si="528"/>
        <v>0.15324101344335372</v>
      </c>
      <c r="BJ199" s="425">
        <f t="shared" si="528"/>
        <v>0.15151596964369968</v>
      </c>
      <c r="BK199" s="425">
        <f t="shared" si="528"/>
        <v>0.14986647701740069</v>
      </c>
      <c r="BL199" s="425">
        <f t="shared" si="528"/>
        <v>0.15058587568244181</v>
      </c>
    </row>
    <row r="200" spans="1:64">
      <c r="A200" s="76"/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197"/>
      <c r="N200" s="196"/>
      <c r="O200" s="196"/>
      <c r="P200" s="196"/>
      <c r="Q200" s="196"/>
      <c r="R200" s="196"/>
      <c r="S200" s="196"/>
      <c r="T200" s="196"/>
      <c r="U200" s="196"/>
      <c r="V200" s="196"/>
      <c r="W200" s="196"/>
      <c r="X200" s="196"/>
      <c r="Y200" s="197"/>
      <c r="Z200" s="173"/>
      <c r="AA200" s="173"/>
      <c r="AB200" s="173"/>
      <c r="AC200" s="173"/>
      <c r="AD200" s="173"/>
      <c r="AE200" s="173"/>
      <c r="AF200" s="173"/>
      <c r="AG200" s="173"/>
      <c r="AH200" s="173"/>
      <c r="AI200" s="173"/>
      <c r="AJ200" s="173"/>
      <c r="AK200" s="205"/>
      <c r="AL200" s="173"/>
      <c r="AM200" s="173"/>
      <c r="AN200" s="173"/>
      <c r="AO200" s="173"/>
      <c r="AP200" s="173"/>
      <c r="AQ200" s="173"/>
      <c r="AR200" s="173"/>
      <c r="AS200" s="173"/>
      <c r="AT200" s="173"/>
      <c r="AU200" s="173"/>
      <c r="AV200" s="173"/>
      <c r="AW200" s="205"/>
      <c r="AX200" s="173"/>
      <c r="AY200" s="173"/>
      <c r="AZ200" s="173"/>
      <c r="BA200" s="173"/>
      <c r="BB200" s="173"/>
      <c r="BC200" s="173"/>
      <c r="BD200" s="173"/>
      <c r="BE200" s="173"/>
      <c r="BF200" s="173"/>
      <c r="BG200" s="173"/>
      <c r="BH200" s="173"/>
      <c r="BI200" s="205"/>
      <c r="BJ200" s="173"/>
      <c r="BK200" s="173"/>
      <c r="BL200" s="173"/>
    </row>
    <row r="201" spans="1:64">
      <c r="A201" s="76" t="s">
        <v>102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197"/>
      <c r="N201" s="196"/>
      <c r="O201" s="196"/>
      <c r="P201" s="196"/>
      <c r="Q201" s="196"/>
      <c r="R201" s="196"/>
      <c r="S201" s="196"/>
      <c r="T201" s="196"/>
      <c r="U201" s="196"/>
      <c r="V201" s="196"/>
      <c r="W201" s="196"/>
      <c r="X201" s="196"/>
      <c r="Y201" s="197"/>
      <c r="Z201" s="173">
        <f t="shared" si="498"/>
        <v>0.12226290366153628</v>
      </c>
      <c r="AA201" s="173">
        <f t="shared" si="491"/>
        <v>0.12202198532651999</v>
      </c>
      <c r="AB201" s="173">
        <f t="shared" si="491"/>
        <v>0.12169700762590255</v>
      </c>
      <c r="AC201" s="173">
        <f t="shared" si="491"/>
        <v>0.12081238222513227</v>
      </c>
      <c r="AD201" s="173">
        <f t="shared" si="491"/>
        <v>0.11948421281970197</v>
      </c>
      <c r="AE201" s="173">
        <f t="shared" si="491"/>
        <v>0.11848923535937675</v>
      </c>
      <c r="AF201" s="173">
        <f t="shared" si="491"/>
        <v>0.11641435288478652</v>
      </c>
      <c r="AG201" s="173">
        <f t="shared" si="491"/>
        <v>0.11702121741753464</v>
      </c>
      <c r="AH201" s="173">
        <f t="shared" si="491"/>
        <v>0.11818005659818084</v>
      </c>
      <c r="AI201" s="173">
        <f t="shared" si="491"/>
        <v>0.12025120285739958</v>
      </c>
      <c r="AJ201" s="173">
        <f t="shared" si="491"/>
        <v>0.11979596647206774</v>
      </c>
      <c r="AK201" s="205">
        <f t="shared" si="491"/>
        <v>0.11827415342823402</v>
      </c>
      <c r="AL201" s="173">
        <f t="shared" si="491"/>
        <v>0.11814691925227219</v>
      </c>
      <c r="AM201" s="173">
        <f t="shared" si="491"/>
        <v>0.11855104128771127</v>
      </c>
      <c r="AN201" s="173">
        <f t="shared" si="491"/>
        <v>0.11657656652405952</v>
      </c>
      <c r="AO201" s="173">
        <f t="shared" si="491"/>
        <v>0.11374394158620807</v>
      </c>
      <c r="AP201" s="173">
        <f t="shared" si="491"/>
        <v>0.11159453154853556</v>
      </c>
      <c r="AQ201" s="173">
        <f t="shared" si="491"/>
        <v>0.11060432925566331</v>
      </c>
      <c r="AR201" s="173">
        <f t="shared" si="491"/>
        <v>9.9164833852770945E-2</v>
      </c>
      <c r="AS201" s="173">
        <f t="shared" si="491"/>
        <v>0.10216533964114953</v>
      </c>
      <c r="AT201" s="173">
        <f t="shared" si="491"/>
        <v>0.11463954836255312</v>
      </c>
      <c r="AU201" s="173">
        <f t="shared" si="491"/>
        <v>0.12520695547359306</v>
      </c>
      <c r="AV201" s="173">
        <f t="shared" ref="AV201:AW201" si="529">AV174/AV50</f>
        <v>0.11522188014530162</v>
      </c>
      <c r="AW201" s="205">
        <f t="shared" si="529"/>
        <v>0.11536073873087395</v>
      </c>
      <c r="AX201" s="173">
        <f t="shared" ref="AX201:AZ201" si="530">AX174/AX50</f>
        <v>0.12030564642715683</v>
      </c>
      <c r="AY201" s="173">
        <f t="shared" si="530"/>
        <v>0.12086126937839443</v>
      </c>
      <c r="AZ201" s="173">
        <f t="shared" si="530"/>
        <v>0.11332806412809779</v>
      </c>
      <c r="BA201" s="173">
        <f t="shared" ref="BA201:BB201" si="531">BA174/BA50</f>
        <v>0.12594914589597969</v>
      </c>
      <c r="BB201" s="173">
        <f t="shared" si="531"/>
        <v>0.11469716797763566</v>
      </c>
      <c r="BC201" s="173">
        <f t="shared" ref="BC201:BD201" si="532">BC174/BC50</f>
        <v>0.12994674559311492</v>
      </c>
      <c r="BD201" s="173">
        <f t="shared" si="532"/>
        <v>0.13525897463304298</v>
      </c>
      <c r="BE201" s="173">
        <f t="shared" ref="BE201:BG201" si="533">BE174/BE50</f>
        <v>0.11419409942394826</v>
      </c>
      <c r="BF201" s="173">
        <f t="shared" si="533"/>
        <v>0.12139584811782754</v>
      </c>
      <c r="BG201" s="173">
        <f t="shared" si="533"/>
        <v>0.12139584811782755</v>
      </c>
      <c r="BH201" s="173">
        <f t="shared" ref="BH201:BL201" si="534">BH174/BH50</f>
        <v>0.12139584811782754</v>
      </c>
      <c r="BI201" s="205">
        <f t="shared" si="534"/>
        <v>0.12139584811782755</v>
      </c>
      <c r="BJ201" s="173">
        <f t="shared" si="534"/>
        <v>0.12139584811782754</v>
      </c>
      <c r="BK201" s="173">
        <f t="shared" si="534"/>
        <v>0.12139584811782754</v>
      </c>
      <c r="BL201" s="173">
        <f t="shared" si="534"/>
        <v>0.12139584811782754</v>
      </c>
    </row>
    <row r="202" spans="1:64">
      <c r="A202" s="76" t="s">
        <v>103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197"/>
      <c r="N202" s="196"/>
      <c r="O202" s="196"/>
      <c r="P202" s="196"/>
      <c r="Q202" s="196"/>
      <c r="R202" s="196"/>
      <c r="S202" s="196"/>
      <c r="T202" s="196"/>
      <c r="U202" s="196"/>
      <c r="V202" s="196"/>
      <c r="W202" s="196"/>
      <c r="X202" s="196"/>
      <c r="Y202" s="197"/>
      <c r="Z202" s="173"/>
      <c r="AA202" s="173"/>
      <c r="AB202" s="173"/>
      <c r="AC202" s="173"/>
      <c r="AD202" s="173"/>
      <c r="AE202" s="173"/>
      <c r="AF202" s="173"/>
      <c r="AG202" s="173"/>
      <c r="AH202" s="173"/>
      <c r="AI202" s="173"/>
      <c r="AJ202" s="173"/>
      <c r="AK202" s="205"/>
      <c r="AL202" s="173"/>
      <c r="AM202" s="173"/>
      <c r="AN202" s="173"/>
      <c r="AO202" s="173"/>
      <c r="AP202" s="173"/>
      <c r="AQ202" s="173"/>
      <c r="AR202" s="173">
        <f t="shared" si="491"/>
        <v>2.78671427991436E-2</v>
      </c>
      <c r="AS202" s="173">
        <f t="shared" si="491"/>
        <v>2.6989080020295018E-2</v>
      </c>
      <c r="AT202" s="173">
        <f t="shared" si="491"/>
        <v>2.7586722281523091E-2</v>
      </c>
      <c r="AU202" s="173">
        <f t="shared" si="491"/>
        <v>2.802704891864884E-2</v>
      </c>
      <c r="AV202" s="173">
        <f t="shared" ref="AV202:AW202" si="535">AV175/AV51</f>
        <v>2.7929703897273752E-2</v>
      </c>
      <c r="AW202" s="205">
        <f t="shared" si="535"/>
        <v>2.8303364536322619E-2</v>
      </c>
      <c r="AX202" s="173">
        <f t="shared" ref="AX202:AZ202" si="536">AX175/AX51</f>
        <v>2.7897432879335597E-2</v>
      </c>
      <c r="AY202" s="173">
        <f t="shared" si="536"/>
        <v>2.715369366293224E-2</v>
      </c>
      <c r="AZ202" s="173">
        <f t="shared" si="536"/>
        <v>2.6442393402482878E-2</v>
      </c>
      <c r="BA202" s="173">
        <f t="shared" ref="BA202:BB202" si="537">BA175/BA51</f>
        <v>2.6361630829949103E-2</v>
      </c>
      <c r="BB202" s="173">
        <f t="shared" si="537"/>
        <v>2.5798996174816291E-2</v>
      </c>
      <c r="BC202" s="173">
        <f t="shared" ref="BC202:BD202" si="538">BC175/BC51</f>
        <v>2.561918698703098E-2</v>
      </c>
      <c r="BD202" s="173">
        <f t="shared" si="538"/>
        <v>2.6415340939716609E-2</v>
      </c>
      <c r="BE202" s="173">
        <f t="shared" ref="BE202:BG202" si="539">BE175/BE51</f>
        <v>2.5479398062777978E-2</v>
      </c>
      <c r="BF202" s="173">
        <f t="shared" si="539"/>
        <v>2.6497715519225376E-2</v>
      </c>
      <c r="BG202" s="173">
        <f t="shared" si="539"/>
        <v>2.649771551922538E-2</v>
      </c>
      <c r="BH202" s="173">
        <f t="shared" ref="BH202:BL202" si="540">BH175/BH51</f>
        <v>2.6497715519225376E-2</v>
      </c>
      <c r="BI202" s="205">
        <f t="shared" si="540"/>
        <v>2.649771551922538E-2</v>
      </c>
      <c r="BJ202" s="173">
        <f t="shared" si="540"/>
        <v>2.649771551922538E-2</v>
      </c>
      <c r="BK202" s="173">
        <f t="shared" si="540"/>
        <v>2.6497715519225376E-2</v>
      </c>
      <c r="BL202" s="173">
        <f t="shared" si="540"/>
        <v>2.6497715519225376E-2</v>
      </c>
    </row>
    <row r="203" spans="1:64">
      <c r="A203" s="76" t="s">
        <v>100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197"/>
      <c r="N203" s="196"/>
      <c r="O203" s="196"/>
      <c r="P203" s="196"/>
      <c r="Q203" s="196"/>
      <c r="R203" s="196"/>
      <c r="S203" s="196"/>
      <c r="T203" s="196"/>
      <c r="U203" s="196"/>
      <c r="V203" s="196"/>
      <c r="W203" s="196"/>
      <c r="X203" s="196"/>
      <c r="Y203" s="197"/>
      <c r="Z203" s="173"/>
      <c r="AA203" s="173"/>
      <c r="AB203" s="173"/>
      <c r="AC203" s="173"/>
      <c r="AD203" s="173"/>
      <c r="AE203" s="173"/>
      <c r="AF203" s="173"/>
      <c r="AG203" s="173"/>
      <c r="AH203" s="173"/>
      <c r="AI203" s="173"/>
      <c r="AJ203" s="173"/>
      <c r="AK203" s="205"/>
      <c r="AL203" s="173"/>
      <c r="AM203" s="173"/>
      <c r="AN203" s="173"/>
      <c r="AO203" s="173"/>
      <c r="AP203" s="173"/>
      <c r="AQ203" s="173"/>
      <c r="AR203" s="173">
        <f t="shared" si="491"/>
        <v>3.3963705495404332E-2</v>
      </c>
      <c r="AS203" s="173">
        <f t="shared" si="491"/>
        <v>3.2493694263736717E-2</v>
      </c>
      <c r="AT203" s="173">
        <f t="shared" si="491"/>
        <v>3.2222926774126165E-2</v>
      </c>
      <c r="AU203" s="173">
        <f t="shared" si="491"/>
        <v>3.1769713457546186E-2</v>
      </c>
      <c r="AV203" s="173">
        <f t="shared" ref="AV203:AW203" si="541">AV176/AV52</f>
        <v>3.0989792142361659E-2</v>
      </c>
      <c r="AW203" s="205">
        <f t="shared" si="541"/>
        <v>3.0351752645487208E-2</v>
      </c>
      <c r="AX203" s="173">
        <f t="shared" ref="AX203:AZ203" si="542">AX176/AX52</f>
        <v>3.1425254919976046E-2</v>
      </c>
      <c r="AY203" s="173">
        <f t="shared" si="542"/>
        <v>2.9634389286750076E-2</v>
      </c>
      <c r="AZ203" s="173">
        <f t="shared" si="542"/>
        <v>2.9872537833418332E-2</v>
      </c>
      <c r="BA203" s="173">
        <f t="shared" ref="BA203:BB203" si="543">BA176/BA52</f>
        <v>3.0567208619306497E-2</v>
      </c>
      <c r="BB203" s="173">
        <f t="shared" si="543"/>
        <v>3.0981134315953118E-2</v>
      </c>
      <c r="BC203" s="173">
        <f t="shared" ref="BC203:BD203" si="544">BC176/BC52</f>
        <v>3.0770174954621535E-2</v>
      </c>
      <c r="BD203" s="173">
        <f t="shared" si="544"/>
        <v>3.0477687377056657E-2</v>
      </c>
      <c r="BE203" s="173">
        <f t="shared" ref="BE203:BG203" si="545">BE176/BE52</f>
        <v>2.9719691013940969E-2</v>
      </c>
      <c r="BF203" s="173">
        <f t="shared" si="545"/>
        <v>3.0445198479205005E-2</v>
      </c>
      <c r="BG203" s="173">
        <f t="shared" si="545"/>
        <v>3.0445198479205005E-2</v>
      </c>
      <c r="BH203" s="173">
        <f t="shared" ref="BH203:BL203" si="546">BH176/BH52</f>
        <v>3.0445198479205005E-2</v>
      </c>
      <c r="BI203" s="205">
        <f t="shared" si="546"/>
        <v>3.0445198479205009E-2</v>
      </c>
      <c r="BJ203" s="173">
        <f t="shared" si="546"/>
        <v>3.0445198479205005E-2</v>
      </c>
      <c r="BK203" s="173">
        <f t="shared" si="546"/>
        <v>3.0445198479205009E-2</v>
      </c>
      <c r="BL203" s="173">
        <f t="shared" si="546"/>
        <v>3.0445198479205005E-2</v>
      </c>
    </row>
    <row r="204" spans="1:64">
      <c r="A204" s="77" t="s">
        <v>104</v>
      </c>
      <c r="B204" s="202"/>
      <c r="C204" s="202"/>
      <c r="D204" s="202"/>
      <c r="E204" s="202"/>
      <c r="F204" s="202"/>
      <c r="G204" s="202"/>
      <c r="H204" s="202"/>
      <c r="I204" s="202"/>
      <c r="J204" s="417"/>
      <c r="K204" s="417"/>
      <c r="L204" s="417"/>
      <c r="M204" s="418"/>
      <c r="N204" s="417"/>
      <c r="O204" s="417"/>
      <c r="P204" s="417"/>
      <c r="Q204" s="417"/>
      <c r="R204" s="417"/>
      <c r="S204" s="417"/>
      <c r="T204" s="417"/>
      <c r="U204" s="417"/>
      <c r="V204" s="417"/>
      <c r="W204" s="417"/>
      <c r="X204" s="417"/>
      <c r="Y204" s="418"/>
      <c r="Z204" s="425">
        <f t="shared" si="498"/>
        <v>0.12226290366153628</v>
      </c>
      <c r="AA204" s="425">
        <f t="shared" si="491"/>
        <v>0.12202198532651999</v>
      </c>
      <c r="AB204" s="425">
        <f t="shared" si="491"/>
        <v>0.12169700762590255</v>
      </c>
      <c r="AC204" s="425">
        <f t="shared" si="491"/>
        <v>0.12081238222513227</v>
      </c>
      <c r="AD204" s="425">
        <f t="shared" si="491"/>
        <v>0.11948421281970197</v>
      </c>
      <c r="AE204" s="425">
        <f t="shared" si="491"/>
        <v>0.11848923535937675</v>
      </c>
      <c r="AF204" s="425">
        <f t="shared" si="491"/>
        <v>0.11641435288478652</v>
      </c>
      <c r="AG204" s="425">
        <f t="shared" si="491"/>
        <v>0.11702121741753464</v>
      </c>
      <c r="AH204" s="425">
        <f t="shared" si="491"/>
        <v>0.11818005659818084</v>
      </c>
      <c r="AI204" s="425">
        <f t="shared" si="491"/>
        <v>0.12025120285739958</v>
      </c>
      <c r="AJ204" s="425">
        <f t="shared" si="491"/>
        <v>0.11979596647206774</v>
      </c>
      <c r="AK204" s="426">
        <f t="shared" si="491"/>
        <v>0.11827415342823402</v>
      </c>
      <c r="AL204" s="425">
        <f t="shared" si="491"/>
        <v>0.11814691925227219</v>
      </c>
      <c r="AM204" s="425">
        <f t="shared" si="491"/>
        <v>0.11855104128771127</v>
      </c>
      <c r="AN204" s="425">
        <f t="shared" si="491"/>
        <v>0.11657656652405952</v>
      </c>
      <c r="AO204" s="425">
        <f t="shared" si="491"/>
        <v>0.11374394158620807</v>
      </c>
      <c r="AP204" s="425">
        <f t="shared" si="491"/>
        <v>0.11159453154853556</v>
      </c>
      <c r="AQ204" s="425">
        <f t="shared" si="491"/>
        <v>0.11060432925566331</v>
      </c>
      <c r="AR204" s="425">
        <f t="shared" si="491"/>
        <v>4.9229591054642134E-2</v>
      </c>
      <c r="AS204" s="425">
        <f t="shared" si="491"/>
        <v>3.3848668340798013E-2</v>
      </c>
      <c r="AT204" s="425">
        <f t="shared" si="491"/>
        <v>3.5756589317869937E-2</v>
      </c>
      <c r="AU204" s="425">
        <f t="shared" si="491"/>
        <v>3.7575493426144059E-2</v>
      </c>
      <c r="AV204" s="425">
        <f t="shared" ref="AV204:AW204" si="547">AV177/AV53</f>
        <v>3.6723326826115017E-2</v>
      </c>
      <c r="AW204" s="426">
        <f t="shared" si="547"/>
        <v>3.7216836627383038E-2</v>
      </c>
      <c r="AX204" s="425">
        <f t="shared" ref="AX204:AZ204" si="548">AX177/AX53</f>
        <v>3.7920936492986765E-2</v>
      </c>
      <c r="AY204" s="425">
        <f t="shared" si="548"/>
        <v>3.7332809987883742E-2</v>
      </c>
      <c r="AZ204" s="425">
        <f t="shared" si="548"/>
        <v>3.5766914290109524E-2</v>
      </c>
      <c r="BA204" s="425">
        <f t="shared" ref="BA204:BB204" si="549">BA177/BA53</f>
        <v>3.7558746231793408E-2</v>
      </c>
      <c r="BB204" s="425">
        <f t="shared" si="549"/>
        <v>3.560541184035846E-2</v>
      </c>
      <c r="BC204" s="425">
        <f t="shared" ref="BC204:BD204" si="550">BC177/BC53</f>
        <v>3.6365087654864688E-2</v>
      </c>
      <c r="BD204" s="425">
        <f t="shared" si="550"/>
        <v>3.7189988393400951E-2</v>
      </c>
      <c r="BE204" s="425">
        <f t="shared" ref="BE204:BG204" si="551">BE177/BE53</f>
        <v>3.4140711170544541E-2</v>
      </c>
      <c r="BF204" s="425">
        <f t="shared" si="551"/>
        <v>3.6547262514415729E-2</v>
      </c>
      <c r="BG204" s="425">
        <f t="shared" si="551"/>
        <v>3.5453138480478152E-2</v>
      </c>
      <c r="BH204" s="425">
        <f t="shared" ref="BH204:BL204" si="552">BH177/BH53</f>
        <v>3.6233874933498972E-2</v>
      </c>
      <c r="BI204" s="426">
        <f t="shared" si="552"/>
        <v>3.5325610803240613E-2</v>
      </c>
      <c r="BJ204" s="425">
        <f t="shared" si="552"/>
        <v>3.4657088460943383E-2</v>
      </c>
      <c r="BK204" s="425">
        <f t="shared" si="552"/>
        <v>3.4129330858493435E-2</v>
      </c>
      <c r="BL204" s="425">
        <f t="shared" si="552"/>
        <v>3.4344924024789815E-2</v>
      </c>
    </row>
    <row r="205" spans="1:64">
      <c r="A205" s="76" t="s">
        <v>241</v>
      </c>
      <c r="B205" s="196"/>
      <c r="C205" s="196"/>
      <c r="D205" s="196"/>
      <c r="E205" s="196"/>
      <c r="F205" s="196"/>
      <c r="G205" s="196"/>
      <c r="H205" s="196"/>
      <c r="I205" s="196"/>
      <c r="J205" s="361"/>
      <c r="K205" s="361"/>
      <c r="L205" s="361"/>
      <c r="M205" s="424"/>
      <c r="N205" s="361"/>
      <c r="O205" s="361"/>
      <c r="P205" s="361"/>
      <c r="Q205" s="361"/>
      <c r="R205" s="361"/>
      <c r="S205" s="361"/>
      <c r="T205" s="361"/>
      <c r="U205" s="361"/>
      <c r="V205" s="361"/>
      <c r="W205" s="361"/>
      <c r="X205" s="361"/>
      <c r="Y205" s="424"/>
      <c r="Z205" s="173">
        <f t="shared" si="498"/>
        <v>0.30840469913911234</v>
      </c>
      <c r="AA205" s="173">
        <f t="shared" si="491"/>
        <v>0.29461263374574004</v>
      </c>
      <c r="AB205" s="173">
        <f t="shared" si="491"/>
        <v>0.30627162343667336</v>
      </c>
      <c r="AC205" s="173">
        <f t="shared" si="491"/>
        <v>0.30389692670860358</v>
      </c>
      <c r="AD205" s="173">
        <f t="shared" si="491"/>
        <v>0.30919666387295164</v>
      </c>
      <c r="AE205" s="173">
        <f t="shared" si="491"/>
        <v>0.29640157569719405</v>
      </c>
      <c r="AF205" s="173">
        <f t="shared" si="491"/>
        <v>0.29466585913202992</v>
      </c>
      <c r="AG205" s="173">
        <f t="shared" si="491"/>
        <v>0.29899639860365296</v>
      </c>
      <c r="AH205" s="173">
        <f t="shared" si="491"/>
        <v>0.30868211127252337</v>
      </c>
      <c r="AI205" s="173">
        <f t="shared" si="491"/>
        <v>0.29448625357927399</v>
      </c>
      <c r="AJ205" s="173">
        <f t="shared" si="491"/>
        <v>0.30209773096156439</v>
      </c>
      <c r="AK205" s="205">
        <f t="shared" si="491"/>
        <v>0.30976418747409334</v>
      </c>
      <c r="AL205" s="173">
        <f t="shared" si="491"/>
        <v>0.3033643565546697</v>
      </c>
      <c r="AM205" s="173">
        <f t="shared" si="491"/>
        <v>0.30657397158075145</v>
      </c>
      <c r="AN205" s="173">
        <f t="shared" si="491"/>
        <v>0.29619466563265506</v>
      </c>
      <c r="AO205" s="173">
        <f t="shared" si="491"/>
        <v>0.29585713879003561</v>
      </c>
      <c r="AP205" s="173">
        <f t="shared" si="491"/>
        <v>0.3026541501815721</v>
      </c>
      <c r="AQ205" s="173">
        <f t="shared" si="491"/>
        <v>0.29344654346358201</v>
      </c>
      <c r="AR205" s="173">
        <f t="shared" si="491"/>
        <v>0.30463740415333657</v>
      </c>
      <c r="AS205" s="173">
        <f t="shared" si="491"/>
        <v>0.29879500414669752</v>
      </c>
      <c r="AT205" s="173">
        <f t="shared" si="491"/>
        <v>0.27984083324730208</v>
      </c>
      <c r="AU205" s="173">
        <f t="shared" si="491"/>
        <v>0.30870235083587827</v>
      </c>
      <c r="AV205" s="173">
        <f t="shared" ref="AV205:AW205" si="553">AV178/AV54</f>
        <v>0.30185709835682584</v>
      </c>
      <c r="AW205" s="205">
        <f t="shared" si="553"/>
        <v>0.29780592548629503</v>
      </c>
      <c r="AX205" s="173">
        <f t="shared" ref="AX205:AZ205" si="554">AX178/AX54</f>
        <v>0.29651695445445442</v>
      </c>
      <c r="AY205" s="173">
        <f t="shared" si="554"/>
        <v>0.29180381917366627</v>
      </c>
      <c r="AZ205" s="173">
        <f t="shared" si="554"/>
        <v>0.2930749122039118</v>
      </c>
      <c r="BA205" s="173">
        <f t="shared" ref="BA205:BB205" si="555">BA178/BA54</f>
        <v>0.29490025996412511</v>
      </c>
      <c r="BB205" s="173">
        <f t="shared" si="555"/>
        <v>0.29576441997837488</v>
      </c>
      <c r="BC205" s="173">
        <f t="shared" ref="BC205:BD205" si="556">BC178/BC54</f>
        <v>0.28651652819595513</v>
      </c>
      <c r="BD205" s="173">
        <f t="shared" si="556"/>
        <v>0.27632305124543766</v>
      </c>
      <c r="BE205" s="173">
        <f t="shared" ref="BE205:BG205" si="557">BE178/BE54</f>
        <v>0.29270455272520224</v>
      </c>
      <c r="BF205" s="173">
        <f t="shared" si="557"/>
        <v>0.29158223116653931</v>
      </c>
      <c r="BG205" s="173">
        <f t="shared" si="557"/>
        <v>0.29158223116653931</v>
      </c>
      <c r="BH205" s="173">
        <f t="shared" ref="BH205:BL205" si="558">BH178/BH54</f>
        <v>0.29158223116653931</v>
      </c>
      <c r="BI205" s="205">
        <f t="shared" si="558"/>
        <v>0.29158223116653931</v>
      </c>
      <c r="BJ205" s="173">
        <f t="shared" si="558"/>
        <v>0.29158223116653936</v>
      </c>
      <c r="BK205" s="173">
        <f t="shared" si="558"/>
        <v>0.29158223116653931</v>
      </c>
      <c r="BL205" s="173">
        <f t="shared" si="558"/>
        <v>0.29158223116653931</v>
      </c>
    </row>
    <row r="206" spans="1:64">
      <c r="A206" s="77" t="s">
        <v>301</v>
      </c>
      <c r="B206" s="202"/>
      <c r="C206" s="202"/>
      <c r="D206" s="202"/>
      <c r="E206" s="202"/>
      <c r="F206" s="202"/>
      <c r="G206" s="202"/>
      <c r="H206" s="202"/>
      <c r="I206" s="202"/>
      <c r="J206" s="417"/>
      <c r="K206" s="417"/>
      <c r="L206" s="417"/>
      <c r="M206" s="418"/>
      <c r="N206" s="417"/>
      <c r="O206" s="417"/>
      <c r="P206" s="417"/>
      <c r="Q206" s="417"/>
      <c r="R206" s="417"/>
      <c r="S206" s="417"/>
      <c r="T206" s="417"/>
      <c r="U206" s="417"/>
      <c r="V206" s="417"/>
      <c r="W206" s="417"/>
      <c r="X206" s="417"/>
      <c r="Y206" s="418"/>
      <c r="Z206" s="425">
        <f t="shared" si="498"/>
        <v>0.12607231044334363</v>
      </c>
      <c r="AA206" s="425">
        <f t="shared" si="491"/>
        <v>0.12688813658867362</v>
      </c>
      <c r="AB206" s="425">
        <f t="shared" si="491"/>
        <v>0.12808071709071445</v>
      </c>
      <c r="AC206" s="425">
        <f t="shared" si="491"/>
        <v>0.12756261297233454</v>
      </c>
      <c r="AD206" s="425">
        <f t="shared" si="491"/>
        <v>0.12701300160898973</v>
      </c>
      <c r="AE206" s="425">
        <f t="shared" si="491"/>
        <v>0.12550811527944059</v>
      </c>
      <c r="AF206" s="425">
        <f t="shared" si="491"/>
        <v>0.12442385776688801</v>
      </c>
      <c r="AG206" s="425">
        <f t="shared" si="491"/>
        <v>0.12538267574440856</v>
      </c>
      <c r="AH206" s="425">
        <f t="shared" si="491"/>
        <v>0.12880031396295025</v>
      </c>
      <c r="AI206" s="425">
        <f t="shared" si="491"/>
        <v>0.13124466733569928</v>
      </c>
      <c r="AJ206" s="425">
        <f t="shared" si="491"/>
        <v>0.13117665821480196</v>
      </c>
      <c r="AK206" s="426">
        <f t="shared" si="491"/>
        <v>0.13065710255864302</v>
      </c>
      <c r="AL206" s="425">
        <f t="shared" si="491"/>
        <v>0.12965570170860394</v>
      </c>
      <c r="AM206" s="425">
        <f t="shared" si="491"/>
        <v>0.13070542938575008</v>
      </c>
      <c r="AN206" s="425">
        <f t="shared" si="491"/>
        <v>0.12910268643056957</v>
      </c>
      <c r="AO206" s="425">
        <f t="shared" si="491"/>
        <v>0.12611102627588885</v>
      </c>
      <c r="AP206" s="425">
        <f t="shared" si="491"/>
        <v>0.12426516051322722</v>
      </c>
      <c r="AQ206" s="425">
        <f t="shared" si="491"/>
        <v>0.12248372748629018</v>
      </c>
      <c r="AR206" s="425">
        <f t="shared" si="491"/>
        <v>5.4594467134422002E-2</v>
      </c>
      <c r="AS206" s="425">
        <f t="shared" ref="AA206:AU210" si="559">AS179/AS55</f>
        <v>3.615922918015739E-2</v>
      </c>
      <c r="AT206" s="425">
        <f t="shared" si="559"/>
        <v>3.807284008787231E-2</v>
      </c>
      <c r="AU206" s="425">
        <f t="shared" si="559"/>
        <v>4.0236859179814573E-2</v>
      </c>
      <c r="AV206" s="425">
        <f t="shared" ref="AV206:AW206" si="560">AV179/AV55</f>
        <v>3.9366072430284782E-2</v>
      </c>
      <c r="AW206" s="426">
        <f t="shared" si="560"/>
        <v>4.018820436193557E-2</v>
      </c>
      <c r="AX206" s="425">
        <f t="shared" ref="AX206:AZ206" si="561">AX179/AX55</f>
        <v>4.0870038007133382E-2</v>
      </c>
      <c r="AY206" s="425">
        <f t="shared" si="561"/>
        <v>4.0133626370757743E-2</v>
      </c>
      <c r="AZ206" s="425">
        <f t="shared" si="561"/>
        <v>3.8651856486228167E-2</v>
      </c>
      <c r="BA206" s="425">
        <f t="shared" ref="BA206:BB206" si="562">BA179/BA55</f>
        <v>4.0421886189678971E-2</v>
      </c>
      <c r="BB206" s="425">
        <f t="shared" si="562"/>
        <v>3.8323217343963344E-2</v>
      </c>
      <c r="BC206" s="425">
        <f t="shared" ref="BC206:BD206" si="563">BC179/BC55</f>
        <v>3.8884965611935655E-2</v>
      </c>
      <c r="BD206" s="425">
        <f t="shared" si="563"/>
        <v>3.9588955286147094E-2</v>
      </c>
      <c r="BE206" s="425">
        <f t="shared" ref="BE206:BG206" si="564">BE179/BE55</f>
        <v>3.6594481847611E-2</v>
      </c>
      <c r="BF206" s="425">
        <f t="shared" si="564"/>
        <v>3.897102880117146E-2</v>
      </c>
      <c r="BG206" s="425">
        <f t="shared" si="564"/>
        <v>3.8022150187733694E-2</v>
      </c>
      <c r="BH206" s="425">
        <f t="shared" ref="BH206:BL206" si="565">BH179/BH55</f>
        <v>3.8820627086249213E-2</v>
      </c>
      <c r="BI206" s="426">
        <f t="shared" si="565"/>
        <v>3.785509443699598E-2</v>
      </c>
      <c r="BJ206" s="425">
        <f t="shared" si="565"/>
        <v>3.6880291535585683E-2</v>
      </c>
      <c r="BK206" s="425">
        <f t="shared" si="565"/>
        <v>3.6235269700447735E-2</v>
      </c>
      <c r="BL206" s="425">
        <f t="shared" si="565"/>
        <v>3.6443775819237648E-2</v>
      </c>
    </row>
    <row r="207" spans="1:64">
      <c r="A207" s="76"/>
      <c r="B207" s="196"/>
      <c r="C207" s="196"/>
      <c r="D207" s="196"/>
      <c r="E207" s="196"/>
      <c r="F207" s="196"/>
      <c r="G207" s="196"/>
      <c r="H207" s="196"/>
      <c r="I207" s="196"/>
      <c r="J207" s="196"/>
      <c r="K207" s="196"/>
      <c r="L207" s="196"/>
      <c r="M207" s="197"/>
      <c r="N207" s="196"/>
      <c r="O207" s="196"/>
      <c r="P207" s="196"/>
      <c r="Q207" s="196"/>
      <c r="R207" s="196"/>
      <c r="S207" s="196"/>
      <c r="T207" s="196"/>
      <c r="U207" s="196"/>
      <c r="V207" s="196"/>
      <c r="W207" s="196"/>
      <c r="X207" s="196"/>
      <c r="Y207" s="197"/>
      <c r="Z207" s="173"/>
      <c r="AA207" s="173"/>
      <c r="AB207" s="173"/>
      <c r="AC207" s="173"/>
      <c r="AD207" s="173"/>
      <c r="AE207" s="173"/>
      <c r="AF207" s="173"/>
      <c r="AG207" s="173"/>
      <c r="AH207" s="173"/>
      <c r="AI207" s="173"/>
      <c r="AJ207" s="173"/>
      <c r="AK207" s="205"/>
      <c r="AL207" s="173"/>
      <c r="AM207" s="173"/>
      <c r="AN207" s="173"/>
      <c r="AO207" s="173"/>
      <c r="AP207" s="173"/>
      <c r="AQ207" s="173"/>
      <c r="AR207" s="173"/>
      <c r="AS207" s="173"/>
      <c r="AT207" s="173"/>
      <c r="AU207" s="173"/>
      <c r="AV207" s="173"/>
      <c r="AW207" s="205"/>
      <c r="AX207" s="173"/>
      <c r="AY207" s="173"/>
      <c r="AZ207" s="173"/>
      <c r="BA207" s="173"/>
      <c r="BB207" s="173"/>
      <c r="BC207" s="173"/>
      <c r="BD207" s="173"/>
      <c r="BE207" s="173"/>
      <c r="BF207" s="173"/>
      <c r="BG207" s="173"/>
      <c r="BH207" s="173"/>
      <c r="BI207" s="205"/>
      <c r="BJ207" s="173"/>
      <c r="BK207" s="173"/>
      <c r="BL207" s="173"/>
    </row>
    <row r="208" spans="1:64">
      <c r="A208" s="76" t="s">
        <v>236</v>
      </c>
      <c r="B208" s="196"/>
      <c r="C208" s="196"/>
      <c r="D208" s="196"/>
      <c r="E208" s="196"/>
      <c r="F208" s="196"/>
      <c r="G208" s="196"/>
      <c r="H208" s="196"/>
      <c r="I208" s="196"/>
      <c r="J208" s="196"/>
      <c r="K208" s="196"/>
      <c r="L208" s="196"/>
      <c r="M208" s="197"/>
      <c r="N208" s="196"/>
      <c r="O208" s="196"/>
      <c r="P208" s="196"/>
      <c r="Q208" s="196"/>
      <c r="R208" s="196"/>
      <c r="S208" s="196"/>
      <c r="T208" s="196"/>
      <c r="U208" s="196"/>
      <c r="V208" s="196"/>
      <c r="W208" s="196"/>
      <c r="X208" s="196"/>
      <c r="Y208" s="197"/>
      <c r="Z208" s="173">
        <f t="shared" si="498"/>
        <v>0.29581819512191587</v>
      </c>
      <c r="AA208" s="173">
        <f t="shared" si="559"/>
        <v>0.33034017900085838</v>
      </c>
      <c r="AB208" s="173">
        <f t="shared" si="559"/>
        <v>0.28977052807610337</v>
      </c>
      <c r="AC208" s="173">
        <f t="shared" si="559"/>
        <v>0.23415360256034706</v>
      </c>
      <c r="AD208" s="173">
        <f t="shared" si="559"/>
        <v>0.32875569296990831</v>
      </c>
      <c r="AE208" s="173">
        <f t="shared" si="559"/>
        <v>0.32519087850422129</v>
      </c>
      <c r="AF208" s="173">
        <f t="shared" si="559"/>
        <v>0.27778485893365568</v>
      </c>
      <c r="AG208" s="173">
        <f t="shared" si="559"/>
        <v>0.32408408858517951</v>
      </c>
      <c r="AH208" s="173">
        <f t="shared" si="559"/>
        <v>0.32781819061207707</v>
      </c>
      <c r="AI208" s="173">
        <f t="shared" si="559"/>
        <v>9.7355612591069646E-2</v>
      </c>
      <c r="AJ208" s="173">
        <f t="shared" si="559"/>
        <v>0.28944607210915069</v>
      </c>
      <c r="AK208" s="205">
        <f t="shared" si="559"/>
        <v>0.33149247061911219</v>
      </c>
      <c r="AL208" s="173">
        <f t="shared" si="559"/>
        <v>0.24421699286434267</v>
      </c>
      <c r="AM208" s="173">
        <f t="shared" si="559"/>
        <v>0.33711603151224628</v>
      </c>
      <c r="AN208" s="173">
        <f t="shared" si="559"/>
        <v>0.32524555765995644</v>
      </c>
      <c r="AO208" s="173">
        <f t="shared" si="559"/>
        <v>0.32485007417567036</v>
      </c>
      <c r="AP208" s="173">
        <f t="shared" si="559"/>
        <v>0.27997811967096164</v>
      </c>
      <c r="AQ208" s="173">
        <f t="shared" si="559"/>
        <v>0.29021369706710082</v>
      </c>
      <c r="AR208" s="173">
        <f t="shared" si="559"/>
        <v>0.27772746446381841</v>
      </c>
      <c r="AS208" s="173">
        <f t="shared" si="559"/>
        <v>0.33218759202905668</v>
      </c>
      <c r="AT208" s="173">
        <f t="shared" si="559"/>
        <v>0.28200167425487721</v>
      </c>
      <c r="AU208" s="173">
        <f t="shared" si="559"/>
        <v>0.287933224728596</v>
      </c>
      <c r="AV208" s="173">
        <f t="shared" ref="AV208:AW208" si="566">AV181/AV57</f>
        <v>0.32116207520635842</v>
      </c>
      <c r="AW208" s="205">
        <f t="shared" si="566"/>
        <v>0.3253588288929572</v>
      </c>
      <c r="AX208" s="173">
        <f t="shared" ref="AX208:AZ208" si="567">AX181/AX57</f>
        <v>0.29841646904404334</v>
      </c>
      <c r="AY208" s="173">
        <f t="shared" si="567"/>
        <v>0.2767305416812989</v>
      </c>
      <c r="AZ208" s="173">
        <f t="shared" si="567"/>
        <v>0.31838929539587058</v>
      </c>
      <c r="BA208" s="173">
        <f t="shared" ref="BA208:BB208" si="568">BA181/BA57</f>
        <v>0.32247118587978457</v>
      </c>
      <c r="BB208" s="173">
        <f t="shared" si="568"/>
        <v>0.33585323076444629</v>
      </c>
      <c r="BC208" s="173">
        <f t="shared" ref="BC208:BD208" si="569">BC181/BC57</f>
        <v>0.31241858056068145</v>
      </c>
      <c r="BD208" s="173">
        <f t="shared" si="569"/>
        <v>0.34073807009863261</v>
      </c>
      <c r="BE208" s="173">
        <f t="shared" ref="BE208:BG208" si="570">BE181/BE57</f>
        <v>0.35535515426189807</v>
      </c>
      <c r="BF208" s="173">
        <f t="shared" si="570"/>
        <v>0.31695782138904721</v>
      </c>
      <c r="BG208" s="173">
        <f t="shared" si="570"/>
        <v>0.31695782138904721</v>
      </c>
      <c r="BH208" s="173">
        <f t="shared" ref="BH208:BL208" si="571">BH181/BH57</f>
        <v>0.31695782138904721</v>
      </c>
      <c r="BI208" s="205">
        <f t="shared" si="571"/>
        <v>0.31695782138904721</v>
      </c>
      <c r="BJ208" s="173">
        <f t="shared" si="571"/>
        <v>0.31695782138904721</v>
      </c>
      <c r="BK208" s="173">
        <f t="shared" si="571"/>
        <v>0.31695782138904721</v>
      </c>
      <c r="BL208" s="173">
        <f t="shared" si="571"/>
        <v>0.31695782138904721</v>
      </c>
    </row>
    <row r="209" spans="1:64">
      <c r="A209" s="76" t="s">
        <v>268</v>
      </c>
      <c r="B209" s="196"/>
      <c r="C209" s="196"/>
      <c r="D209" s="196"/>
      <c r="E209" s="196"/>
      <c r="F209" s="196"/>
      <c r="G209" s="196"/>
      <c r="H209" s="196"/>
      <c r="I209" s="196"/>
      <c r="J209" s="196"/>
      <c r="K209" s="196"/>
      <c r="L209" s="196"/>
      <c r="M209" s="197"/>
      <c r="N209" s="196"/>
      <c r="O209" s="196"/>
      <c r="P209" s="196"/>
      <c r="Q209" s="196"/>
      <c r="R209" s="196"/>
      <c r="S209" s="196"/>
      <c r="T209" s="196"/>
      <c r="U209" s="196"/>
      <c r="V209" s="196"/>
      <c r="W209" s="196"/>
      <c r="X209" s="196"/>
      <c r="Y209" s="197"/>
      <c r="Z209" s="173">
        <f t="shared" si="498"/>
        <v>0.75795796240612634</v>
      </c>
      <c r="AA209" s="173">
        <f t="shared" si="559"/>
        <v>0.66776084156080595</v>
      </c>
      <c r="AB209" s="173">
        <f t="shared" si="559"/>
        <v>0.77178134457541891</v>
      </c>
      <c r="AC209" s="173">
        <f t="shared" si="559"/>
        <v>0.2885174590291737</v>
      </c>
      <c r="AD209" s="173">
        <f t="shared" si="559"/>
        <v>0.69038096046866826</v>
      </c>
      <c r="AE209" s="173">
        <f t="shared" si="559"/>
        <v>0.68630060120240488</v>
      </c>
      <c r="AF209" s="173">
        <f t="shared" si="559"/>
        <v>-0.1293713894995524</v>
      </c>
      <c r="AG209" s="173">
        <f t="shared" si="559"/>
        <v>0.35165845037485793</v>
      </c>
      <c r="AH209" s="173">
        <f t="shared" si="559"/>
        <v>0.68056251346228192</v>
      </c>
      <c r="AI209" s="173">
        <f t="shared" si="559"/>
        <v>0.25750915101774213</v>
      </c>
      <c r="AJ209" s="173">
        <f t="shared" si="559"/>
        <v>0.66540866750174099</v>
      </c>
      <c r="AK209" s="205">
        <f t="shared" si="559"/>
        <v>0.67699611369083157</v>
      </c>
      <c r="AL209" s="173">
        <f t="shared" si="559"/>
        <v>0.6941291671659906</v>
      </c>
      <c r="AM209" s="173">
        <f t="shared" si="559"/>
        <v>0.63082148183037068</v>
      </c>
      <c r="AN209" s="173">
        <f t="shared" si="559"/>
        <v>0.63128883806118252</v>
      </c>
      <c r="AO209" s="173">
        <f t="shared" si="559"/>
        <v>0.699201009741793</v>
      </c>
      <c r="AP209" s="173">
        <f t="shared" si="559"/>
        <v>0.47566233405951425</v>
      </c>
      <c r="AQ209" s="173">
        <f t="shared" si="559"/>
        <v>-1.5031443658480288</v>
      </c>
      <c r="AR209" s="173">
        <f t="shared" si="559"/>
        <v>0.64602704859427018</v>
      </c>
      <c r="AS209" s="173">
        <f t="shared" si="559"/>
        <v>0.65435985377943628</v>
      </c>
      <c r="AT209" s="173">
        <f t="shared" si="559"/>
        <v>0.64765164082462645</v>
      </c>
      <c r="AU209" s="173">
        <f t="shared" si="559"/>
        <v>0.64225981272177135</v>
      </c>
      <c r="AV209" s="173">
        <f t="shared" ref="AV209:AW209" si="572">AV182/AV58</f>
        <v>0.74832604223745325</v>
      </c>
      <c r="AW209" s="205">
        <f t="shared" si="572"/>
        <v>0.6688028922578807</v>
      </c>
      <c r="AX209" s="173">
        <f t="shared" ref="AX209:AZ209" si="573">AX182/AX58</f>
        <v>0.49180168216024794</v>
      </c>
      <c r="AY209" s="173">
        <f t="shared" si="573"/>
        <v>0.54208418651950119</v>
      </c>
      <c r="AZ209" s="173">
        <f t="shared" si="573"/>
        <v>0.50030156572386519</v>
      </c>
      <c r="BA209" s="173">
        <f t="shared" ref="BA209:BB209" si="574">BA182/BA58</f>
        <v>0.6661465144305615</v>
      </c>
      <c r="BB209" s="173">
        <f t="shared" si="574"/>
        <v>0.58215988237701499</v>
      </c>
      <c r="BC209" s="173">
        <f t="shared" ref="BC209:BD209" si="575">BC182/BC58</f>
        <v>0.64029088873312512</v>
      </c>
      <c r="BD209" s="173">
        <f t="shared" si="575"/>
        <v>0.53250610201831228</v>
      </c>
      <c r="BE209" s="173">
        <f t="shared" ref="BE209:BG209" si="576">BE182/BE58</f>
        <v>0.62199730975335998</v>
      </c>
      <c r="BF209" s="173">
        <f t="shared" si="576"/>
        <v>0.56528598473983127</v>
      </c>
      <c r="BG209" s="173">
        <f t="shared" si="576"/>
        <v>0.56528598473983138</v>
      </c>
      <c r="BH209" s="173">
        <f t="shared" ref="BH209:BL209" si="577">BH182/BH58</f>
        <v>0.56528598473983127</v>
      </c>
      <c r="BI209" s="205">
        <f t="shared" si="577"/>
        <v>0.56528598473983127</v>
      </c>
      <c r="BJ209" s="173">
        <f t="shared" si="577"/>
        <v>0.56528598473983127</v>
      </c>
      <c r="BK209" s="173">
        <f t="shared" si="577"/>
        <v>0.56528598473983127</v>
      </c>
      <c r="BL209" s="173">
        <f t="shared" si="577"/>
        <v>0.56528598473983127</v>
      </c>
    </row>
    <row r="210" spans="1:64" ht="16" thickBot="1">
      <c r="A210" s="78" t="s">
        <v>237</v>
      </c>
      <c r="B210" s="203"/>
      <c r="C210" s="203"/>
      <c r="D210" s="203"/>
      <c r="E210" s="203"/>
      <c r="F210" s="203"/>
      <c r="G210" s="203"/>
      <c r="H210" s="203"/>
      <c r="I210" s="203"/>
      <c r="J210" s="203"/>
      <c r="K210" s="203"/>
      <c r="L210" s="203"/>
      <c r="M210" s="295"/>
      <c r="N210" s="203"/>
      <c r="O210" s="203"/>
      <c r="P210" s="203"/>
      <c r="Q210" s="203"/>
      <c r="R210" s="203"/>
      <c r="S210" s="203"/>
      <c r="T210" s="203"/>
      <c r="U210" s="203"/>
      <c r="V210" s="203"/>
      <c r="W210" s="203"/>
      <c r="X210" s="203"/>
      <c r="Y210" s="295"/>
      <c r="Z210" s="427">
        <f t="shared" si="498"/>
        <v>0.13822796875865498</v>
      </c>
      <c r="AA210" s="427">
        <f t="shared" si="559"/>
        <v>0.13926678182639873</v>
      </c>
      <c r="AB210" s="427">
        <f t="shared" si="559"/>
        <v>0.1465910625175153</v>
      </c>
      <c r="AC210" s="427">
        <f t="shared" si="559"/>
        <v>0.13779746703443163</v>
      </c>
      <c r="AD210" s="427">
        <f t="shared" si="559"/>
        <v>0.13416605483826818</v>
      </c>
      <c r="AE210" s="427">
        <f t="shared" si="559"/>
        <v>0.16543611156056964</v>
      </c>
      <c r="AF210" s="427">
        <f t="shared" si="559"/>
        <v>0.15071759865360551</v>
      </c>
      <c r="AG210" s="427">
        <f t="shared" si="559"/>
        <v>0.1576018510853536</v>
      </c>
      <c r="AH210" s="427">
        <f t="shared" si="559"/>
        <v>0.16714158580519331</v>
      </c>
      <c r="AI210" s="427">
        <f t="shared" si="559"/>
        <v>0.10792414975635657</v>
      </c>
      <c r="AJ210" s="427">
        <f t="shared" si="559"/>
        <v>0.15569638866338631</v>
      </c>
      <c r="AK210" s="428">
        <f t="shared" si="559"/>
        <v>0.12496799959584422</v>
      </c>
      <c r="AL210" s="427">
        <f t="shared" si="559"/>
        <v>0.13755931956813028</v>
      </c>
      <c r="AM210" s="427">
        <f t="shared" si="559"/>
        <v>0.17705601477050747</v>
      </c>
      <c r="AN210" s="427">
        <f t="shared" si="559"/>
        <v>0.15553739142245068</v>
      </c>
      <c r="AO210" s="427">
        <f t="shared" si="559"/>
        <v>0.16431005228904366</v>
      </c>
      <c r="AP210" s="427">
        <f t="shared" si="559"/>
        <v>0.12054843319544639</v>
      </c>
      <c r="AQ210" s="427">
        <f t="shared" si="559"/>
        <v>0.13196976406375144</v>
      </c>
      <c r="AR210" s="427">
        <f t="shared" si="559"/>
        <v>6.5687555987603605E-2</v>
      </c>
      <c r="AS210" s="427">
        <f t="shared" si="559"/>
        <v>4.2986806391655356E-2</v>
      </c>
      <c r="AT210" s="427">
        <f t="shared" si="559"/>
        <v>4.8564907962672633E-2</v>
      </c>
      <c r="AU210" s="427">
        <f t="shared" si="559"/>
        <v>5.5472105297346572E-2</v>
      </c>
      <c r="AV210" s="427">
        <f t="shared" ref="AV210:AW210" si="578">AV183/AV59</f>
        <v>5.4395344264190029E-2</v>
      </c>
      <c r="AW210" s="428">
        <f t="shared" si="578"/>
        <v>4.9993570201824988E-2</v>
      </c>
      <c r="AX210" s="427">
        <f t="shared" ref="AX210:AZ210" si="579">AX183/AX59</f>
        <v>4.2909775669658055E-2</v>
      </c>
      <c r="AY210" s="427">
        <f t="shared" si="579"/>
        <v>5.7296876253699745E-2</v>
      </c>
      <c r="AZ210" s="427">
        <f t="shared" si="579"/>
        <v>5.4189911808978475E-2</v>
      </c>
      <c r="BA210" s="427">
        <f t="shared" ref="BA210:BB210" si="580">BA183/BA59</f>
        <v>5.3064176491838429E-2</v>
      </c>
      <c r="BB210" s="427">
        <f t="shared" si="580"/>
        <v>4.3761357212609479E-2</v>
      </c>
      <c r="BC210" s="427">
        <f t="shared" ref="BC210:BD210" si="581">BC183/BC59</f>
        <v>4.5152857489277116E-2</v>
      </c>
      <c r="BD210" s="427">
        <f t="shared" si="581"/>
        <v>4.8443174021871427E-2</v>
      </c>
      <c r="BE210" s="427">
        <f t="shared" ref="BE210:BG210" si="582">BE183/BE59</f>
        <v>4.5160528550423192E-2</v>
      </c>
      <c r="BF210" s="427">
        <f t="shared" si="582"/>
        <v>3.6309712431074781E-2</v>
      </c>
      <c r="BG210" s="427">
        <f t="shared" si="582"/>
        <v>5.1613060992332989E-2</v>
      </c>
      <c r="BH210" s="427">
        <f t="shared" ref="BH210:BL210" si="583">BH183/BH59</f>
        <v>5.4410583815396735E-2</v>
      </c>
      <c r="BI210" s="428">
        <f t="shared" si="583"/>
        <v>4.7068770440079025E-2</v>
      </c>
      <c r="BJ210" s="427">
        <f t="shared" si="583"/>
        <v>4.8800044154149291E-2</v>
      </c>
      <c r="BK210" s="427">
        <f t="shared" si="583"/>
        <v>5.110733308282181E-2</v>
      </c>
      <c r="BL210" s="427">
        <f t="shared" si="583"/>
        <v>4.997472467286105E-2</v>
      </c>
    </row>
    <row r="213" spans="1:64">
      <c r="A213" s="98" t="s">
        <v>116</v>
      </c>
    </row>
    <row r="214" spans="1:64" ht="16" thickBot="1"/>
    <row r="215" spans="1:64">
      <c r="A215" s="100" t="s">
        <v>286</v>
      </c>
      <c r="B215" s="101">
        <v>39448</v>
      </c>
      <c r="C215" s="101">
        <v>39479</v>
      </c>
      <c r="D215" s="101">
        <v>39508</v>
      </c>
      <c r="E215" s="101">
        <v>39539</v>
      </c>
      <c r="F215" s="101">
        <v>39569</v>
      </c>
      <c r="G215" s="101">
        <v>39600</v>
      </c>
      <c r="H215" s="101">
        <v>39630</v>
      </c>
      <c r="I215" s="101">
        <v>39661</v>
      </c>
      <c r="J215" s="101">
        <v>39692</v>
      </c>
      <c r="K215" s="101">
        <v>39722</v>
      </c>
      <c r="L215" s="101">
        <v>39753</v>
      </c>
      <c r="M215" s="102">
        <v>39783</v>
      </c>
      <c r="N215" s="101">
        <v>39814</v>
      </c>
      <c r="O215" s="101">
        <v>39845</v>
      </c>
      <c r="P215" s="101">
        <v>39873</v>
      </c>
      <c r="Q215" s="101">
        <v>39904</v>
      </c>
      <c r="R215" s="101">
        <v>39934</v>
      </c>
      <c r="S215" s="101">
        <v>39965</v>
      </c>
      <c r="T215" s="101">
        <v>39995</v>
      </c>
      <c r="U215" s="101">
        <v>40026</v>
      </c>
      <c r="V215" s="101">
        <v>40057</v>
      </c>
      <c r="W215" s="101">
        <v>40087</v>
      </c>
      <c r="X215" s="101">
        <v>40118</v>
      </c>
      <c r="Y215" s="102">
        <v>40148</v>
      </c>
      <c r="Z215" s="101">
        <v>40179</v>
      </c>
      <c r="AA215" s="101">
        <v>40210</v>
      </c>
      <c r="AB215" s="101">
        <v>40238</v>
      </c>
      <c r="AC215" s="101">
        <v>40269</v>
      </c>
      <c r="AD215" s="101">
        <v>40299</v>
      </c>
      <c r="AE215" s="101">
        <v>40330</v>
      </c>
      <c r="AF215" s="101">
        <v>40360</v>
      </c>
      <c r="AG215" s="101">
        <v>40391</v>
      </c>
      <c r="AH215" s="101">
        <v>40422</v>
      </c>
      <c r="AI215" s="101">
        <v>40452</v>
      </c>
      <c r="AJ215" s="101">
        <v>40483</v>
      </c>
      <c r="AK215" s="102">
        <v>40513</v>
      </c>
      <c r="AL215" s="101">
        <v>40544</v>
      </c>
      <c r="AM215" s="101">
        <v>40575</v>
      </c>
      <c r="AN215" s="101">
        <v>40603</v>
      </c>
      <c r="AO215" s="101">
        <v>40634</v>
      </c>
      <c r="AP215" s="101">
        <v>40664</v>
      </c>
      <c r="AQ215" s="101">
        <v>40695</v>
      </c>
      <c r="AR215" s="101">
        <v>40725</v>
      </c>
      <c r="AS215" s="101">
        <v>40756</v>
      </c>
      <c r="AT215" s="101">
        <v>40787</v>
      </c>
      <c r="AU215" s="101">
        <v>40817</v>
      </c>
      <c r="AV215" s="101">
        <v>40848</v>
      </c>
      <c r="AW215" s="102">
        <v>40878</v>
      </c>
      <c r="AX215" s="101">
        <v>40909</v>
      </c>
      <c r="AY215" s="101">
        <v>40940</v>
      </c>
      <c r="AZ215" s="101">
        <v>40969</v>
      </c>
      <c r="BA215" s="101">
        <v>41000</v>
      </c>
      <c r="BB215" s="101">
        <v>41030</v>
      </c>
      <c r="BC215" s="101">
        <v>41061</v>
      </c>
      <c r="BD215" s="101">
        <v>41091</v>
      </c>
      <c r="BE215" s="101">
        <v>41122</v>
      </c>
      <c r="BF215" s="101">
        <v>41153</v>
      </c>
      <c r="BG215" s="101">
        <v>41183</v>
      </c>
    </row>
    <row r="216" spans="1:64">
      <c r="A216" s="75" t="s">
        <v>255</v>
      </c>
      <c r="M216" s="115"/>
      <c r="Y216" s="115"/>
      <c r="AK216" s="115"/>
      <c r="AW216" s="115"/>
    </row>
    <row r="217" spans="1:64">
      <c r="A217" s="76" t="s">
        <v>140</v>
      </c>
      <c r="B217" s="196"/>
      <c r="C217" s="196"/>
      <c r="D217" s="196"/>
      <c r="E217" s="196"/>
      <c r="F217" s="196"/>
      <c r="G217" s="196"/>
      <c r="H217" s="196"/>
      <c r="I217" s="196"/>
      <c r="J217" s="196"/>
      <c r="K217" s="196"/>
      <c r="L217" s="196"/>
      <c r="M217" s="197"/>
      <c r="N217" s="196"/>
      <c r="O217" s="196"/>
      <c r="P217" s="196"/>
      <c r="Q217" s="196"/>
      <c r="R217" s="196"/>
      <c r="S217" s="196"/>
      <c r="T217" s="196"/>
      <c r="U217" s="196"/>
      <c r="V217" s="196"/>
      <c r="W217" s="196"/>
      <c r="X217" s="196"/>
      <c r="Y217" s="197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K217" s="205"/>
      <c r="AL217" s="173"/>
      <c r="AM217" s="173"/>
      <c r="AN217" s="173"/>
      <c r="AO217" s="173"/>
      <c r="AP217" s="173"/>
      <c r="AQ217" s="173"/>
      <c r="AR217" s="173"/>
      <c r="AS217" s="173"/>
      <c r="AT217" s="173"/>
      <c r="AU217" s="173"/>
      <c r="AV217" s="173"/>
      <c r="AW217" s="205"/>
      <c r="AX217" s="173"/>
      <c r="AY217" s="173"/>
      <c r="AZ217" s="173"/>
      <c r="BA217" s="173"/>
      <c r="BB217" s="173"/>
      <c r="BC217" s="173"/>
      <c r="BD217" s="173"/>
      <c r="BE217" s="173"/>
      <c r="BF217" s="173"/>
      <c r="BG217" s="173"/>
    </row>
    <row r="218" spans="1:64">
      <c r="A218" s="76" t="s">
        <v>78</v>
      </c>
      <c r="B218" s="196"/>
      <c r="C218" s="196"/>
      <c r="D218" s="196"/>
      <c r="E218" s="196"/>
      <c r="F218" s="196"/>
      <c r="G218" s="196"/>
      <c r="H218" s="196"/>
      <c r="I218" s="196"/>
      <c r="J218" s="196"/>
      <c r="K218" s="196"/>
      <c r="L218" s="196"/>
      <c r="M218" s="197"/>
      <c r="N218" s="196"/>
      <c r="O218" s="196"/>
      <c r="P218" s="196"/>
      <c r="Q218" s="196"/>
      <c r="R218" s="196"/>
      <c r="S218" s="196"/>
      <c r="T218" s="196"/>
      <c r="U218" s="196"/>
      <c r="V218" s="196"/>
      <c r="W218" s="196"/>
      <c r="X218" s="196"/>
      <c r="Y218" s="197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K218" s="205"/>
      <c r="AL218" s="173"/>
      <c r="AM218" s="173"/>
      <c r="AN218" s="173"/>
      <c r="AO218" s="173"/>
      <c r="AP218" s="173"/>
      <c r="AQ218" s="173"/>
      <c r="AR218" s="173"/>
      <c r="AS218" s="173"/>
      <c r="AT218" s="173"/>
      <c r="AU218" s="173"/>
      <c r="AV218" s="173"/>
      <c r="AW218" s="205"/>
      <c r="AX218" s="173"/>
      <c r="AY218" s="173"/>
      <c r="AZ218" s="173"/>
      <c r="BA218" s="173"/>
      <c r="BB218" s="173"/>
      <c r="BC218" s="173"/>
      <c r="BD218" s="173"/>
      <c r="BE218" s="173"/>
      <c r="BF218" s="173"/>
      <c r="BG218" s="173"/>
    </row>
    <row r="219" spans="1:64">
      <c r="A219" s="76" t="s">
        <v>190</v>
      </c>
      <c r="B219" s="196"/>
      <c r="C219" s="196"/>
      <c r="D219" s="196"/>
      <c r="E219" s="196"/>
      <c r="F219" s="196"/>
      <c r="G219" s="196"/>
      <c r="H219" s="196"/>
      <c r="I219" s="196"/>
      <c r="J219" s="196"/>
      <c r="K219" s="196"/>
      <c r="L219" s="196"/>
      <c r="M219" s="197"/>
      <c r="N219" s="196"/>
      <c r="O219" s="196"/>
      <c r="P219" s="196"/>
      <c r="Q219" s="196"/>
      <c r="R219" s="196"/>
      <c r="S219" s="196"/>
      <c r="T219" s="196"/>
      <c r="U219" s="196"/>
      <c r="V219" s="196"/>
      <c r="W219" s="196"/>
      <c r="X219" s="196"/>
      <c r="Y219" s="197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K219" s="205"/>
      <c r="AL219" s="173"/>
      <c r="AM219" s="173"/>
      <c r="AN219" s="173"/>
      <c r="AO219" s="173"/>
      <c r="AP219" s="173"/>
      <c r="AQ219" s="173"/>
      <c r="AR219" s="173"/>
      <c r="AS219" s="173"/>
      <c r="AT219" s="173"/>
      <c r="AU219" s="173"/>
      <c r="AV219" s="173"/>
      <c r="AW219" s="205"/>
      <c r="AX219" s="173"/>
      <c r="AY219" s="173"/>
      <c r="AZ219" s="173"/>
      <c r="BA219" s="173"/>
      <c r="BB219" s="173"/>
      <c r="BC219" s="173"/>
      <c r="BD219" s="173"/>
      <c r="BE219" s="173"/>
      <c r="BF219" s="173"/>
      <c r="BG219" s="173"/>
    </row>
    <row r="220" spans="1:64">
      <c r="A220" s="77" t="s">
        <v>191</v>
      </c>
      <c r="B220" s="202"/>
      <c r="C220" s="202"/>
      <c r="D220" s="202"/>
      <c r="E220" s="202"/>
      <c r="F220" s="202"/>
      <c r="G220" s="202"/>
      <c r="H220" s="202"/>
      <c r="I220" s="202"/>
      <c r="J220" s="202"/>
      <c r="K220" s="202"/>
      <c r="L220" s="202"/>
      <c r="M220" s="294"/>
      <c r="N220" s="202"/>
      <c r="O220" s="202"/>
      <c r="P220" s="202"/>
      <c r="Q220" s="202"/>
      <c r="R220" s="202"/>
      <c r="S220" s="202"/>
      <c r="T220" s="202"/>
      <c r="U220" s="202"/>
      <c r="V220" s="202"/>
      <c r="W220" s="202"/>
      <c r="X220" s="202"/>
      <c r="Y220" s="294"/>
      <c r="Z220" s="202">
        <f t="shared" ref="Z220:AU220" si="584">SUM(Z217:Z219)</f>
        <v>0</v>
      </c>
      <c r="AA220" s="202">
        <f t="shared" si="584"/>
        <v>0</v>
      </c>
      <c r="AB220" s="202">
        <f t="shared" si="584"/>
        <v>0</v>
      </c>
      <c r="AC220" s="202">
        <f t="shared" si="584"/>
        <v>0</v>
      </c>
      <c r="AD220" s="202">
        <f t="shared" si="584"/>
        <v>0</v>
      </c>
      <c r="AE220" s="202">
        <f t="shared" si="584"/>
        <v>0</v>
      </c>
      <c r="AF220" s="202">
        <f t="shared" si="584"/>
        <v>0</v>
      </c>
      <c r="AG220" s="202">
        <f t="shared" si="584"/>
        <v>0</v>
      </c>
      <c r="AH220" s="202">
        <f t="shared" si="584"/>
        <v>0</v>
      </c>
      <c r="AI220" s="202">
        <f t="shared" si="584"/>
        <v>0</v>
      </c>
      <c r="AJ220" s="202">
        <f t="shared" si="584"/>
        <v>0</v>
      </c>
      <c r="AK220" s="294">
        <f t="shared" si="584"/>
        <v>0</v>
      </c>
      <c r="AL220" s="202">
        <f t="shared" si="584"/>
        <v>0</v>
      </c>
      <c r="AM220" s="202">
        <f t="shared" si="584"/>
        <v>0</v>
      </c>
      <c r="AN220" s="202">
        <f t="shared" si="584"/>
        <v>0</v>
      </c>
      <c r="AO220" s="202">
        <f t="shared" si="584"/>
        <v>0</v>
      </c>
      <c r="AP220" s="202">
        <f t="shared" si="584"/>
        <v>0</v>
      </c>
      <c r="AQ220" s="202">
        <f t="shared" si="584"/>
        <v>0</v>
      </c>
      <c r="AR220" s="202">
        <f t="shared" si="584"/>
        <v>0</v>
      </c>
      <c r="AS220" s="202">
        <f t="shared" si="584"/>
        <v>0</v>
      </c>
      <c r="AT220" s="202">
        <f t="shared" si="584"/>
        <v>0</v>
      </c>
      <c r="AU220" s="202">
        <f t="shared" si="584"/>
        <v>0</v>
      </c>
      <c r="AV220" s="202">
        <f t="shared" ref="AV220:AZ220" si="585">SUM(AV217:AV219)</f>
        <v>0</v>
      </c>
      <c r="AW220" s="294">
        <f t="shared" si="585"/>
        <v>0</v>
      </c>
      <c r="AX220" s="202">
        <f t="shared" si="585"/>
        <v>0</v>
      </c>
      <c r="AY220" s="202">
        <f t="shared" si="585"/>
        <v>0</v>
      </c>
      <c r="AZ220" s="202">
        <f t="shared" si="585"/>
        <v>0</v>
      </c>
      <c r="BA220" s="202">
        <f t="shared" ref="BA220:BB220" si="586">SUM(BA217:BA219)</f>
        <v>0</v>
      </c>
      <c r="BB220" s="202">
        <f t="shared" si="586"/>
        <v>0</v>
      </c>
      <c r="BC220" s="202">
        <f t="shared" ref="BC220:BD220" si="587">SUM(BC217:BC219)</f>
        <v>0</v>
      </c>
      <c r="BD220" s="202">
        <f t="shared" si="587"/>
        <v>0</v>
      </c>
      <c r="BE220" s="202">
        <f t="shared" ref="BE220:BG220" si="588">SUM(BE217:BE219)</f>
        <v>0</v>
      </c>
      <c r="BF220" s="202">
        <f t="shared" si="588"/>
        <v>0</v>
      </c>
      <c r="BG220" s="202">
        <f t="shared" si="588"/>
        <v>0</v>
      </c>
    </row>
    <row r="221" spans="1:64">
      <c r="A221" s="76" t="s">
        <v>192</v>
      </c>
      <c r="B221" s="196"/>
      <c r="C221" s="196"/>
      <c r="D221" s="196"/>
      <c r="E221" s="196"/>
      <c r="F221" s="196"/>
      <c r="G221" s="196"/>
      <c r="H221" s="196"/>
      <c r="I221" s="196"/>
      <c r="J221" s="196"/>
      <c r="K221" s="196"/>
      <c r="L221" s="196"/>
      <c r="M221" s="197"/>
      <c r="N221" s="196"/>
      <c r="O221" s="196"/>
      <c r="P221" s="196"/>
      <c r="Q221" s="196"/>
      <c r="R221" s="196"/>
      <c r="S221" s="196"/>
      <c r="T221" s="196"/>
      <c r="U221" s="196"/>
      <c r="V221" s="196"/>
      <c r="W221" s="196"/>
      <c r="X221" s="196"/>
      <c r="Y221" s="197"/>
      <c r="Z221" s="196">
        <f t="shared" ref="Z221:AU221" si="589">Z47*Z73</f>
        <v>5.8293807351000009</v>
      </c>
      <c r="AA221" s="196">
        <f t="shared" si="589"/>
        <v>5.5898060618999992</v>
      </c>
      <c r="AB221" s="196">
        <f t="shared" si="589"/>
        <v>5.9238354701000002</v>
      </c>
      <c r="AC221" s="196">
        <f t="shared" si="589"/>
        <v>5.8569079892999998</v>
      </c>
      <c r="AD221" s="196">
        <f t="shared" si="589"/>
        <v>4.1576552145000001</v>
      </c>
      <c r="AE221" s="196">
        <f t="shared" si="589"/>
        <v>3.6151749349999998</v>
      </c>
      <c r="AF221" s="196">
        <f t="shared" si="589"/>
        <v>2.2521922175999998</v>
      </c>
      <c r="AG221" s="196">
        <f t="shared" si="589"/>
        <v>2.8060748020999999</v>
      </c>
      <c r="AH221" s="196">
        <f t="shared" si="589"/>
        <v>4.2318418589000002</v>
      </c>
      <c r="AI221" s="196">
        <f t="shared" si="589"/>
        <v>5.4369946485999998</v>
      </c>
      <c r="AJ221" s="196">
        <f t="shared" si="589"/>
        <v>5.6553110036999996</v>
      </c>
      <c r="AK221" s="197">
        <f t="shared" si="589"/>
        <v>4.4434779445000006</v>
      </c>
      <c r="AL221" s="196">
        <f t="shared" si="589"/>
        <v>5.6792315100000001</v>
      </c>
      <c r="AM221" s="196">
        <f t="shared" si="589"/>
        <v>5.3648479800000004</v>
      </c>
      <c r="AN221" s="196">
        <f t="shared" si="589"/>
        <v>4.3134258884999994</v>
      </c>
      <c r="AO221" s="196">
        <f t="shared" si="589"/>
        <v>4.3347579300000003</v>
      </c>
      <c r="AP221" s="196">
        <f t="shared" si="589"/>
        <v>3.9853264295999997</v>
      </c>
      <c r="AQ221" s="196">
        <f t="shared" si="589"/>
        <v>2.0779511336000001</v>
      </c>
      <c r="AR221" s="196">
        <f t="shared" si="589"/>
        <v>1.7505695999999999</v>
      </c>
      <c r="AS221" s="196">
        <f t="shared" si="589"/>
        <v>2.1683780514</v>
      </c>
      <c r="AT221" s="196">
        <f t="shared" si="589"/>
        <v>3.9414107988999998</v>
      </c>
      <c r="AU221" s="196">
        <f t="shared" si="589"/>
        <v>4.8780143454000005</v>
      </c>
      <c r="AV221" s="196">
        <f t="shared" ref="AV221:AW221" si="590">AV47*AV73</f>
        <v>4.2156676223999998</v>
      </c>
      <c r="AW221" s="197">
        <f t="shared" si="590"/>
        <v>8.4267885263999993</v>
      </c>
      <c r="AX221" s="196">
        <f t="shared" ref="AX221:AZ221" si="591">AX47*AX73</f>
        <v>4.2880446264000005</v>
      </c>
      <c r="AY221" s="196">
        <f t="shared" si="591"/>
        <v>4.1489052920000002</v>
      </c>
      <c r="AZ221" s="196">
        <f t="shared" si="591"/>
        <v>4.3426515710000002</v>
      </c>
      <c r="BA221" s="196">
        <f t="shared" ref="BA221:BB221" si="592">BA47*BA73</f>
        <v>4.3564899364</v>
      </c>
      <c r="BB221" s="196">
        <f t="shared" si="592"/>
        <v>3.8160882000000003</v>
      </c>
      <c r="BC221" s="196">
        <f t="shared" ref="BC221:BD221" si="593">BC47*BC73</f>
        <v>3.0182249214000003</v>
      </c>
      <c r="BD221" s="196">
        <f t="shared" si="593"/>
        <v>0</v>
      </c>
      <c r="BE221" s="196">
        <f t="shared" ref="BE221:BG221" si="594">BE47*BE73</f>
        <v>0</v>
      </c>
      <c r="BF221" s="196">
        <f t="shared" si="594"/>
        <v>0</v>
      </c>
      <c r="BG221" s="196">
        <f t="shared" si="594"/>
        <v>0</v>
      </c>
    </row>
    <row r="222" spans="1:64">
      <c r="A222" s="77" t="s">
        <v>238</v>
      </c>
      <c r="B222" s="202"/>
      <c r="C222" s="202"/>
      <c r="D222" s="202"/>
      <c r="E222" s="202"/>
      <c r="F222" s="202"/>
      <c r="G222" s="202"/>
      <c r="H222" s="202"/>
      <c r="I222" s="202"/>
      <c r="J222" s="202"/>
      <c r="K222" s="202"/>
      <c r="L222" s="202"/>
      <c r="M222" s="294"/>
      <c r="N222" s="202"/>
      <c r="O222" s="202"/>
      <c r="P222" s="202"/>
      <c r="Q222" s="202"/>
      <c r="R222" s="202"/>
      <c r="S222" s="202"/>
      <c r="T222" s="202"/>
      <c r="U222" s="202"/>
      <c r="V222" s="202"/>
      <c r="W222" s="202"/>
      <c r="X222" s="202"/>
      <c r="Y222" s="294"/>
      <c r="Z222" s="202">
        <f t="shared" ref="Z222:AU222" si="595">SUM(Z220:Z221)</f>
        <v>5.8293807351000009</v>
      </c>
      <c r="AA222" s="202">
        <f t="shared" si="595"/>
        <v>5.5898060618999992</v>
      </c>
      <c r="AB222" s="202">
        <f t="shared" si="595"/>
        <v>5.9238354701000002</v>
      </c>
      <c r="AC222" s="202">
        <f t="shared" si="595"/>
        <v>5.8569079892999998</v>
      </c>
      <c r="AD222" s="202">
        <f t="shared" si="595"/>
        <v>4.1576552145000001</v>
      </c>
      <c r="AE222" s="202">
        <f t="shared" si="595"/>
        <v>3.6151749349999998</v>
      </c>
      <c r="AF222" s="202">
        <f t="shared" si="595"/>
        <v>2.2521922175999998</v>
      </c>
      <c r="AG222" s="202">
        <f t="shared" si="595"/>
        <v>2.8060748020999999</v>
      </c>
      <c r="AH222" s="202">
        <f t="shared" si="595"/>
        <v>4.2318418589000002</v>
      </c>
      <c r="AI222" s="202">
        <f t="shared" si="595"/>
        <v>5.4369946485999998</v>
      </c>
      <c r="AJ222" s="202">
        <f t="shared" si="595"/>
        <v>5.6553110036999996</v>
      </c>
      <c r="AK222" s="294">
        <f t="shared" si="595"/>
        <v>4.4434779445000006</v>
      </c>
      <c r="AL222" s="202">
        <f t="shared" si="595"/>
        <v>5.6792315100000001</v>
      </c>
      <c r="AM222" s="202">
        <f t="shared" si="595"/>
        <v>5.3648479800000004</v>
      </c>
      <c r="AN222" s="202">
        <f t="shared" si="595"/>
        <v>4.3134258884999994</v>
      </c>
      <c r="AO222" s="202">
        <f t="shared" si="595"/>
        <v>4.3347579300000003</v>
      </c>
      <c r="AP222" s="202">
        <f t="shared" si="595"/>
        <v>3.9853264295999997</v>
      </c>
      <c r="AQ222" s="202">
        <f t="shared" si="595"/>
        <v>2.0779511336000001</v>
      </c>
      <c r="AR222" s="202">
        <f t="shared" si="595"/>
        <v>1.7505695999999999</v>
      </c>
      <c r="AS222" s="202">
        <f t="shared" si="595"/>
        <v>2.1683780514</v>
      </c>
      <c r="AT222" s="202">
        <f t="shared" si="595"/>
        <v>3.9414107988999998</v>
      </c>
      <c r="AU222" s="202">
        <f t="shared" si="595"/>
        <v>4.8780143454000005</v>
      </c>
      <c r="AV222" s="202">
        <f t="shared" ref="AV222:AW222" si="596">SUM(AV220:AV221)</f>
        <v>4.2156676223999998</v>
      </c>
      <c r="AW222" s="294">
        <f t="shared" si="596"/>
        <v>8.4267885263999993</v>
      </c>
      <c r="AX222" s="202">
        <f t="shared" ref="AX222:AZ222" si="597">SUM(AX220:AX221)</f>
        <v>4.2880446264000005</v>
      </c>
      <c r="AY222" s="202">
        <f t="shared" si="597"/>
        <v>4.1489052920000002</v>
      </c>
      <c r="AZ222" s="202">
        <f t="shared" si="597"/>
        <v>4.3426515710000002</v>
      </c>
      <c r="BA222" s="202">
        <f t="shared" ref="BA222:BB222" si="598">SUM(BA220:BA221)</f>
        <v>4.3564899364</v>
      </c>
      <c r="BB222" s="202">
        <f t="shared" si="598"/>
        <v>3.8160882000000003</v>
      </c>
      <c r="BC222" s="202">
        <f t="shared" ref="BC222:BD222" si="599">SUM(BC220:BC221)</f>
        <v>3.0182249214000003</v>
      </c>
      <c r="BD222" s="202">
        <f t="shared" si="599"/>
        <v>0</v>
      </c>
      <c r="BE222" s="202">
        <f t="shared" ref="BE222:BG222" si="600">SUM(BE220:BE221)</f>
        <v>0</v>
      </c>
      <c r="BF222" s="202">
        <f t="shared" si="600"/>
        <v>0</v>
      </c>
      <c r="BG222" s="202">
        <f t="shared" si="600"/>
        <v>0</v>
      </c>
    </row>
    <row r="223" spans="1:64">
      <c r="A223" s="76"/>
      <c r="B223" s="196"/>
      <c r="C223" s="196"/>
      <c r="D223" s="196"/>
      <c r="E223" s="196"/>
      <c r="F223" s="196"/>
      <c r="G223" s="196"/>
      <c r="H223" s="196"/>
      <c r="I223" s="196"/>
      <c r="J223" s="196"/>
      <c r="K223" s="196"/>
      <c r="L223" s="196"/>
      <c r="M223" s="197"/>
      <c r="N223" s="196"/>
      <c r="O223" s="196"/>
      <c r="P223" s="196"/>
      <c r="Q223" s="196"/>
      <c r="R223" s="196"/>
      <c r="S223" s="196"/>
      <c r="T223" s="196"/>
      <c r="U223" s="196"/>
      <c r="V223" s="196"/>
      <c r="W223" s="196"/>
      <c r="X223" s="196"/>
      <c r="Y223" s="197"/>
      <c r="Z223" s="196"/>
      <c r="AA223" s="196"/>
      <c r="AB223" s="196"/>
      <c r="AC223" s="196"/>
      <c r="AD223" s="196"/>
      <c r="AE223" s="196"/>
      <c r="AF223" s="196"/>
      <c r="AG223" s="196"/>
      <c r="AH223" s="196"/>
      <c r="AI223" s="196"/>
      <c r="AJ223" s="196"/>
      <c r="AK223" s="197"/>
      <c r="AL223" s="196"/>
      <c r="AM223" s="196"/>
      <c r="AN223" s="196"/>
      <c r="AO223" s="196"/>
      <c r="AP223" s="196"/>
      <c r="AQ223" s="196"/>
      <c r="AR223" s="196"/>
      <c r="AS223" s="196"/>
      <c r="AT223" s="196"/>
      <c r="AU223" s="196"/>
      <c r="AV223" s="196"/>
      <c r="AW223" s="197"/>
      <c r="AX223" s="196"/>
      <c r="AY223" s="196"/>
      <c r="AZ223" s="196"/>
      <c r="BA223" s="196"/>
      <c r="BB223" s="196"/>
      <c r="BC223" s="196"/>
      <c r="BD223" s="196"/>
      <c r="BE223" s="196"/>
      <c r="BF223" s="196"/>
      <c r="BG223" s="196"/>
    </row>
    <row r="224" spans="1:64">
      <c r="A224" s="76" t="s">
        <v>102</v>
      </c>
      <c r="B224" s="196"/>
      <c r="C224" s="196"/>
      <c r="D224" s="196"/>
      <c r="E224" s="196"/>
      <c r="F224" s="196"/>
      <c r="G224" s="196"/>
      <c r="H224" s="196"/>
      <c r="I224" s="196"/>
      <c r="J224" s="196">
        <f>J50*0.03</f>
        <v>0.5443209</v>
      </c>
      <c r="K224" s="196">
        <f t="shared" ref="K224:AU224" si="601">K50*0.03</f>
        <v>1.5257205300000001</v>
      </c>
      <c r="L224" s="196">
        <f t="shared" si="601"/>
        <v>2.2157392799999998</v>
      </c>
      <c r="M224" s="197">
        <f t="shared" si="601"/>
        <v>2.9868863699999997</v>
      </c>
      <c r="N224" s="196">
        <f t="shared" si="601"/>
        <v>4.2506051999999999</v>
      </c>
      <c r="O224" s="196">
        <f t="shared" si="601"/>
        <v>4.2955759200000001</v>
      </c>
      <c r="P224" s="196">
        <f t="shared" si="601"/>
        <v>5.4629128199999997</v>
      </c>
      <c r="Q224" s="196">
        <f t="shared" si="601"/>
        <v>5.6278159799999994</v>
      </c>
      <c r="R224" s="196">
        <f t="shared" si="601"/>
        <v>5.99157399</v>
      </c>
      <c r="S224" s="196">
        <f t="shared" si="601"/>
        <v>5.6586681300000006</v>
      </c>
      <c r="T224" s="196">
        <f t="shared" si="601"/>
        <v>5.5267149599999996</v>
      </c>
      <c r="U224" s="196">
        <f t="shared" si="601"/>
        <v>5.3228923500000001</v>
      </c>
      <c r="V224" s="196">
        <f t="shared" si="601"/>
        <v>6.3366359099999991</v>
      </c>
      <c r="W224" s="196">
        <f t="shared" si="601"/>
        <v>7.1533581599999998</v>
      </c>
      <c r="X224" s="196">
        <f t="shared" si="601"/>
        <v>7.2502303499999989</v>
      </c>
      <c r="Y224" s="197">
        <f t="shared" si="601"/>
        <v>7.5485935499999997</v>
      </c>
      <c r="Z224" s="196">
        <f t="shared" si="601"/>
        <v>8.9385070800000008</v>
      </c>
      <c r="AA224" s="196">
        <f t="shared" si="601"/>
        <v>7.8454272600000001</v>
      </c>
      <c r="AB224" s="196">
        <f t="shared" si="601"/>
        <v>8.7229163699999983</v>
      </c>
      <c r="AC224" s="196">
        <f t="shared" si="601"/>
        <v>8.1811066199999996</v>
      </c>
      <c r="AD224" s="196">
        <f t="shared" si="601"/>
        <v>8.5170313800000006</v>
      </c>
      <c r="AE224" s="196">
        <f t="shared" si="601"/>
        <v>7.3915598099999995</v>
      </c>
      <c r="AF224" s="196">
        <f t="shared" si="601"/>
        <v>7.0813610999999996</v>
      </c>
      <c r="AG224" s="196">
        <f t="shared" si="601"/>
        <v>6.7628399999999997</v>
      </c>
      <c r="AH224" s="196">
        <f t="shared" si="601"/>
        <v>7.4765371199999997</v>
      </c>
      <c r="AI224" s="196">
        <f t="shared" si="601"/>
        <v>7.8949882199999992</v>
      </c>
      <c r="AJ224" s="196">
        <f t="shared" si="601"/>
        <v>7.570473419999999</v>
      </c>
      <c r="AK224" s="197">
        <f t="shared" si="601"/>
        <v>7.9925964599999988</v>
      </c>
      <c r="AL224" s="196">
        <f t="shared" si="601"/>
        <v>8.9569743899999992</v>
      </c>
      <c r="AM224" s="196">
        <f t="shared" si="601"/>
        <v>7.5924995699999993</v>
      </c>
      <c r="AN224" s="196">
        <f t="shared" si="601"/>
        <v>8.0985498899999993</v>
      </c>
      <c r="AO224" s="196">
        <f t="shared" si="601"/>
        <v>7.23169488</v>
      </c>
      <c r="AP224" s="196">
        <f t="shared" si="601"/>
        <v>7.4341016399999997</v>
      </c>
      <c r="AQ224" s="196">
        <f t="shared" si="601"/>
        <v>6.7719604199999992</v>
      </c>
      <c r="AR224" s="196">
        <f t="shared" si="601"/>
        <v>4.8242077500000002</v>
      </c>
      <c r="AS224" s="196">
        <f t="shared" si="601"/>
        <v>2.8262079</v>
      </c>
      <c r="AT224" s="196">
        <f t="shared" si="601"/>
        <v>3.06721245</v>
      </c>
      <c r="AU224" s="196">
        <f t="shared" si="601"/>
        <v>3.5057178599999999</v>
      </c>
      <c r="AV224" s="196">
        <f t="shared" ref="AV224:AW224" si="602">AV50*0.03</f>
        <v>3.5186530500000002</v>
      </c>
      <c r="AW224" s="197">
        <f t="shared" si="602"/>
        <v>3.6817586699999998</v>
      </c>
      <c r="AX224" s="196">
        <f t="shared" ref="AX224:AZ224" si="603">AX50*0.03</f>
        <v>4.09002</v>
      </c>
      <c r="AY224" s="196">
        <f t="shared" si="603"/>
        <v>3.8182033199999998</v>
      </c>
      <c r="AZ224" s="196">
        <f t="shared" si="603"/>
        <v>3.5453164500000001</v>
      </c>
      <c r="BA224" s="196">
        <f t="shared" ref="BA224:BB224" si="604">BA50*0.03</f>
        <v>3.4351752599999998</v>
      </c>
      <c r="BB224" s="196">
        <f t="shared" si="604"/>
        <v>3.2720377200000001</v>
      </c>
      <c r="BC224" s="196">
        <f t="shared" ref="BC224:BD224" si="605">BC50*0.03</f>
        <v>2.6812203599999997</v>
      </c>
      <c r="BD224" s="196">
        <f t="shared" si="605"/>
        <v>2.5779619499999997</v>
      </c>
      <c r="BE224" s="196">
        <f t="shared" ref="BE224:BG224" si="606">BE50*0.03</f>
        <v>2.4001907400000002</v>
      </c>
      <c r="BF224" s="196">
        <f t="shared" si="606"/>
        <v>3.1384011554514606</v>
      </c>
      <c r="BG224" s="196">
        <f t="shared" si="606"/>
        <v>2.7386107939813247</v>
      </c>
    </row>
    <row r="225" spans="1:68">
      <c r="A225" s="76" t="s">
        <v>103</v>
      </c>
      <c r="B225" s="196"/>
      <c r="C225" s="196"/>
      <c r="D225" s="196"/>
      <c r="E225" s="196"/>
      <c r="F225" s="196"/>
      <c r="G225" s="196"/>
      <c r="H225" s="196"/>
      <c r="I225" s="196"/>
      <c r="J225" s="196"/>
      <c r="K225" s="196"/>
      <c r="L225" s="196"/>
      <c r="M225" s="197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7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7"/>
      <c r="AL225" s="196"/>
      <c r="AM225" s="196"/>
      <c r="AN225" s="196"/>
      <c r="AO225" s="196"/>
      <c r="AP225" s="196"/>
      <c r="AQ225" s="196"/>
      <c r="AR225" s="196">
        <f>AR175*0.2</f>
        <v>1.8198986000000001</v>
      </c>
      <c r="AS225" s="196">
        <f t="shared" ref="AS225:AU226" si="607">AS175*0.2</f>
        <v>4.8265659999999997</v>
      </c>
      <c r="AT225" s="196">
        <f t="shared" si="607"/>
        <v>4.7896196000000009</v>
      </c>
      <c r="AU225" s="196">
        <f t="shared" si="607"/>
        <v>4.9451812000000004</v>
      </c>
      <c r="AV225" s="196">
        <f t="shared" ref="AV225:AW225" si="608">AV175*0.2</f>
        <v>4.6853107999999999</v>
      </c>
      <c r="AW225" s="197">
        <f t="shared" si="608"/>
        <v>4.5310434000000006</v>
      </c>
      <c r="AX225" s="196">
        <f t="shared" ref="AX225:AZ225" si="609">AX175*0.2</f>
        <v>4.9298000000000002</v>
      </c>
      <c r="AY225" s="196">
        <f t="shared" si="609"/>
        <v>4.2709244000000002</v>
      </c>
      <c r="AZ225" s="196">
        <f t="shared" si="609"/>
        <v>3.9943066000000003</v>
      </c>
      <c r="BA225" s="196">
        <f t="shared" ref="BA225:BB225" si="610">BA175*0.2</f>
        <v>3.6174832000000006</v>
      </c>
      <c r="BB225" s="196">
        <f t="shared" si="610"/>
        <v>3.5971246000000003</v>
      </c>
      <c r="BC225" s="196">
        <f t="shared" ref="BC225:BD225" si="611">BC175*0.2</f>
        <v>3.0065176000000005</v>
      </c>
      <c r="BD225" s="196">
        <f t="shared" si="611"/>
        <v>2.9424744</v>
      </c>
      <c r="BE225" s="196">
        <f t="shared" ref="BE225:BG225" si="612">BE175*0.2</f>
        <v>2.8472880000000003</v>
      </c>
      <c r="BF225" s="196">
        <f t="shared" si="612"/>
        <v>3.3072643999999998</v>
      </c>
      <c r="BG225" s="196">
        <f t="shared" si="612"/>
        <v>3.3206710000000004</v>
      </c>
    </row>
    <row r="226" spans="1:68">
      <c r="A226" s="76" t="s">
        <v>100</v>
      </c>
      <c r="B226" s="196"/>
      <c r="C226" s="196"/>
      <c r="D226" s="196"/>
      <c r="E226" s="196"/>
      <c r="F226" s="196"/>
      <c r="G226" s="196"/>
      <c r="H226" s="196"/>
      <c r="I226" s="196"/>
      <c r="J226" s="196"/>
      <c r="K226" s="196"/>
      <c r="L226" s="196"/>
      <c r="M226" s="197"/>
      <c r="N226" s="196"/>
      <c r="O226" s="196"/>
      <c r="P226" s="196"/>
      <c r="Q226" s="196"/>
      <c r="R226" s="196"/>
      <c r="S226" s="196"/>
      <c r="T226" s="196"/>
      <c r="U226" s="196"/>
      <c r="V226" s="196"/>
      <c r="W226" s="196"/>
      <c r="X226" s="196"/>
      <c r="Y226" s="197"/>
      <c r="Z226" s="196"/>
      <c r="AA226" s="196"/>
      <c r="AB226" s="196"/>
      <c r="AC226" s="196"/>
      <c r="AD226" s="196"/>
      <c r="AE226" s="196"/>
      <c r="AF226" s="196"/>
      <c r="AG226" s="196"/>
      <c r="AH226" s="196"/>
      <c r="AI226" s="196"/>
      <c r="AJ226" s="196"/>
      <c r="AK226" s="197"/>
      <c r="AL226" s="196"/>
      <c r="AM226" s="196"/>
      <c r="AN226" s="196"/>
      <c r="AO226" s="196"/>
      <c r="AP226" s="196"/>
      <c r="AQ226" s="196"/>
      <c r="AR226" s="196">
        <f>AR176*0.2</f>
        <v>0.46917960000000003</v>
      </c>
      <c r="AS226" s="196">
        <f t="shared" si="607"/>
        <v>1.4497246000000001</v>
      </c>
      <c r="AT226" s="196">
        <f t="shared" si="607"/>
        <v>1.7740640000000001</v>
      </c>
      <c r="AU226" s="196">
        <f t="shared" si="607"/>
        <v>1.9880998000000003</v>
      </c>
      <c r="AV226" s="196">
        <f t="shared" ref="AV226:AW226" si="613">AV176*0.2</f>
        <v>1.9794854000000002</v>
      </c>
      <c r="AW226" s="197">
        <f t="shared" si="613"/>
        <v>2.1712496000000003</v>
      </c>
      <c r="AX226" s="196">
        <f t="shared" ref="AX226:AZ226" si="614">AX176*0.2</f>
        <v>2.2984620000000002</v>
      </c>
      <c r="AY226" s="196">
        <f t="shared" si="614"/>
        <v>2.0215098</v>
      </c>
      <c r="AZ226" s="196">
        <f t="shared" si="614"/>
        <v>2.1521585999999999</v>
      </c>
      <c r="BA226" s="196">
        <f t="shared" ref="BA226:BB226" si="615">BA176*0.2</f>
        <v>2.1323073999999997</v>
      </c>
      <c r="BB226" s="196">
        <f t="shared" si="615"/>
        <v>2.3983304000000003</v>
      </c>
      <c r="BC226" s="196">
        <f t="shared" ref="BC226:BD226" si="616">BC176*0.2</f>
        <v>2.2640918000000001</v>
      </c>
      <c r="BD226" s="196">
        <f t="shared" si="616"/>
        <v>2.2032570000000002</v>
      </c>
      <c r="BE226" s="196">
        <f t="shared" ref="BE226:BG226" si="617">BE176*0.2</f>
        <v>2.1045430000000001</v>
      </c>
      <c r="BF226" s="196">
        <f t="shared" si="617"/>
        <v>2.5991569999999999</v>
      </c>
      <c r="BG226" s="196">
        <f t="shared" si="617"/>
        <v>2.7162996000000001</v>
      </c>
    </row>
    <row r="227" spans="1:68">
      <c r="A227" s="77" t="s">
        <v>104</v>
      </c>
      <c r="B227" s="417"/>
      <c r="C227" s="417"/>
      <c r="D227" s="417"/>
      <c r="E227" s="417"/>
      <c r="F227" s="417"/>
      <c r="G227" s="417"/>
      <c r="H227" s="417"/>
      <c r="I227" s="417"/>
      <c r="J227" s="417">
        <f t="shared" ref="J227:AU227" si="618">SUM(J224:J226)</f>
        <v>0.5443209</v>
      </c>
      <c r="K227" s="417">
        <f t="shared" si="618"/>
        <v>1.5257205300000001</v>
      </c>
      <c r="L227" s="417">
        <f t="shared" si="618"/>
        <v>2.2157392799999998</v>
      </c>
      <c r="M227" s="418">
        <f t="shared" si="618"/>
        <v>2.9868863699999997</v>
      </c>
      <c r="N227" s="417">
        <f t="shared" si="618"/>
        <v>4.2506051999999999</v>
      </c>
      <c r="O227" s="417">
        <f t="shared" si="618"/>
        <v>4.2955759200000001</v>
      </c>
      <c r="P227" s="417">
        <f t="shared" si="618"/>
        <v>5.4629128199999997</v>
      </c>
      <c r="Q227" s="417">
        <f t="shared" si="618"/>
        <v>5.6278159799999994</v>
      </c>
      <c r="R227" s="417">
        <f t="shared" si="618"/>
        <v>5.99157399</v>
      </c>
      <c r="S227" s="417">
        <f t="shared" si="618"/>
        <v>5.6586681300000006</v>
      </c>
      <c r="T227" s="417">
        <f t="shared" si="618"/>
        <v>5.5267149599999996</v>
      </c>
      <c r="U227" s="417">
        <f t="shared" si="618"/>
        <v>5.3228923500000001</v>
      </c>
      <c r="V227" s="417">
        <f t="shared" si="618"/>
        <v>6.3366359099999991</v>
      </c>
      <c r="W227" s="417">
        <f t="shared" si="618"/>
        <v>7.1533581599999998</v>
      </c>
      <c r="X227" s="417">
        <f t="shared" si="618"/>
        <v>7.2502303499999989</v>
      </c>
      <c r="Y227" s="418">
        <f t="shared" si="618"/>
        <v>7.5485935499999997</v>
      </c>
      <c r="Z227" s="417">
        <f t="shared" si="618"/>
        <v>8.9385070800000008</v>
      </c>
      <c r="AA227" s="417">
        <f t="shared" si="618"/>
        <v>7.8454272600000001</v>
      </c>
      <c r="AB227" s="417">
        <f t="shared" si="618"/>
        <v>8.7229163699999983</v>
      </c>
      <c r="AC227" s="417">
        <f t="shared" si="618"/>
        <v>8.1811066199999996</v>
      </c>
      <c r="AD227" s="417">
        <f t="shared" si="618"/>
        <v>8.5170313800000006</v>
      </c>
      <c r="AE227" s="417">
        <f t="shared" si="618"/>
        <v>7.3915598099999995</v>
      </c>
      <c r="AF227" s="417">
        <f t="shared" si="618"/>
        <v>7.0813610999999996</v>
      </c>
      <c r="AG227" s="417">
        <f t="shared" si="618"/>
        <v>6.7628399999999997</v>
      </c>
      <c r="AH227" s="417">
        <f t="shared" si="618"/>
        <v>7.4765371199999997</v>
      </c>
      <c r="AI227" s="417">
        <f t="shared" si="618"/>
        <v>7.8949882199999992</v>
      </c>
      <c r="AJ227" s="417">
        <f t="shared" si="618"/>
        <v>7.570473419999999</v>
      </c>
      <c r="AK227" s="418">
        <f t="shared" si="618"/>
        <v>7.9925964599999988</v>
      </c>
      <c r="AL227" s="417">
        <f t="shared" si="618"/>
        <v>8.9569743899999992</v>
      </c>
      <c r="AM227" s="417">
        <f t="shared" si="618"/>
        <v>7.5924995699999993</v>
      </c>
      <c r="AN227" s="417">
        <f t="shared" si="618"/>
        <v>8.0985498899999993</v>
      </c>
      <c r="AO227" s="417">
        <f t="shared" si="618"/>
        <v>7.23169488</v>
      </c>
      <c r="AP227" s="417">
        <f t="shared" si="618"/>
        <v>7.4341016399999997</v>
      </c>
      <c r="AQ227" s="417">
        <f t="shared" si="618"/>
        <v>6.7719604199999992</v>
      </c>
      <c r="AR227" s="417">
        <f t="shared" si="618"/>
        <v>7.1132859500000007</v>
      </c>
      <c r="AS227" s="417">
        <f t="shared" si="618"/>
        <v>9.1024984999999994</v>
      </c>
      <c r="AT227" s="417">
        <f t="shared" si="618"/>
        <v>9.6308960500000005</v>
      </c>
      <c r="AU227" s="417">
        <f t="shared" si="618"/>
        <v>10.438998860000002</v>
      </c>
      <c r="AV227" s="417">
        <f t="shared" ref="AV227:AW227" si="619">SUM(AV224:AV226)</f>
        <v>10.183449250000001</v>
      </c>
      <c r="AW227" s="418">
        <f t="shared" si="619"/>
        <v>10.384051670000002</v>
      </c>
      <c r="AX227" s="417">
        <f t="shared" ref="AX227:AZ227" si="620">SUM(AX224:AX226)</f>
        <v>11.318282</v>
      </c>
      <c r="AY227" s="417">
        <f t="shared" si="620"/>
        <v>10.110637520000001</v>
      </c>
      <c r="AZ227" s="417">
        <f t="shared" si="620"/>
        <v>9.6917816499999994</v>
      </c>
      <c r="BA227" s="417">
        <f t="shared" ref="BA227:BB227" si="621">SUM(BA224:BA226)</f>
        <v>9.1849658600000001</v>
      </c>
      <c r="BB227" s="417">
        <f t="shared" si="621"/>
        <v>9.2674927200000017</v>
      </c>
      <c r="BC227" s="417">
        <f t="shared" ref="BC227:BD227" si="622">SUM(BC224:BC226)</f>
        <v>7.9518297599999999</v>
      </c>
      <c r="BD227" s="417">
        <f t="shared" si="622"/>
        <v>7.7236933499999996</v>
      </c>
      <c r="BE227" s="417">
        <f t="shared" ref="BE227:BG227" si="623">SUM(BE224:BE226)</f>
        <v>7.3520217399999996</v>
      </c>
      <c r="BF227" s="417">
        <f t="shared" si="623"/>
        <v>9.0448225554514607</v>
      </c>
      <c r="BG227" s="417">
        <f t="shared" si="623"/>
        <v>8.7755813939813265</v>
      </c>
    </row>
    <row r="228" spans="1:68">
      <c r="A228" s="76" t="s">
        <v>241</v>
      </c>
      <c r="B228" s="361"/>
      <c r="C228" s="361"/>
      <c r="D228" s="361"/>
      <c r="E228" s="361"/>
      <c r="F228" s="361"/>
      <c r="G228" s="361"/>
      <c r="H228" s="361"/>
      <c r="I228" s="361"/>
      <c r="J228" s="361"/>
      <c r="K228" s="361"/>
      <c r="L228" s="361"/>
      <c r="M228" s="424"/>
      <c r="N228" s="361"/>
      <c r="O228" s="361"/>
      <c r="P228" s="361"/>
      <c r="Q228" s="361"/>
      <c r="R228" s="361"/>
      <c r="S228" s="361"/>
      <c r="T228" s="361"/>
      <c r="U228" s="361"/>
      <c r="V228" s="361"/>
      <c r="W228" s="361"/>
      <c r="X228" s="361"/>
      <c r="Y228" s="424">
        <f>Y178*0.2</f>
        <v>4.6997175292411049E-3</v>
      </c>
      <c r="Z228" s="361">
        <f t="shared" ref="Z228:AU228" si="624">Z178*0.2</f>
        <v>0.38396200000000003</v>
      </c>
      <c r="AA228" s="361">
        <f t="shared" si="624"/>
        <v>0.44706000000000001</v>
      </c>
      <c r="AB228" s="361">
        <f t="shared" si="624"/>
        <v>0.63806479999999999</v>
      </c>
      <c r="AC228" s="361">
        <f t="shared" si="624"/>
        <v>0.63449600000000006</v>
      </c>
      <c r="AD228" s="361">
        <f t="shared" si="624"/>
        <v>0.72551680000000007</v>
      </c>
      <c r="AE228" s="361">
        <f t="shared" si="624"/>
        <v>0.5998846000000001</v>
      </c>
      <c r="AF228" s="361">
        <f t="shared" si="624"/>
        <v>0.65447680000000008</v>
      </c>
      <c r="AG228" s="361">
        <f t="shared" si="624"/>
        <v>0.6492348</v>
      </c>
      <c r="AH228" s="361">
        <f t="shared" si="624"/>
        <v>0.90838200000000002</v>
      </c>
      <c r="AI228" s="361">
        <f t="shared" si="624"/>
        <v>1.0438281999999999</v>
      </c>
      <c r="AJ228" s="361">
        <f t="shared" si="624"/>
        <v>1.0152015999999999</v>
      </c>
      <c r="AK228" s="424">
        <f t="shared" si="624"/>
        <v>1.1411405999999999</v>
      </c>
      <c r="AL228" s="361">
        <f t="shared" si="624"/>
        <v>1.2001694000000001</v>
      </c>
      <c r="AM228" s="361">
        <f t="shared" si="624"/>
        <v>1.0724418</v>
      </c>
      <c r="AN228" s="361">
        <f t="shared" si="624"/>
        <v>1.1988206000000001</v>
      </c>
      <c r="AO228" s="361">
        <f t="shared" si="624"/>
        <v>1.0391982000000002</v>
      </c>
      <c r="AP228" s="361">
        <f t="shared" si="624"/>
        <v>1.0654032000000002</v>
      </c>
      <c r="AQ228" s="361">
        <f t="shared" si="624"/>
        <v>0.92054480000000005</v>
      </c>
      <c r="AR228" s="361">
        <f t="shared" si="624"/>
        <v>0.72736500000000004</v>
      </c>
      <c r="AS228" s="361">
        <f t="shared" si="624"/>
        <v>0.63690420000000003</v>
      </c>
      <c r="AT228" s="361">
        <f t="shared" si="624"/>
        <v>0.66790440000000006</v>
      </c>
      <c r="AU228" s="361">
        <f t="shared" si="624"/>
        <v>0.80298680000000011</v>
      </c>
      <c r="AV228" s="361">
        <f t="shared" ref="AV228:AW228" si="625">AV178*0.2</f>
        <v>0.77522940000000007</v>
      </c>
      <c r="AW228" s="424">
        <f t="shared" si="625"/>
        <v>0.87991740000000007</v>
      </c>
      <c r="AX228" s="361">
        <f t="shared" ref="AX228:AZ228" si="626">AX178*0.2</f>
        <v>0.94790540000000001</v>
      </c>
      <c r="AY228" s="361">
        <f t="shared" si="626"/>
        <v>0.81497200000000003</v>
      </c>
      <c r="AZ228" s="361">
        <f t="shared" si="626"/>
        <v>0.81996199999999997</v>
      </c>
      <c r="BA228" s="361">
        <f t="shared" ref="BA228:BB228" si="627">BA178*0.2</f>
        <v>0.76273999999999997</v>
      </c>
      <c r="BB228" s="361">
        <f t="shared" si="627"/>
        <v>0.74517260000000007</v>
      </c>
      <c r="BC228" s="361">
        <f t="shared" ref="BC228:BD228" si="628">BC178*0.2</f>
        <v>0.60879880000000008</v>
      </c>
      <c r="BD228" s="361">
        <f t="shared" si="628"/>
        <v>0.56246479999999999</v>
      </c>
      <c r="BE228" s="361">
        <f t="shared" ref="BE228:BG228" si="629">BE178*0.2</f>
        <v>0.55684600000000006</v>
      </c>
      <c r="BF228" s="361">
        <f t="shared" si="629"/>
        <v>0.64656659999999999</v>
      </c>
      <c r="BG228" s="361">
        <f t="shared" si="629"/>
        <v>0.6877356</v>
      </c>
    </row>
    <row r="229" spans="1:68">
      <c r="A229" s="77" t="s">
        <v>301</v>
      </c>
      <c r="B229" s="417"/>
      <c r="C229" s="417"/>
      <c r="D229" s="417"/>
      <c r="E229" s="417"/>
      <c r="F229" s="417"/>
      <c r="G229" s="417"/>
      <c r="H229" s="417"/>
      <c r="I229" s="417"/>
      <c r="J229" s="417">
        <f t="shared" ref="J229:AU229" si="630">J227+J228</f>
        <v>0.5443209</v>
      </c>
      <c r="K229" s="417">
        <f t="shared" si="630"/>
        <v>1.5257205300000001</v>
      </c>
      <c r="L229" s="417">
        <f t="shared" si="630"/>
        <v>2.2157392799999998</v>
      </c>
      <c r="M229" s="418">
        <f t="shared" si="630"/>
        <v>2.9868863699999997</v>
      </c>
      <c r="N229" s="417">
        <f t="shared" si="630"/>
        <v>4.2506051999999999</v>
      </c>
      <c r="O229" s="417">
        <f t="shared" si="630"/>
        <v>4.2955759200000001</v>
      </c>
      <c r="P229" s="417">
        <f t="shared" si="630"/>
        <v>5.4629128199999997</v>
      </c>
      <c r="Q229" s="417">
        <f t="shared" si="630"/>
        <v>5.6278159799999994</v>
      </c>
      <c r="R229" s="417">
        <f t="shared" si="630"/>
        <v>5.99157399</v>
      </c>
      <c r="S229" s="417">
        <f t="shared" si="630"/>
        <v>5.6586681300000006</v>
      </c>
      <c r="T229" s="417">
        <f t="shared" si="630"/>
        <v>5.5267149599999996</v>
      </c>
      <c r="U229" s="417">
        <f t="shared" si="630"/>
        <v>5.3228923500000001</v>
      </c>
      <c r="V229" s="417">
        <f t="shared" si="630"/>
        <v>6.3366359099999991</v>
      </c>
      <c r="W229" s="417">
        <f t="shared" si="630"/>
        <v>7.1533581599999998</v>
      </c>
      <c r="X229" s="417">
        <f t="shared" si="630"/>
        <v>7.2502303499999989</v>
      </c>
      <c r="Y229" s="418">
        <f t="shared" si="630"/>
        <v>7.5532932675292406</v>
      </c>
      <c r="Z229" s="417">
        <f t="shared" si="630"/>
        <v>9.3224690800000012</v>
      </c>
      <c r="AA229" s="417">
        <f t="shared" si="630"/>
        <v>8.2924872599999997</v>
      </c>
      <c r="AB229" s="417">
        <f t="shared" si="630"/>
        <v>9.3609811699999987</v>
      </c>
      <c r="AC229" s="417">
        <f t="shared" si="630"/>
        <v>8.8156026199999999</v>
      </c>
      <c r="AD229" s="417">
        <f t="shared" si="630"/>
        <v>9.24254818</v>
      </c>
      <c r="AE229" s="417">
        <f t="shared" si="630"/>
        <v>7.9914444099999997</v>
      </c>
      <c r="AF229" s="417">
        <f t="shared" si="630"/>
        <v>7.7358378999999999</v>
      </c>
      <c r="AG229" s="417">
        <f t="shared" si="630"/>
        <v>7.4120748000000001</v>
      </c>
      <c r="AH229" s="417">
        <f t="shared" si="630"/>
        <v>8.3849191199999993</v>
      </c>
      <c r="AI229" s="417">
        <f t="shared" si="630"/>
        <v>8.9388164199999984</v>
      </c>
      <c r="AJ229" s="417">
        <f t="shared" si="630"/>
        <v>8.5856750199999983</v>
      </c>
      <c r="AK229" s="418">
        <f t="shared" si="630"/>
        <v>9.1337370599999979</v>
      </c>
      <c r="AL229" s="417">
        <f t="shared" si="630"/>
        <v>10.157143789999999</v>
      </c>
      <c r="AM229" s="417">
        <f t="shared" si="630"/>
        <v>8.6649413699999993</v>
      </c>
      <c r="AN229" s="417">
        <f t="shared" si="630"/>
        <v>9.2973704899999987</v>
      </c>
      <c r="AO229" s="417">
        <f t="shared" si="630"/>
        <v>8.2708930800000005</v>
      </c>
      <c r="AP229" s="417">
        <f t="shared" si="630"/>
        <v>8.4995048400000002</v>
      </c>
      <c r="AQ229" s="417">
        <f t="shared" si="630"/>
        <v>7.6925052199999993</v>
      </c>
      <c r="AR229" s="417">
        <f t="shared" si="630"/>
        <v>7.8406509500000006</v>
      </c>
      <c r="AS229" s="417">
        <f t="shared" si="630"/>
        <v>9.7394026999999994</v>
      </c>
      <c r="AT229" s="417">
        <f t="shared" si="630"/>
        <v>10.29880045</v>
      </c>
      <c r="AU229" s="417">
        <f t="shared" si="630"/>
        <v>11.241985660000001</v>
      </c>
      <c r="AV229" s="417">
        <f t="shared" ref="AV229:AW229" si="631">AV227+AV228</f>
        <v>10.958678650000001</v>
      </c>
      <c r="AW229" s="418">
        <f t="shared" si="631"/>
        <v>11.263969070000002</v>
      </c>
      <c r="AX229" s="417">
        <f t="shared" ref="AX229:AZ229" si="632">AX227+AX228</f>
        <v>12.2661874</v>
      </c>
      <c r="AY229" s="417">
        <f t="shared" si="632"/>
        <v>10.925609520000002</v>
      </c>
      <c r="AZ229" s="417">
        <f t="shared" si="632"/>
        <v>10.51174365</v>
      </c>
      <c r="BA229" s="417">
        <f t="shared" ref="BA229:BB229" si="633">BA227+BA228</f>
        <v>9.9477058599999992</v>
      </c>
      <c r="BB229" s="417">
        <f t="shared" si="633"/>
        <v>10.012665320000002</v>
      </c>
      <c r="BC229" s="417">
        <f t="shared" ref="BC229:BD229" si="634">BC227+BC228</f>
        <v>8.5606285599999996</v>
      </c>
      <c r="BD229" s="417">
        <f t="shared" si="634"/>
        <v>8.2861581500000003</v>
      </c>
      <c r="BE229" s="417">
        <f t="shared" ref="BE229:BG229" si="635">BE227+BE228</f>
        <v>7.9088677399999998</v>
      </c>
      <c r="BF229" s="417">
        <f t="shared" si="635"/>
        <v>9.6913891554514606</v>
      </c>
      <c r="BG229" s="417">
        <f t="shared" si="635"/>
        <v>9.4633169939813264</v>
      </c>
    </row>
    <row r="230" spans="1:68">
      <c r="A230" s="76"/>
      <c r="B230" s="196"/>
      <c r="C230" s="196"/>
      <c r="D230" s="196"/>
      <c r="E230" s="196"/>
      <c r="F230" s="196"/>
      <c r="G230" s="196"/>
      <c r="H230" s="196"/>
      <c r="I230" s="196"/>
      <c r="J230" s="196"/>
      <c r="K230" s="196"/>
      <c r="L230" s="196"/>
      <c r="M230" s="197"/>
      <c r="N230" s="196"/>
      <c r="O230" s="196"/>
      <c r="P230" s="196"/>
      <c r="Q230" s="196"/>
      <c r="R230" s="196"/>
      <c r="S230" s="196"/>
      <c r="T230" s="196"/>
      <c r="U230" s="196"/>
      <c r="V230" s="196"/>
      <c r="W230" s="196"/>
      <c r="X230" s="196"/>
      <c r="Y230" s="197"/>
      <c r="Z230" s="196"/>
      <c r="AA230" s="196"/>
      <c r="AB230" s="196"/>
      <c r="AC230" s="196"/>
      <c r="AD230" s="196"/>
      <c r="AE230" s="196"/>
      <c r="AF230" s="196"/>
      <c r="AG230" s="196"/>
      <c r="AH230" s="196"/>
      <c r="AI230" s="196"/>
      <c r="AJ230" s="196"/>
      <c r="AK230" s="197"/>
      <c r="AL230" s="196"/>
      <c r="AM230" s="196"/>
      <c r="AN230" s="196"/>
      <c r="AO230" s="196"/>
      <c r="AP230" s="196"/>
      <c r="AQ230" s="196"/>
      <c r="AR230" s="196"/>
      <c r="AS230" s="196"/>
      <c r="AT230" s="196"/>
      <c r="AU230" s="196"/>
      <c r="AV230" s="196"/>
      <c r="AW230" s="197"/>
      <c r="AX230" s="196"/>
      <c r="AY230" s="196"/>
      <c r="AZ230" s="196"/>
      <c r="BA230" s="196"/>
      <c r="BB230" s="196"/>
      <c r="BC230" s="196"/>
      <c r="BD230" s="196"/>
      <c r="BE230" s="196"/>
      <c r="BF230" s="196"/>
      <c r="BG230" s="196"/>
    </row>
    <row r="231" spans="1:68">
      <c r="A231" s="76" t="s">
        <v>236</v>
      </c>
      <c r="B231" s="196"/>
      <c r="C231" s="196"/>
      <c r="D231" s="196"/>
      <c r="E231" s="196"/>
      <c r="F231" s="196"/>
      <c r="G231" s="196"/>
      <c r="H231" s="196"/>
      <c r="I231" s="196"/>
      <c r="J231" s="196"/>
      <c r="K231" s="196"/>
      <c r="L231" s="196"/>
      <c r="M231" s="197"/>
      <c r="N231" s="196"/>
      <c r="O231" s="196"/>
      <c r="P231" s="196"/>
      <c r="Q231" s="196"/>
      <c r="R231" s="196"/>
      <c r="S231" s="196"/>
      <c r="T231" s="196"/>
      <c r="U231" s="196"/>
      <c r="V231" s="196"/>
      <c r="W231" s="196"/>
      <c r="X231" s="196"/>
      <c r="Y231" s="197"/>
      <c r="Z231" s="196"/>
      <c r="AA231" s="196"/>
      <c r="AB231" s="196"/>
      <c r="AC231" s="196"/>
      <c r="AD231" s="196"/>
      <c r="AE231" s="196"/>
      <c r="AF231" s="196"/>
      <c r="AG231" s="196"/>
      <c r="AH231" s="196"/>
      <c r="AI231" s="196"/>
      <c r="AJ231" s="196"/>
      <c r="AK231" s="197"/>
      <c r="AL231" s="196"/>
      <c r="AM231" s="196"/>
      <c r="AN231" s="196"/>
      <c r="AO231" s="196"/>
      <c r="AP231" s="196"/>
      <c r="AQ231" s="196"/>
      <c r="AR231" s="196"/>
      <c r="AS231" s="196"/>
      <c r="AT231" s="196"/>
      <c r="AU231" s="196"/>
      <c r="AV231" s="196"/>
      <c r="AW231" s="197"/>
      <c r="AX231" s="196"/>
      <c r="AY231" s="196"/>
      <c r="AZ231" s="196"/>
      <c r="BA231" s="196"/>
      <c r="BB231" s="196"/>
      <c r="BC231" s="196"/>
      <c r="BD231" s="196"/>
      <c r="BE231" s="196"/>
      <c r="BF231" s="196"/>
      <c r="BG231" s="196"/>
    </row>
    <row r="232" spans="1:68">
      <c r="A232" s="76" t="s">
        <v>268</v>
      </c>
      <c r="B232" s="196"/>
      <c r="C232" s="196"/>
      <c r="D232" s="196"/>
      <c r="E232" s="196"/>
      <c r="F232" s="196"/>
      <c r="G232" s="196"/>
      <c r="H232" s="196"/>
      <c r="I232" s="196"/>
      <c r="J232" s="196"/>
      <c r="K232" s="196"/>
      <c r="L232" s="196"/>
      <c r="M232" s="197"/>
      <c r="N232" s="196"/>
      <c r="O232" s="196"/>
      <c r="P232" s="196"/>
      <c r="Q232" s="196"/>
      <c r="R232" s="196"/>
      <c r="S232" s="196"/>
      <c r="T232" s="196"/>
      <c r="U232" s="196"/>
      <c r="V232" s="196"/>
      <c r="W232" s="196"/>
      <c r="X232" s="196"/>
      <c r="Y232" s="197"/>
      <c r="Z232" s="196"/>
      <c r="AA232" s="196"/>
      <c r="AB232" s="196"/>
      <c r="AC232" s="196"/>
      <c r="AD232" s="196"/>
      <c r="AE232" s="196"/>
      <c r="AF232" s="196"/>
      <c r="AG232" s="196"/>
      <c r="AH232" s="196"/>
      <c r="AI232" s="196"/>
      <c r="AJ232" s="196"/>
      <c r="AK232" s="197"/>
      <c r="AL232" s="196"/>
      <c r="AM232" s="196"/>
      <c r="AN232" s="196"/>
      <c r="AO232" s="196"/>
      <c r="AP232" s="196"/>
      <c r="AQ232" s="196"/>
      <c r="AR232" s="196"/>
      <c r="AS232" s="196"/>
      <c r="AT232" s="196"/>
      <c r="AU232" s="196"/>
      <c r="AV232" s="196"/>
      <c r="AW232" s="197"/>
      <c r="AX232" s="196"/>
      <c r="AY232" s="196"/>
      <c r="AZ232" s="196"/>
      <c r="BA232" s="196"/>
      <c r="BB232" s="196"/>
      <c r="BC232" s="196"/>
      <c r="BD232" s="196"/>
      <c r="BE232" s="196"/>
      <c r="BF232" s="196"/>
      <c r="BG232" s="196"/>
    </row>
    <row r="233" spans="1:68" ht="16" thickBot="1">
      <c r="A233" s="78" t="s">
        <v>237</v>
      </c>
      <c r="B233" s="203"/>
      <c r="C233" s="203"/>
      <c r="D233" s="203"/>
      <c r="E233" s="203"/>
      <c r="F233" s="203">
        <f t="shared" ref="F233:AU233" si="636">SUM(F222:F232)</f>
        <v>0</v>
      </c>
      <c r="G233" s="203">
        <f t="shared" si="636"/>
        <v>0</v>
      </c>
      <c r="H233" s="203">
        <f t="shared" si="636"/>
        <v>0</v>
      </c>
      <c r="I233" s="203">
        <f t="shared" si="636"/>
        <v>0</v>
      </c>
      <c r="J233" s="203">
        <f t="shared" si="636"/>
        <v>1.6329627</v>
      </c>
      <c r="K233" s="203">
        <f t="shared" si="636"/>
        <v>4.5771615900000002</v>
      </c>
      <c r="L233" s="203">
        <f t="shared" si="636"/>
        <v>6.6472178399999997</v>
      </c>
      <c r="M233" s="203">
        <f t="shared" si="636"/>
        <v>8.9606591099999982</v>
      </c>
      <c r="N233" s="203">
        <f t="shared" si="636"/>
        <v>12.7518156</v>
      </c>
      <c r="O233" s="203">
        <f t="shared" si="636"/>
        <v>12.886727759999999</v>
      </c>
      <c r="P233" s="203">
        <f t="shared" si="636"/>
        <v>16.388738459999999</v>
      </c>
      <c r="Q233" s="203">
        <f t="shared" si="636"/>
        <v>16.883447939999996</v>
      </c>
      <c r="R233" s="203">
        <f t="shared" si="636"/>
        <v>17.974721970000001</v>
      </c>
      <c r="S233" s="203">
        <f t="shared" si="636"/>
        <v>16.97600439</v>
      </c>
      <c r="T233" s="203">
        <f t="shared" si="636"/>
        <v>16.580144879999999</v>
      </c>
      <c r="U233" s="203">
        <f t="shared" si="636"/>
        <v>15.96867705</v>
      </c>
      <c r="V233" s="203">
        <f t="shared" si="636"/>
        <v>19.009907729999998</v>
      </c>
      <c r="W233" s="203">
        <f t="shared" si="636"/>
        <v>21.460074479999999</v>
      </c>
      <c r="X233" s="203">
        <f t="shared" si="636"/>
        <v>21.750691049999997</v>
      </c>
      <c r="Y233" s="295">
        <f t="shared" si="636"/>
        <v>22.655180085058483</v>
      </c>
      <c r="Z233" s="203">
        <f t="shared" si="636"/>
        <v>33.412825975100006</v>
      </c>
      <c r="AA233" s="203">
        <f t="shared" si="636"/>
        <v>30.020207841900003</v>
      </c>
      <c r="AB233" s="203">
        <f t="shared" si="636"/>
        <v>33.368714180099992</v>
      </c>
      <c r="AC233" s="203">
        <f t="shared" si="636"/>
        <v>31.669219849299999</v>
      </c>
      <c r="AD233" s="203">
        <f t="shared" si="636"/>
        <v>31.159782954500002</v>
      </c>
      <c r="AE233" s="203">
        <f t="shared" si="636"/>
        <v>26.989623564999999</v>
      </c>
      <c r="AF233" s="203">
        <f t="shared" si="636"/>
        <v>24.8052291176</v>
      </c>
      <c r="AG233" s="203">
        <f t="shared" si="636"/>
        <v>24.393064402099998</v>
      </c>
      <c r="AH233" s="203">
        <f t="shared" si="636"/>
        <v>28.478217218899999</v>
      </c>
      <c r="AI233" s="203">
        <f t="shared" si="636"/>
        <v>31.209615708599998</v>
      </c>
      <c r="AJ233" s="203">
        <f t="shared" si="636"/>
        <v>30.397134463699999</v>
      </c>
      <c r="AK233" s="295">
        <f t="shared" si="636"/>
        <v>30.703548524499997</v>
      </c>
      <c r="AL233" s="419">
        <f t="shared" si="636"/>
        <v>34.950493479999999</v>
      </c>
      <c r="AM233" s="419">
        <f t="shared" si="636"/>
        <v>30.287230289999997</v>
      </c>
      <c r="AN233" s="419">
        <f t="shared" si="636"/>
        <v>31.006716758499998</v>
      </c>
      <c r="AO233" s="419">
        <f t="shared" si="636"/>
        <v>28.108238970000002</v>
      </c>
      <c r="AP233" s="419">
        <f t="shared" si="636"/>
        <v>28.418437749599995</v>
      </c>
      <c r="AQ233" s="419">
        <f t="shared" si="636"/>
        <v>24.234921993599997</v>
      </c>
      <c r="AR233" s="419">
        <f t="shared" si="636"/>
        <v>24.545157450000001</v>
      </c>
      <c r="AS233" s="419">
        <f t="shared" si="636"/>
        <v>30.749681951399996</v>
      </c>
      <c r="AT233" s="419">
        <f t="shared" si="636"/>
        <v>34.169907748900002</v>
      </c>
      <c r="AU233" s="419">
        <f t="shared" si="636"/>
        <v>37.800984525400004</v>
      </c>
      <c r="AV233" s="419">
        <f t="shared" ref="AV233:AW233" si="637">SUM(AV222:AV232)</f>
        <v>36.3164741724</v>
      </c>
      <c r="AW233" s="541">
        <f t="shared" si="637"/>
        <v>41.338778336400004</v>
      </c>
      <c r="AX233" s="419">
        <f t="shared" ref="AX233:AZ233" si="638">SUM(AX222:AX232)</f>
        <v>40.138701426400004</v>
      </c>
      <c r="AY233" s="419">
        <f t="shared" si="638"/>
        <v>36.11076185200001</v>
      </c>
      <c r="AZ233" s="419">
        <f t="shared" si="638"/>
        <v>35.057920521</v>
      </c>
      <c r="BA233" s="419">
        <f t="shared" ref="BA233:BB233" si="639">SUM(BA222:BA232)</f>
        <v>33.4368675164</v>
      </c>
      <c r="BB233" s="419">
        <f t="shared" si="639"/>
        <v>33.108911560000003</v>
      </c>
      <c r="BC233" s="419">
        <f t="shared" ref="BC233:BE233" si="640">SUM(BC222:BC232)</f>
        <v>28.091311801399996</v>
      </c>
      <c r="BD233" s="419">
        <f t="shared" si="640"/>
        <v>24.296009650000002</v>
      </c>
      <c r="BE233" s="419">
        <f t="shared" si="640"/>
        <v>23.169757220000001</v>
      </c>
      <c r="BF233" s="419">
        <f t="shared" ref="BF233:BG233" si="641">SUM(BF222:BF232)</f>
        <v>28.427600866354382</v>
      </c>
      <c r="BG233" s="419">
        <f t="shared" si="641"/>
        <v>27.702215381943979</v>
      </c>
    </row>
    <row r="236" spans="1:68">
      <c r="A236" s="98" t="s">
        <v>257</v>
      </c>
    </row>
    <row r="237" spans="1:68" ht="16" thickBot="1"/>
    <row r="238" spans="1:68" ht="16">
      <c r="A238" s="100" t="s">
        <v>286</v>
      </c>
      <c r="B238" s="101">
        <v>39448</v>
      </c>
      <c r="C238" s="101">
        <v>39479</v>
      </c>
      <c r="D238" s="101">
        <v>39508</v>
      </c>
      <c r="E238" s="101">
        <v>39539</v>
      </c>
      <c r="F238" s="101">
        <v>39569</v>
      </c>
      <c r="G238" s="101">
        <v>39600</v>
      </c>
      <c r="H238" s="101">
        <v>39630</v>
      </c>
      <c r="I238" s="101">
        <v>39661</v>
      </c>
      <c r="J238" s="101">
        <v>39692</v>
      </c>
      <c r="K238" s="101">
        <v>39722</v>
      </c>
      <c r="L238" s="101">
        <v>39753</v>
      </c>
      <c r="M238" s="102">
        <v>39783</v>
      </c>
      <c r="N238" s="101">
        <v>39814</v>
      </c>
      <c r="O238" s="101">
        <v>39845</v>
      </c>
      <c r="P238" s="101">
        <v>39873</v>
      </c>
      <c r="Q238" s="101">
        <v>39904</v>
      </c>
      <c r="R238" s="101">
        <v>39934</v>
      </c>
      <c r="S238" s="101">
        <v>39965</v>
      </c>
      <c r="T238" s="101">
        <v>39995</v>
      </c>
      <c r="U238" s="101">
        <v>40026</v>
      </c>
      <c r="V238" s="101">
        <v>40057</v>
      </c>
      <c r="W238" s="101">
        <v>40087</v>
      </c>
      <c r="X238" s="101">
        <v>40118</v>
      </c>
      <c r="Y238" s="102">
        <v>40148</v>
      </c>
      <c r="Z238" s="101">
        <v>40179</v>
      </c>
      <c r="AA238" s="101">
        <v>40210</v>
      </c>
      <c r="AB238" s="101">
        <v>40238</v>
      </c>
      <c r="AC238" s="101">
        <v>40269</v>
      </c>
      <c r="AD238" s="101">
        <v>40299</v>
      </c>
      <c r="AE238" s="101">
        <v>40330</v>
      </c>
      <c r="AF238" s="101">
        <v>40360</v>
      </c>
      <c r="AG238" s="101">
        <v>40391</v>
      </c>
      <c r="AH238" s="101">
        <v>40422</v>
      </c>
      <c r="AI238" s="101">
        <v>40452</v>
      </c>
      <c r="AJ238" s="101">
        <v>40483</v>
      </c>
      <c r="AK238" s="102">
        <v>40513</v>
      </c>
      <c r="AL238" s="101">
        <v>40544</v>
      </c>
      <c r="AM238" s="101">
        <v>40575</v>
      </c>
      <c r="AN238" s="101">
        <v>40603</v>
      </c>
      <c r="AO238" s="101">
        <v>40634</v>
      </c>
      <c r="AP238" s="101">
        <v>40664</v>
      </c>
      <c r="AQ238" s="101">
        <v>40695</v>
      </c>
      <c r="AR238" s="101">
        <v>40725</v>
      </c>
      <c r="AS238" s="101">
        <v>40756</v>
      </c>
      <c r="AT238" s="101">
        <v>40787</v>
      </c>
      <c r="AU238" s="101">
        <v>40817</v>
      </c>
      <c r="AV238" s="101">
        <v>40848</v>
      </c>
      <c r="AW238" s="102">
        <v>40878</v>
      </c>
      <c r="AX238" s="101">
        <v>40909</v>
      </c>
      <c r="AY238" s="101">
        <v>40940</v>
      </c>
      <c r="AZ238" s="101">
        <v>40969</v>
      </c>
      <c r="BA238" s="101">
        <v>41000</v>
      </c>
      <c r="BB238" s="101">
        <v>41030</v>
      </c>
      <c r="BC238" s="101">
        <v>41061</v>
      </c>
      <c r="BD238" s="101">
        <v>41091</v>
      </c>
      <c r="BE238" s="101">
        <v>41122</v>
      </c>
      <c r="BF238" s="101">
        <v>41153</v>
      </c>
      <c r="BG238" s="101">
        <v>41183</v>
      </c>
      <c r="BO238" s="362" t="s">
        <v>371</v>
      </c>
      <c r="BP238" s="103" t="s">
        <v>275</v>
      </c>
    </row>
    <row r="239" spans="1:68">
      <c r="A239" s="75"/>
      <c r="M239" s="115"/>
      <c r="Y239" s="115"/>
      <c r="AK239" s="115"/>
      <c r="AW239" s="115"/>
      <c r="BO239" s="267"/>
      <c r="BP239" s="116"/>
    </row>
    <row r="240" spans="1:68">
      <c r="A240" s="5" t="s">
        <v>26</v>
      </c>
      <c r="B240" s="126"/>
      <c r="C240" s="126"/>
      <c r="D240" s="126"/>
      <c r="E240" s="126"/>
      <c r="F240" s="126"/>
      <c r="G240" s="126"/>
      <c r="H240" s="126"/>
      <c r="I240" s="126"/>
      <c r="J240" s="126"/>
      <c r="K240" s="126"/>
      <c r="L240" s="126"/>
      <c r="M240" s="127"/>
      <c r="N240" s="126"/>
      <c r="O240" s="126"/>
      <c r="P240" s="126"/>
      <c r="Q240" s="126"/>
      <c r="R240" s="126"/>
      <c r="S240" s="126"/>
      <c r="T240" s="126">
        <v>2.2290000000000001</v>
      </c>
      <c r="U240" s="126">
        <v>4.9745999999999997</v>
      </c>
      <c r="V240" s="126">
        <v>7.171786</v>
      </c>
      <c r="W240" s="126">
        <v>7.0166760000000004</v>
      </c>
      <c r="X240" s="126">
        <v>6.6586569999999998</v>
      </c>
      <c r="Y240" s="127">
        <v>5.5497110000000003</v>
      </c>
      <c r="Z240" s="126">
        <v>7.4628810000000003</v>
      </c>
      <c r="AA240" s="126">
        <v>7.0368459999999997</v>
      </c>
      <c r="AB240" s="126">
        <v>7.7420660000000003</v>
      </c>
      <c r="AC240" s="126">
        <v>7.4882679999999997</v>
      </c>
      <c r="AD240" s="126">
        <v>5.72576325</v>
      </c>
      <c r="AE240" s="126">
        <v>5.2441647500000004</v>
      </c>
      <c r="AF240" s="126">
        <v>3.5720000000000001</v>
      </c>
      <c r="AG240" s="126">
        <v>4.1859000000000002</v>
      </c>
      <c r="AH240" s="126">
        <v>6.3288469999999997</v>
      </c>
      <c r="AI240" s="126">
        <v>7.5548570000000002</v>
      </c>
      <c r="AJ240" s="126">
        <v>7.8577079999999997</v>
      </c>
      <c r="AK240" s="127">
        <v>6.1590910000000001</v>
      </c>
      <c r="AL240" s="126">
        <v>7.6179519999999998</v>
      </c>
      <c r="AM240" s="126">
        <v>7.8270749999999998</v>
      </c>
      <c r="AN240" s="126">
        <v>6.3039880000000004</v>
      </c>
      <c r="AO240" s="126">
        <v>6.3245880000000003</v>
      </c>
      <c r="AP240" s="126">
        <v>5.738245</v>
      </c>
      <c r="AQ240" s="126">
        <v>2.6202160000000001</v>
      </c>
      <c r="AR240" s="126">
        <v>2.673</v>
      </c>
      <c r="AS240" s="126">
        <v>3.8455729999999999</v>
      </c>
      <c r="AT240" s="126">
        <v>6.2584850000000003</v>
      </c>
      <c r="AU240" s="126">
        <v>7.6181340000000004</v>
      </c>
      <c r="AV240" s="126">
        <v>6.1806549999999998</v>
      </c>
      <c r="AW240" s="127">
        <v>5.705063</v>
      </c>
      <c r="AX240" s="126">
        <v>6.1838540000000002</v>
      </c>
      <c r="AY240" s="126">
        <v>5.1417070000000002</v>
      </c>
      <c r="AZ240" s="126">
        <v>6.4625560000000002</v>
      </c>
      <c r="BA240" s="126">
        <v>6.3981960000000004</v>
      </c>
      <c r="BB240" s="126">
        <v>5.5586830000000003</v>
      </c>
      <c r="BC240" s="126">
        <v>3.856411</v>
      </c>
      <c r="BD240" s="126"/>
      <c r="BE240" s="126"/>
      <c r="BF240" s="126"/>
      <c r="BG240" s="126"/>
      <c r="BO240" s="268">
        <f>SUM(AR240:BC240)/SUM(AR$261:BC$261)</f>
        <v>1.7532506092802231E-2</v>
      </c>
      <c r="BP240" s="175">
        <f>BO240/SUM(BO$240:BO$259)</f>
        <v>2.473633430016299E-2</v>
      </c>
    </row>
    <row r="241" spans="1:68">
      <c r="A241" s="5" t="s">
        <v>27</v>
      </c>
      <c r="B241" s="126"/>
      <c r="C241" s="126"/>
      <c r="D241" s="126"/>
      <c r="E241" s="126"/>
      <c r="F241" s="126"/>
      <c r="G241" s="126"/>
      <c r="H241" s="126"/>
      <c r="I241" s="126"/>
      <c r="J241" s="126"/>
      <c r="K241" s="126"/>
      <c r="L241" s="126"/>
      <c r="M241" s="127"/>
      <c r="N241" s="126"/>
      <c r="O241" s="126"/>
      <c r="P241" s="126"/>
      <c r="Q241" s="126"/>
      <c r="R241" s="126"/>
      <c r="S241" s="126"/>
      <c r="T241" s="126">
        <v>0.80100000000000005</v>
      </c>
      <c r="U241" s="126">
        <v>1.7625</v>
      </c>
      <c r="V241" s="126">
        <v>2.3609040000000001</v>
      </c>
      <c r="W241" s="126">
        <v>2.2131150000000002</v>
      </c>
      <c r="X241" s="126">
        <v>2.0351129999999999</v>
      </c>
      <c r="Y241" s="127">
        <v>1.6686080000000001</v>
      </c>
      <c r="Z241" s="126">
        <v>2.40781</v>
      </c>
      <c r="AA241" s="126">
        <v>2.6164939999999999</v>
      </c>
      <c r="AB241" s="126">
        <v>2.8926720000000001</v>
      </c>
      <c r="AC241" s="126">
        <v>2.4027340000000001</v>
      </c>
      <c r="AD241" s="126">
        <v>1.7820035000000001</v>
      </c>
      <c r="AE241" s="126">
        <v>2.0970605</v>
      </c>
      <c r="AF241" s="126">
        <v>1.3109999999999999</v>
      </c>
      <c r="AG241" s="126">
        <v>1.4500599999999999</v>
      </c>
      <c r="AH241" s="126">
        <v>2.0876420000000002</v>
      </c>
      <c r="AI241" s="126">
        <v>2.367594</v>
      </c>
      <c r="AJ241" s="126">
        <v>2.2744239999999998</v>
      </c>
      <c r="AK241" s="127">
        <v>1.7248730000000001</v>
      </c>
      <c r="AL241" s="126">
        <v>2.0762070000000001</v>
      </c>
      <c r="AM241" s="126">
        <v>2.085744</v>
      </c>
      <c r="AN241" s="126">
        <v>1.7978099999999999</v>
      </c>
      <c r="AO241" s="126">
        <v>2.0087869999999999</v>
      </c>
      <c r="AP241" s="126">
        <v>1.8795945000000001</v>
      </c>
      <c r="AQ241" s="126">
        <v>0.86168149999999999</v>
      </c>
      <c r="AR241" s="126">
        <v>1.167</v>
      </c>
      <c r="AS241" s="126">
        <v>1.2433689999999999</v>
      </c>
      <c r="AT241" s="126">
        <v>1.7899350000000001</v>
      </c>
      <c r="AU241" s="126">
        <v>2.2162060000000001</v>
      </c>
      <c r="AV241" s="126">
        <v>1.8122210000000001</v>
      </c>
      <c r="AW241" s="127">
        <v>1.7557659999999999</v>
      </c>
      <c r="AX241" s="126">
        <v>1.8411660000000001</v>
      </c>
      <c r="AY241" s="126">
        <v>1.7025170000000001</v>
      </c>
      <c r="AZ241" s="126">
        <v>2.0290520000000001</v>
      </c>
      <c r="BA241" s="126">
        <v>2.154868</v>
      </c>
      <c r="BB241" s="126">
        <v>1.6733199999999999</v>
      </c>
      <c r="BC241" s="126">
        <v>1.409662</v>
      </c>
      <c r="BD241" s="126"/>
      <c r="BE241" s="126"/>
      <c r="BF241" s="126"/>
      <c r="BG241" s="126"/>
      <c r="BO241" s="268">
        <f t="shared" ref="BO241:BO261" si="642">SUM(AR241:BC241)/SUM(AR$261:BC$261)</f>
        <v>5.5339568865697608E-3</v>
      </c>
      <c r="BP241" s="175">
        <f t="shared" ref="BP241:BP259" si="643">BO241/SUM(BO$240:BO$259)</f>
        <v>7.807771851000656E-3</v>
      </c>
    </row>
    <row r="242" spans="1:68">
      <c r="A242" s="5" t="s">
        <v>28</v>
      </c>
      <c r="B242" s="126"/>
      <c r="C242" s="126"/>
      <c r="D242" s="126"/>
      <c r="E242" s="126"/>
      <c r="F242" s="126"/>
      <c r="G242" s="126"/>
      <c r="H242" s="126"/>
      <c r="I242" s="126"/>
      <c r="J242" s="126"/>
      <c r="K242" s="126"/>
      <c r="L242" s="126"/>
      <c r="M242" s="127"/>
      <c r="N242" s="126"/>
      <c r="O242" s="126"/>
      <c r="P242" s="126"/>
      <c r="Q242" s="126"/>
      <c r="R242" s="126"/>
      <c r="S242" s="126"/>
      <c r="T242" s="126">
        <v>3.3740000000000001</v>
      </c>
      <c r="U242" s="126">
        <v>5.2210000000000001</v>
      </c>
      <c r="V242" s="126">
        <v>7.2585430000000004</v>
      </c>
      <c r="W242" s="126">
        <v>6.5415140000000003</v>
      </c>
      <c r="X242" s="126">
        <v>6.425173</v>
      </c>
      <c r="Y242" s="127">
        <v>5.6481310000000002</v>
      </c>
      <c r="Z242" s="126">
        <v>7.4498949999999997</v>
      </c>
      <c r="AA242" s="126">
        <v>7.0175409999999996</v>
      </c>
      <c r="AB242" s="126">
        <v>7.6195209999999998</v>
      </c>
      <c r="AC242" s="126">
        <v>7.4011709999999997</v>
      </c>
      <c r="AD242" s="126">
        <v>5.5142340000000001</v>
      </c>
      <c r="AE242" s="126">
        <v>5.4376747500000002</v>
      </c>
      <c r="AF242" s="126">
        <v>3.31</v>
      </c>
      <c r="AG242" s="126">
        <v>4.722912</v>
      </c>
      <c r="AH242" s="126">
        <v>6.7753670000000001</v>
      </c>
      <c r="AI242" s="126">
        <v>8.4072910000000007</v>
      </c>
      <c r="AJ242" s="126">
        <v>8.7667459999999995</v>
      </c>
      <c r="AK242" s="127">
        <v>7.3434267000000002</v>
      </c>
      <c r="AL242" s="126">
        <v>7.8714519999999997</v>
      </c>
      <c r="AM242" s="126">
        <v>8.1206250000000004</v>
      </c>
      <c r="AN242" s="126">
        <v>6.5695009999999998</v>
      </c>
      <c r="AO242" s="126">
        <v>6.8318690000000002</v>
      </c>
      <c r="AP242" s="126">
        <v>6.8634007500000003</v>
      </c>
      <c r="AQ242" s="126">
        <v>2.8512019999999998</v>
      </c>
      <c r="AR242" s="126">
        <v>2.819</v>
      </c>
      <c r="AS242" s="126">
        <v>4.751735</v>
      </c>
      <c r="AT242" s="126">
        <v>7.245698</v>
      </c>
      <c r="AU242" s="126">
        <v>8.4075299999999995</v>
      </c>
      <c r="AV242" s="126">
        <v>7.0583309999999999</v>
      </c>
      <c r="AW242" s="127">
        <v>6.5504110000000004</v>
      </c>
      <c r="AX242" s="126">
        <v>7.0846960000000001</v>
      </c>
      <c r="AY242" s="126">
        <v>7.1720059999999997</v>
      </c>
      <c r="AZ242" s="126">
        <v>7.38734</v>
      </c>
      <c r="BA242" s="126">
        <v>7.8212320000000002</v>
      </c>
      <c r="BB242" s="126">
        <v>6.2440249999999997</v>
      </c>
      <c r="BC242" s="126">
        <v>4.3347879999999996</v>
      </c>
      <c r="BD242" s="126"/>
      <c r="BE242" s="126"/>
      <c r="BF242" s="126"/>
      <c r="BG242" s="126"/>
      <c r="BO242" s="268">
        <f t="shared" si="642"/>
        <v>2.0458339741376882E-2</v>
      </c>
      <c r="BP242" s="175">
        <f t="shared" si="643"/>
        <v>2.8864346511008342E-2</v>
      </c>
    </row>
    <row r="243" spans="1:68">
      <c r="A243" s="5" t="s">
        <v>29</v>
      </c>
      <c r="B243" s="126"/>
      <c r="C243" s="126"/>
      <c r="D243" s="126"/>
      <c r="E243" s="126"/>
      <c r="F243" s="126"/>
      <c r="G243" s="126"/>
      <c r="H243" s="126"/>
      <c r="I243" s="126"/>
      <c r="J243" s="126"/>
      <c r="K243" s="126"/>
      <c r="L243" s="126"/>
      <c r="M243" s="127"/>
      <c r="N243" s="126"/>
      <c r="O243" s="126"/>
      <c r="P243" s="126"/>
      <c r="Q243" s="126"/>
      <c r="R243" s="126"/>
      <c r="S243" s="126"/>
      <c r="T243" s="126">
        <v>18.077000000000002</v>
      </c>
      <c r="U243" s="126">
        <v>37.565899999999999</v>
      </c>
      <c r="V243" s="126">
        <v>54.670985000000002</v>
      </c>
      <c r="W243" s="126">
        <v>52.450552000000002</v>
      </c>
      <c r="X243" s="126">
        <v>52.562576</v>
      </c>
      <c r="Y243" s="127">
        <v>43.425258999999997</v>
      </c>
      <c r="Z243" s="126">
        <v>61.042031000000001</v>
      </c>
      <c r="AA243" s="126">
        <v>57.629385999999997</v>
      </c>
      <c r="AB243" s="126">
        <v>61.432046</v>
      </c>
      <c r="AC243" s="126">
        <v>58.96114</v>
      </c>
      <c r="AD243" s="126">
        <v>43.362363000000002</v>
      </c>
      <c r="AE243" s="126">
        <v>49.271502499999997</v>
      </c>
      <c r="AF243" s="126">
        <v>28.745999999999999</v>
      </c>
      <c r="AG243" s="126">
        <v>29.642416000000001</v>
      </c>
      <c r="AH243" s="126">
        <v>45.858396999999997</v>
      </c>
      <c r="AI243" s="126">
        <v>60.409962</v>
      </c>
      <c r="AJ243" s="126">
        <v>63.466422999999999</v>
      </c>
      <c r="AK243" s="127">
        <v>49.385058999999998</v>
      </c>
      <c r="AL243" s="126">
        <v>60.199997000000003</v>
      </c>
      <c r="AM243" s="126">
        <v>60.640447000000002</v>
      </c>
      <c r="AN243" s="126">
        <v>47.887245</v>
      </c>
      <c r="AO243" s="126">
        <v>51.277119999999996</v>
      </c>
      <c r="AP243" s="126">
        <v>47.284784500000001</v>
      </c>
      <c r="AQ243" s="126">
        <v>20.801981000000001</v>
      </c>
      <c r="AR243" s="126">
        <v>21.675999999999998</v>
      </c>
      <c r="AS243" s="126">
        <v>26.115881000000002</v>
      </c>
      <c r="AT243" s="126">
        <v>49.586401000000002</v>
      </c>
      <c r="AU243" s="126">
        <v>56.477657999999998</v>
      </c>
      <c r="AV243" s="126">
        <v>48.435614999999999</v>
      </c>
      <c r="AW243" s="127">
        <v>45.633685999999997</v>
      </c>
      <c r="AX243" s="126">
        <v>47.725135999999999</v>
      </c>
      <c r="AY243" s="126">
        <v>48.197623999999998</v>
      </c>
      <c r="AZ243" s="126">
        <v>54.357242999999997</v>
      </c>
      <c r="BA243" s="126">
        <v>52.212935000000002</v>
      </c>
      <c r="BB243" s="126">
        <v>38.918947000000003</v>
      </c>
      <c r="BC243" s="126">
        <v>30.957695999999999</v>
      </c>
      <c r="BD243" s="126"/>
      <c r="BE243" s="126"/>
      <c r="BF243" s="126"/>
      <c r="BG243" s="126"/>
      <c r="BO243" s="268">
        <f t="shared" si="642"/>
        <v>0.1384600990394502</v>
      </c>
      <c r="BP243" s="175">
        <f t="shared" si="643"/>
        <v>0.19535115396193181</v>
      </c>
    </row>
    <row r="244" spans="1:68">
      <c r="A244" s="5" t="s">
        <v>30</v>
      </c>
      <c r="B244" s="126"/>
      <c r="C244" s="126"/>
      <c r="D244" s="126"/>
      <c r="E244" s="126"/>
      <c r="F244" s="126"/>
      <c r="G244" s="126"/>
      <c r="H244" s="126"/>
      <c r="I244" s="126"/>
      <c r="J244" s="126"/>
      <c r="K244" s="126"/>
      <c r="L244" s="126"/>
      <c r="M244" s="127"/>
      <c r="N244" s="126"/>
      <c r="O244" s="126"/>
      <c r="P244" s="126"/>
      <c r="Q244" s="126"/>
      <c r="R244" s="126"/>
      <c r="S244" s="126"/>
      <c r="T244" s="126">
        <v>6.9580000000000002</v>
      </c>
      <c r="U244" s="126">
        <v>13.017200000000001</v>
      </c>
      <c r="V244" s="126">
        <v>19.988733</v>
      </c>
      <c r="W244" s="126">
        <v>19.755655999999998</v>
      </c>
      <c r="X244" s="126">
        <v>18.850821</v>
      </c>
      <c r="Y244" s="127">
        <v>15.547800000000001</v>
      </c>
      <c r="Z244" s="126">
        <v>19.872852000000002</v>
      </c>
      <c r="AA244" s="126">
        <v>18.981352000000001</v>
      </c>
      <c r="AB244" s="126">
        <v>19.845155999999999</v>
      </c>
      <c r="AC244" s="126">
        <v>19.009277999999998</v>
      </c>
      <c r="AD244" s="126">
        <v>15.71895525</v>
      </c>
      <c r="AE244" s="126">
        <v>17.914038999999999</v>
      </c>
      <c r="AF244" s="126">
        <v>12.3</v>
      </c>
      <c r="AG244" s="126">
        <v>10.987080000000001</v>
      </c>
      <c r="AH244" s="126">
        <v>16.572914000000001</v>
      </c>
      <c r="AI244" s="126">
        <v>19.319127000000002</v>
      </c>
      <c r="AJ244" s="126">
        <v>21.057967000000001</v>
      </c>
      <c r="AK244" s="127">
        <v>17.620193</v>
      </c>
      <c r="AL244" s="126">
        <v>22.548014999999999</v>
      </c>
      <c r="AM244" s="126">
        <v>21.998225999999999</v>
      </c>
      <c r="AN244" s="126">
        <v>18.268775000000002</v>
      </c>
      <c r="AO244" s="126">
        <v>17.912085000000001</v>
      </c>
      <c r="AP244" s="126">
        <v>18.543396000000001</v>
      </c>
      <c r="AQ244" s="126">
        <v>9.4246444999999994</v>
      </c>
      <c r="AR244" s="126">
        <v>8.23</v>
      </c>
      <c r="AS244" s="126">
        <v>9.6017910000000004</v>
      </c>
      <c r="AT244" s="126">
        <v>16.119160000000001</v>
      </c>
      <c r="AU244" s="126">
        <v>19.804387999999999</v>
      </c>
      <c r="AV244" s="126">
        <v>18.648879999999998</v>
      </c>
      <c r="AW244" s="127">
        <v>15.989741</v>
      </c>
      <c r="AX244" s="126">
        <v>16.808161999999999</v>
      </c>
      <c r="AY244" s="126">
        <v>15.570482</v>
      </c>
      <c r="AZ244" s="126">
        <v>18.248567000000001</v>
      </c>
      <c r="BA244" s="126">
        <v>17.068232999999999</v>
      </c>
      <c r="BB244" s="126">
        <v>14.536244</v>
      </c>
      <c r="BC244" s="126">
        <v>12.793215</v>
      </c>
      <c r="BD244" s="126"/>
      <c r="BE244" s="126"/>
      <c r="BF244" s="126"/>
      <c r="BG244" s="126"/>
      <c r="BO244" s="268">
        <f t="shared" si="642"/>
        <v>4.881116025537411E-2</v>
      </c>
      <c r="BP244" s="175">
        <f t="shared" si="643"/>
        <v>6.8866890521227367E-2</v>
      </c>
    </row>
    <row r="245" spans="1:68">
      <c r="A245" s="5" t="s">
        <v>31</v>
      </c>
      <c r="B245" s="126"/>
      <c r="C245" s="126"/>
      <c r="D245" s="126"/>
      <c r="E245" s="126"/>
      <c r="F245" s="126"/>
      <c r="G245" s="126"/>
      <c r="H245" s="126"/>
      <c r="I245" s="126"/>
      <c r="J245" s="126"/>
      <c r="K245" s="126"/>
      <c r="L245" s="126"/>
      <c r="M245" s="127"/>
      <c r="N245" s="126"/>
      <c r="O245" s="126"/>
      <c r="P245" s="126"/>
      <c r="Q245" s="126"/>
      <c r="R245" s="126"/>
      <c r="S245" s="126"/>
      <c r="T245" s="126">
        <v>0.77100000000000002</v>
      </c>
      <c r="U245" s="126">
        <v>1.6011</v>
      </c>
      <c r="V245" s="126">
        <v>2.5908319999999998</v>
      </c>
      <c r="W245" s="126">
        <v>2.495228</v>
      </c>
      <c r="X245" s="126">
        <v>2.3903249999999998</v>
      </c>
      <c r="Y245" s="127">
        <v>2.0958139999999998</v>
      </c>
      <c r="Z245" s="126">
        <v>2.791337</v>
      </c>
      <c r="AA245" s="126">
        <v>2.7478280000000002</v>
      </c>
      <c r="AB245" s="126">
        <v>2.8367800000000001</v>
      </c>
      <c r="AC245" s="126">
        <v>2.7004760000000001</v>
      </c>
      <c r="AD245" s="126">
        <v>2.15797975</v>
      </c>
      <c r="AE245" s="126">
        <v>2.4828964999999998</v>
      </c>
      <c r="AF245" s="126">
        <v>1.59</v>
      </c>
      <c r="AG245" s="126">
        <v>1.63852</v>
      </c>
      <c r="AH245" s="126">
        <v>2.6086</v>
      </c>
      <c r="AI245" s="126">
        <v>3.315982</v>
      </c>
      <c r="AJ245" s="126">
        <v>3.3169949999999999</v>
      </c>
      <c r="AK245" s="127">
        <v>2.4908000000000001</v>
      </c>
      <c r="AL245" s="126">
        <v>3.0529850000000001</v>
      </c>
      <c r="AM245" s="126">
        <v>3.0477089999999998</v>
      </c>
      <c r="AN245" s="126">
        <v>2.4269690000000002</v>
      </c>
      <c r="AO245" s="126">
        <v>2.4187180000000001</v>
      </c>
      <c r="AP245" s="126">
        <v>2.3244155000000002</v>
      </c>
      <c r="AQ245" s="126">
        <v>1.12164475</v>
      </c>
      <c r="AR245" s="126">
        <v>1.2250000000000001</v>
      </c>
      <c r="AS245" s="126">
        <v>1.577879</v>
      </c>
      <c r="AT245" s="126">
        <v>2.8326479999999998</v>
      </c>
      <c r="AU245" s="126">
        <v>3.0013160000000001</v>
      </c>
      <c r="AV245" s="126">
        <v>2.706823</v>
      </c>
      <c r="AW245" s="127">
        <v>2.5756389999999998</v>
      </c>
      <c r="AX245" s="126">
        <v>2.5566170000000001</v>
      </c>
      <c r="AY245" s="126">
        <v>2.4544860000000002</v>
      </c>
      <c r="AZ245" s="126">
        <v>2.6633550000000001</v>
      </c>
      <c r="BA245" s="126">
        <v>2.732138</v>
      </c>
      <c r="BB245" s="126">
        <v>2.2954840000000001</v>
      </c>
      <c r="BC245" s="126">
        <v>2.0210149999999998</v>
      </c>
      <c r="BD245" s="126"/>
      <c r="BE245" s="126"/>
      <c r="BF245" s="126"/>
      <c r="BG245" s="126"/>
      <c r="BO245" s="268">
        <f t="shared" si="642"/>
        <v>7.6222737052869362E-3</v>
      </c>
      <c r="BP245" s="175">
        <f t="shared" si="643"/>
        <v>1.0754144872576176E-2</v>
      </c>
    </row>
    <row r="246" spans="1:68">
      <c r="A246" s="5" t="s">
        <v>32</v>
      </c>
      <c r="B246" s="126"/>
      <c r="C246" s="126"/>
      <c r="D246" s="126"/>
      <c r="E246" s="126"/>
      <c r="F246" s="126"/>
      <c r="G246" s="126"/>
      <c r="H246" s="126"/>
      <c r="I246" s="126"/>
      <c r="J246" s="126"/>
      <c r="K246" s="126"/>
      <c r="L246" s="126"/>
      <c r="M246" s="127"/>
      <c r="N246" s="126"/>
      <c r="O246" s="126"/>
      <c r="P246" s="126"/>
      <c r="Q246" s="126"/>
      <c r="R246" s="126"/>
      <c r="S246" s="126"/>
      <c r="T246" s="126">
        <v>12.843999999999999</v>
      </c>
      <c r="U246" s="126">
        <v>24.900099999999998</v>
      </c>
      <c r="V246" s="126">
        <v>36.606977999999998</v>
      </c>
      <c r="W246" s="126">
        <v>35.368935</v>
      </c>
      <c r="X246" s="126">
        <v>34.646501999999998</v>
      </c>
      <c r="Y246" s="127">
        <v>30.623597</v>
      </c>
      <c r="Z246" s="126">
        <v>38.907407999999997</v>
      </c>
      <c r="AA246" s="126">
        <v>38.703721999999999</v>
      </c>
      <c r="AB246" s="126">
        <v>38.809508000000001</v>
      </c>
      <c r="AC246" s="126">
        <v>35.365760000000002</v>
      </c>
      <c r="AD246" s="126">
        <v>27.710543749999999</v>
      </c>
      <c r="AE246" s="126">
        <v>29.79025</v>
      </c>
      <c r="AF246" s="126">
        <v>19.372</v>
      </c>
      <c r="AG246" s="126">
        <v>17.451499999999999</v>
      </c>
      <c r="AH246" s="126">
        <v>29.289014999999999</v>
      </c>
      <c r="AI246" s="126">
        <v>36.972996999999999</v>
      </c>
      <c r="AJ246" s="126">
        <v>41.012895999999998</v>
      </c>
      <c r="AK246" s="127">
        <v>30.842880000000001</v>
      </c>
      <c r="AL246" s="126">
        <v>39.342678999999997</v>
      </c>
      <c r="AM246" s="126">
        <v>38.613058000000002</v>
      </c>
      <c r="AN246" s="126">
        <v>31.562313</v>
      </c>
      <c r="AO246" s="126">
        <v>33.094710999999997</v>
      </c>
      <c r="AP246" s="126">
        <v>29.024059999999999</v>
      </c>
      <c r="AQ246" s="126">
        <v>12.5898465</v>
      </c>
      <c r="AR246" s="126">
        <v>14.285</v>
      </c>
      <c r="AS246" s="126">
        <v>17.750972000000001</v>
      </c>
      <c r="AT246" s="126">
        <v>30.060162600000002</v>
      </c>
      <c r="AU246" s="126">
        <v>34.815233999999997</v>
      </c>
      <c r="AV246" s="126">
        <v>30.039899999999999</v>
      </c>
      <c r="AW246" s="127">
        <v>28.086518999999999</v>
      </c>
      <c r="AX246" s="126">
        <v>29.343658000000001</v>
      </c>
      <c r="AY246" s="126">
        <v>29.245723999999999</v>
      </c>
      <c r="AZ246" s="126">
        <v>34.553505999999999</v>
      </c>
      <c r="BA246" s="126">
        <v>32.662042</v>
      </c>
      <c r="BB246" s="126">
        <v>25.114688999999998</v>
      </c>
      <c r="BC246" s="126">
        <v>20.624672</v>
      </c>
      <c r="BD246" s="126"/>
      <c r="BE246" s="126"/>
      <c r="BF246" s="126"/>
      <c r="BG246" s="126"/>
      <c r="BO246" s="268">
        <f t="shared" si="642"/>
        <v>8.6909546348446082E-2</v>
      </c>
      <c r="BP246" s="175">
        <f t="shared" si="643"/>
        <v>0.12261929817513409</v>
      </c>
    </row>
    <row r="247" spans="1:68">
      <c r="A247" s="5" t="s">
        <v>33</v>
      </c>
      <c r="B247" s="126"/>
      <c r="C247" s="126"/>
      <c r="D247" s="126"/>
      <c r="E247" s="126"/>
      <c r="F247" s="126"/>
      <c r="G247" s="126"/>
      <c r="H247" s="126"/>
      <c r="I247" s="126"/>
      <c r="J247" s="126"/>
      <c r="K247" s="126"/>
      <c r="L247" s="126"/>
      <c r="M247" s="127"/>
      <c r="N247" s="126"/>
      <c r="O247" s="126"/>
      <c r="P247" s="126"/>
      <c r="Q247" s="126"/>
      <c r="R247" s="126"/>
      <c r="S247" s="126"/>
      <c r="T247" s="126">
        <v>2.3959999999999999</v>
      </c>
      <c r="U247" s="126">
        <v>4.4438000000000004</v>
      </c>
      <c r="V247" s="126">
        <v>5.8186640000000001</v>
      </c>
      <c r="W247" s="126">
        <v>5.3342710000000002</v>
      </c>
      <c r="X247" s="126">
        <v>5.1144090000000002</v>
      </c>
      <c r="Y247" s="127">
        <v>4.2365440000000003</v>
      </c>
      <c r="Z247" s="126">
        <v>5.8683699999999996</v>
      </c>
      <c r="AA247" s="126">
        <v>5.7897790000000002</v>
      </c>
      <c r="AB247" s="126">
        <v>5.9833860000000003</v>
      </c>
      <c r="AC247" s="126">
        <v>5.8976410000000001</v>
      </c>
      <c r="AD247" s="126">
        <v>5.1293527499999998</v>
      </c>
      <c r="AE247" s="126">
        <v>5.4921437500000003</v>
      </c>
      <c r="AF247" s="126">
        <v>3.5449999999999999</v>
      </c>
      <c r="AG247" s="126">
        <v>3.7132999999999998</v>
      </c>
      <c r="AH247" s="126">
        <v>5.557264</v>
      </c>
      <c r="AI247" s="126">
        <v>6.3204710000000004</v>
      </c>
      <c r="AJ247" s="126">
        <v>6.4399470000000001</v>
      </c>
      <c r="AK247" s="127">
        <v>5.4137890000000004</v>
      </c>
      <c r="AL247" s="126">
        <v>6.2824390000000001</v>
      </c>
      <c r="AM247" s="126">
        <v>6.3049569999999999</v>
      </c>
      <c r="AN247" s="126">
        <v>4.9289889999999996</v>
      </c>
      <c r="AO247" s="126">
        <v>5.4026820000000004</v>
      </c>
      <c r="AP247" s="126">
        <v>5.08569125</v>
      </c>
      <c r="AQ247" s="126">
        <v>2.9633522499999998</v>
      </c>
      <c r="AR247" s="126">
        <v>2.6549999999999998</v>
      </c>
      <c r="AS247" s="126">
        <v>3.5564640000000001</v>
      </c>
      <c r="AT247" s="126">
        <v>5.3299729999999998</v>
      </c>
      <c r="AU247" s="126">
        <v>6.1588710000000004</v>
      </c>
      <c r="AV247" s="126">
        <v>5.2791969999999999</v>
      </c>
      <c r="AW247" s="127">
        <v>4.906002</v>
      </c>
      <c r="AX247" s="126">
        <v>5.4111330000000004</v>
      </c>
      <c r="AY247" s="126">
        <v>5.7468320000000004</v>
      </c>
      <c r="AZ247" s="126">
        <v>6.1780330000000001</v>
      </c>
      <c r="BA247" s="126">
        <v>6.0953359999999996</v>
      </c>
      <c r="BB247" s="126">
        <v>5.0684969999999998</v>
      </c>
      <c r="BC247" s="126">
        <v>4.6252579999999996</v>
      </c>
      <c r="BD247" s="126"/>
      <c r="BE247" s="126"/>
      <c r="BF247" s="126"/>
      <c r="BG247" s="126"/>
      <c r="BO247" s="268">
        <f t="shared" si="642"/>
        <v>1.6236050807009343E-2</v>
      </c>
      <c r="BP247" s="175">
        <f t="shared" si="643"/>
        <v>2.2907186134758842E-2</v>
      </c>
    </row>
    <row r="248" spans="1:68">
      <c r="A248" s="5" t="s">
        <v>34</v>
      </c>
      <c r="B248" s="126"/>
      <c r="C248" s="126"/>
      <c r="D248" s="126"/>
      <c r="E248" s="126"/>
      <c r="F248" s="126"/>
      <c r="G248" s="126"/>
      <c r="H248" s="126"/>
      <c r="I248" s="126"/>
      <c r="J248" s="126"/>
      <c r="K248" s="126"/>
      <c r="L248" s="126"/>
      <c r="M248" s="127"/>
      <c r="N248" s="126"/>
      <c r="O248" s="126"/>
      <c r="P248" s="126"/>
      <c r="Q248" s="126"/>
      <c r="R248" s="126"/>
      <c r="S248" s="126"/>
      <c r="T248" s="126">
        <v>11.114000000000001</v>
      </c>
      <c r="U248" s="126">
        <v>18.061299999999999</v>
      </c>
      <c r="V248" s="126">
        <v>30.802187</v>
      </c>
      <c r="W248" s="126">
        <v>31.958907</v>
      </c>
      <c r="X248" s="126">
        <v>32.391978000000002</v>
      </c>
      <c r="Y248" s="127">
        <v>26.832108000000002</v>
      </c>
      <c r="Z248" s="126">
        <v>35.908631999999997</v>
      </c>
      <c r="AA248" s="126">
        <v>35.011443</v>
      </c>
      <c r="AB248" s="126">
        <v>36.149962000000002</v>
      </c>
      <c r="AC248" s="126">
        <v>33.580542999999999</v>
      </c>
      <c r="AD248" s="209">
        <v>27.710543749999999</v>
      </c>
      <c r="AE248" s="126">
        <v>33.438076250000002</v>
      </c>
      <c r="AF248" s="126">
        <v>22.722999999999999</v>
      </c>
      <c r="AG248" s="126">
        <v>17.899999999999999</v>
      </c>
      <c r="AH248" s="126">
        <v>30.681283000000001</v>
      </c>
      <c r="AI248" s="126">
        <v>39.077927000000003</v>
      </c>
      <c r="AJ248" s="126">
        <v>41.220517999999998</v>
      </c>
      <c r="AK248" s="127">
        <v>31.700424000000002</v>
      </c>
      <c r="AL248" s="126">
        <v>39.598018000000003</v>
      </c>
      <c r="AM248" s="126">
        <v>39.658016000000003</v>
      </c>
      <c r="AN248" s="126">
        <v>33.764946000000002</v>
      </c>
      <c r="AO248" s="126">
        <v>35.224848999999999</v>
      </c>
      <c r="AP248" s="126">
        <v>33.115613000000003</v>
      </c>
      <c r="AQ248" s="126">
        <v>16.968657</v>
      </c>
      <c r="AR248" s="126">
        <v>17.787800000000001</v>
      </c>
      <c r="AS248" s="126">
        <v>17.597459000000001</v>
      </c>
      <c r="AT248" s="126">
        <v>34.078316000000001</v>
      </c>
      <c r="AU248" s="126">
        <v>38.461421000000001</v>
      </c>
      <c r="AV248" s="126">
        <v>33.907729000000003</v>
      </c>
      <c r="AW248" s="127">
        <v>31.989681000000001</v>
      </c>
      <c r="AX248" s="126">
        <v>34.192117600000003</v>
      </c>
      <c r="AY248" s="126">
        <v>34.301059000000002</v>
      </c>
      <c r="AZ248" s="126">
        <v>38.792935999999997</v>
      </c>
      <c r="BA248" s="126">
        <v>37.198808</v>
      </c>
      <c r="BB248" s="126">
        <v>30.093394</v>
      </c>
      <c r="BC248" s="126">
        <v>27.704619999999998</v>
      </c>
      <c r="BD248" s="126"/>
      <c r="BE248" s="126"/>
      <c r="BF248" s="126"/>
      <c r="BG248" s="126"/>
      <c r="BO248" s="268">
        <f t="shared" si="642"/>
        <v>0.10008860458876936</v>
      </c>
      <c r="BP248" s="175">
        <f t="shared" si="643"/>
        <v>0.14121342206526014</v>
      </c>
    </row>
    <row r="249" spans="1:68">
      <c r="A249" s="5" t="s">
        <v>35</v>
      </c>
      <c r="B249" s="126"/>
      <c r="C249" s="126"/>
      <c r="D249" s="126"/>
      <c r="E249" s="126"/>
      <c r="F249" s="126"/>
      <c r="G249" s="126"/>
      <c r="H249" s="126"/>
      <c r="I249" s="126"/>
      <c r="J249" s="126"/>
      <c r="K249" s="126"/>
      <c r="L249" s="126"/>
      <c r="M249" s="127"/>
      <c r="N249" s="126"/>
      <c r="O249" s="126"/>
      <c r="P249" s="126"/>
      <c r="Q249" s="126"/>
      <c r="R249" s="126"/>
      <c r="S249" s="126"/>
      <c r="T249" s="126">
        <v>2.677</v>
      </c>
      <c r="U249" s="126">
        <v>5.1741999999999999</v>
      </c>
      <c r="V249" s="126">
        <v>7.2106529999999998</v>
      </c>
      <c r="W249" s="126">
        <v>7.1093250000000001</v>
      </c>
      <c r="X249" s="126">
        <v>6.4862970000000004</v>
      </c>
      <c r="Y249" s="127">
        <v>5.4896089999999997</v>
      </c>
      <c r="Z249" s="126">
        <v>7.3700080000000003</v>
      </c>
      <c r="AA249" s="126">
        <v>6.8171299999999997</v>
      </c>
      <c r="AB249" s="126">
        <v>7.3501649999999996</v>
      </c>
      <c r="AC249" s="126">
        <v>7.6385379999999996</v>
      </c>
      <c r="AD249" s="209">
        <v>6.2965497499999996</v>
      </c>
      <c r="AE249" s="126">
        <v>7.2686057499999999</v>
      </c>
      <c r="AF249" s="126">
        <v>4.2729999999999997</v>
      </c>
      <c r="AG249" s="126">
        <v>4.8552</v>
      </c>
      <c r="AH249" s="126">
        <v>7.4533899999999997</v>
      </c>
      <c r="AI249" s="126">
        <v>8.1554889999999993</v>
      </c>
      <c r="AJ249" s="126">
        <v>8.2815189999999994</v>
      </c>
      <c r="AK249" s="127">
        <v>6.4736180000000001</v>
      </c>
      <c r="AL249" s="126">
        <v>7.7489080000000001</v>
      </c>
      <c r="AM249" s="126">
        <v>7.5376190000000003</v>
      </c>
      <c r="AN249" s="126">
        <v>5.9224100000000002</v>
      </c>
      <c r="AO249" s="126">
        <v>6.0907169999999997</v>
      </c>
      <c r="AP249" s="126">
        <v>5.7657142500000003</v>
      </c>
      <c r="AQ249" s="126">
        <v>2.8054144999999999</v>
      </c>
      <c r="AR249" s="126">
        <v>2.9980000000000002</v>
      </c>
      <c r="AS249" s="126">
        <v>3.6726960000000002</v>
      </c>
      <c r="AT249" s="126">
        <v>6.0177759999999996</v>
      </c>
      <c r="AU249" s="126">
        <v>7.1221100000000002</v>
      </c>
      <c r="AV249" s="126">
        <v>6.1782709999999996</v>
      </c>
      <c r="AW249" s="127">
        <v>5.8206300000000004</v>
      </c>
      <c r="AX249" s="126">
        <v>6.2469109999999999</v>
      </c>
      <c r="AY249" s="126">
        <v>5.2739539999999998</v>
      </c>
      <c r="AZ249" s="126">
        <v>6.7866580000000001</v>
      </c>
      <c r="BA249" s="126">
        <v>7.1855580000000003</v>
      </c>
      <c r="BB249" s="126">
        <v>5.6482619999999999</v>
      </c>
      <c r="BC249" s="126">
        <v>4.5937919999999997</v>
      </c>
      <c r="BD249" s="126"/>
      <c r="BE249" s="126"/>
      <c r="BF249" s="126"/>
      <c r="BG249" s="126"/>
      <c r="BO249" s="268">
        <f t="shared" si="642"/>
        <v>1.7974875210005126E-2</v>
      </c>
      <c r="BP249" s="175">
        <f t="shared" si="643"/>
        <v>2.5360465859523527E-2</v>
      </c>
    </row>
    <row r="250" spans="1:68">
      <c r="A250" s="5" t="s">
        <v>36</v>
      </c>
      <c r="B250" s="126"/>
      <c r="C250" s="126"/>
      <c r="D250" s="126"/>
      <c r="E250" s="126"/>
      <c r="F250" s="126"/>
      <c r="G250" s="126"/>
      <c r="H250" s="126"/>
      <c r="I250" s="126"/>
      <c r="J250" s="126"/>
      <c r="K250" s="126"/>
      <c r="L250" s="126"/>
      <c r="M250" s="127"/>
      <c r="N250" s="126"/>
      <c r="O250" s="126"/>
      <c r="P250" s="126"/>
      <c r="Q250" s="126"/>
      <c r="R250" s="126"/>
      <c r="S250" s="126"/>
      <c r="T250" s="126">
        <v>0.28100000000000003</v>
      </c>
      <c r="U250" s="126">
        <v>0.59299000000000002</v>
      </c>
      <c r="V250" s="126">
        <v>0.927921</v>
      </c>
      <c r="W250" s="126">
        <v>0.96673399999999998</v>
      </c>
      <c r="X250" s="126">
        <v>0.94747199999999998</v>
      </c>
      <c r="Y250" s="127">
        <v>0.77380000000000004</v>
      </c>
      <c r="Z250" s="126">
        <v>0.93803400000000003</v>
      </c>
      <c r="AA250" s="126">
        <v>1.0676969999999999</v>
      </c>
      <c r="AB250" s="126">
        <v>1.2755369999999999</v>
      </c>
      <c r="AC250" s="126">
        <v>1.1140300000000001</v>
      </c>
      <c r="AD250" s="126">
        <v>0.87063550000000001</v>
      </c>
      <c r="AE250" s="126">
        <v>1.0581505</v>
      </c>
      <c r="AF250" s="126">
        <v>0.51100000000000001</v>
      </c>
      <c r="AG250" s="126">
        <v>0.48964000000000002</v>
      </c>
      <c r="AH250" s="126">
        <v>0.75322199999999995</v>
      </c>
      <c r="AI250" s="126">
        <v>1.2637579999999999</v>
      </c>
      <c r="AJ250" s="126">
        <v>1.808657</v>
      </c>
      <c r="AK250" s="127">
        <v>1.1403669999999999</v>
      </c>
      <c r="AL250" s="126">
        <v>1.125694</v>
      </c>
      <c r="AM250" s="126">
        <v>1.0990690000000001</v>
      </c>
      <c r="AN250" s="126">
        <v>0.94139700000000004</v>
      </c>
      <c r="AO250" s="126">
        <v>1.1705460000000001</v>
      </c>
      <c r="AP250" s="126">
        <v>1.1118757500000001</v>
      </c>
      <c r="AQ250" s="126">
        <v>0.36133349999999997</v>
      </c>
      <c r="AR250" s="126">
        <v>0.48099999999999998</v>
      </c>
      <c r="AS250" s="126">
        <v>0.52836499999999997</v>
      </c>
      <c r="AT250" s="126">
        <v>0.85309500000000005</v>
      </c>
      <c r="AU250" s="126">
        <v>1.047183</v>
      </c>
      <c r="AV250" s="126">
        <v>1.033679</v>
      </c>
      <c r="AW250" s="127">
        <v>0.92754400000000004</v>
      </c>
      <c r="AX250" s="126">
        <v>0.86838800000000005</v>
      </c>
      <c r="AY250" s="126">
        <v>0.73885500000000004</v>
      </c>
      <c r="AZ250" s="126">
        <v>0.87817199999999995</v>
      </c>
      <c r="BA250" s="126">
        <v>0.87404800000000005</v>
      </c>
      <c r="BB250" s="126">
        <v>0.59270999999999996</v>
      </c>
      <c r="BC250" s="126">
        <v>0.36998700000000001</v>
      </c>
      <c r="BD250" s="126"/>
      <c r="BE250" s="126"/>
      <c r="BF250" s="126"/>
      <c r="BG250" s="126"/>
      <c r="BO250" s="268">
        <f t="shared" si="642"/>
        <v>2.4464346685968761E-3</v>
      </c>
      <c r="BP250" s="175">
        <f t="shared" si="643"/>
        <v>3.4516358064044738E-3</v>
      </c>
    </row>
    <row r="251" spans="1:68">
      <c r="A251" s="5" t="s">
        <v>37</v>
      </c>
      <c r="B251" s="126"/>
      <c r="C251" s="126"/>
      <c r="D251" s="126"/>
      <c r="E251" s="126"/>
      <c r="F251" s="126"/>
      <c r="G251" s="126"/>
      <c r="H251" s="126"/>
      <c r="I251" s="126"/>
      <c r="J251" s="126"/>
      <c r="K251" s="126"/>
      <c r="L251" s="126"/>
      <c r="M251" s="127"/>
      <c r="N251" s="126"/>
      <c r="O251" s="126"/>
      <c r="P251" s="126"/>
      <c r="Q251" s="126"/>
      <c r="R251" s="126"/>
      <c r="S251" s="126"/>
      <c r="T251" s="126">
        <v>5.0860000000000003</v>
      </c>
      <c r="U251" s="126">
        <v>8.1820000000000004</v>
      </c>
      <c r="V251" s="126">
        <v>13.05842</v>
      </c>
      <c r="W251" s="126">
        <v>12.33474</v>
      </c>
      <c r="X251" s="126">
        <v>12.628861000000001</v>
      </c>
      <c r="Y251" s="127">
        <v>10.640829</v>
      </c>
      <c r="Z251" s="126">
        <v>13.749974999999999</v>
      </c>
      <c r="AA251" s="126">
        <v>13.148396</v>
      </c>
      <c r="AB251" s="126">
        <v>14.381074</v>
      </c>
      <c r="AC251" s="126">
        <v>13.732417</v>
      </c>
      <c r="AD251" s="126">
        <v>10.526212749999999</v>
      </c>
      <c r="AE251" s="126">
        <v>11.784270749999999</v>
      </c>
      <c r="AF251" s="126">
        <v>7.6740000000000004</v>
      </c>
      <c r="AG251" s="126">
        <v>6.9156709999999997</v>
      </c>
      <c r="AH251" s="126">
        <v>11.12318</v>
      </c>
      <c r="AI251" s="126">
        <v>14.675473</v>
      </c>
      <c r="AJ251" s="126">
        <v>15.084806</v>
      </c>
      <c r="AK251" s="127">
        <v>11.786861999999999</v>
      </c>
      <c r="AL251" s="126">
        <v>13.859647000000001</v>
      </c>
      <c r="AM251" s="126">
        <v>14.401254</v>
      </c>
      <c r="AN251" s="126">
        <v>11.848936</v>
      </c>
      <c r="AO251" s="126">
        <v>12.108409999999999</v>
      </c>
      <c r="AP251" s="126">
        <v>10.979613000000001</v>
      </c>
      <c r="AQ251" s="126">
        <v>5.7945194999999998</v>
      </c>
      <c r="AR251" s="126">
        <v>5.9089999999999998</v>
      </c>
      <c r="AS251" s="126">
        <v>6.609807</v>
      </c>
      <c r="AT251" s="126">
        <v>12.973223000000001</v>
      </c>
      <c r="AU251" s="126">
        <v>15.230753999999999</v>
      </c>
      <c r="AV251" s="126">
        <v>12.99797</v>
      </c>
      <c r="AW251" s="127">
        <v>11.978406</v>
      </c>
      <c r="AX251" s="126">
        <v>12.944353</v>
      </c>
      <c r="AY251" s="126">
        <v>13.042396999999999</v>
      </c>
      <c r="AZ251" s="126">
        <v>14.403267</v>
      </c>
      <c r="BA251" s="126">
        <v>13.960520000000001</v>
      </c>
      <c r="BB251" s="126">
        <v>10.696382</v>
      </c>
      <c r="BC251" s="126">
        <v>10.024817000000001</v>
      </c>
      <c r="BD251" s="126"/>
      <c r="BE251" s="126"/>
      <c r="BF251" s="126"/>
      <c r="BG251" s="126"/>
      <c r="BO251" s="268">
        <f t="shared" si="642"/>
        <v>3.746174549096732E-2</v>
      </c>
      <c r="BP251" s="175">
        <f t="shared" si="643"/>
        <v>5.2854181542969676E-2</v>
      </c>
    </row>
    <row r="252" spans="1:68">
      <c r="A252" s="5" t="s">
        <v>38</v>
      </c>
      <c r="B252" s="126"/>
      <c r="C252" s="126"/>
      <c r="D252" s="126"/>
      <c r="E252" s="126"/>
      <c r="F252" s="126"/>
      <c r="G252" s="126"/>
      <c r="H252" s="126"/>
      <c r="I252" s="126"/>
      <c r="J252" s="126"/>
      <c r="K252" s="126"/>
      <c r="L252" s="126"/>
      <c r="M252" s="127"/>
      <c r="N252" s="126"/>
      <c r="O252" s="126"/>
      <c r="P252" s="126"/>
      <c r="Q252" s="126"/>
      <c r="R252" s="126"/>
      <c r="S252" s="126"/>
      <c r="T252" s="126">
        <v>9.1289999999999996</v>
      </c>
      <c r="U252" s="126">
        <v>19.0929</v>
      </c>
      <c r="V252" s="126">
        <v>27.812390000000001</v>
      </c>
      <c r="W252" s="126">
        <v>26.372865000000001</v>
      </c>
      <c r="X252" s="126">
        <v>25.575133999999998</v>
      </c>
      <c r="Y252" s="127">
        <v>21.996397999999999</v>
      </c>
      <c r="Z252" s="126">
        <v>29.732880000000002</v>
      </c>
      <c r="AA252" s="126">
        <v>27.315781999999999</v>
      </c>
      <c r="AB252" s="126">
        <v>29.101756999999999</v>
      </c>
      <c r="AC252" s="126">
        <v>27.957597</v>
      </c>
      <c r="AD252" s="126">
        <v>20.519606750000001</v>
      </c>
      <c r="AE252" s="126">
        <v>20.004047750000002</v>
      </c>
      <c r="AF252" s="126">
        <v>12.815</v>
      </c>
      <c r="AG252" s="126">
        <v>15.14359</v>
      </c>
      <c r="AH252" s="126">
        <v>22.142453</v>
      </c>
      <c r="AI252" s="126">
        <v>27.323854999999998</v>
      </c>
      <c r="AJ252" s="126">
        <v>26.872485999999999</v>
      </c>
      <c r="AK252" s="127">
        <v>21.347885999999999</v>
      </c>
      <c r="AL252" s="126">
        <v>26.219103</v>
      </c>
      <c r="AM252" s="126">
        <v>26.425577000000001</v>
      </c>
      <c r="AN252" s="126">
        <v>21.973147999999998</v>
      </c>
      <c r="AO252" s="126">
        <v>23.303871999999998</v>
      </c>
      <c r="AP252" s="126">
        <v>21.339216749999999</v>
      </c>
      <c r="AQ252" s="126">
        <v>10.224090500000001</v>
      </c>
      <c r="AR252" s="126">
        <v>10.504</v>
      </c>
      <c r="AS252" s="126">
        <v>13.523548999999999</v>
      </c>
      <c r="AT252" s="126">
        <v>22.871738000000001</v>
      </c>
      <c r="AU252" s="126">
        <v>27.222566</v>
      </c>
      <c r="AV252" s="126">
        <v>22.093789999999998</v>
      </c>
      <c r="AW252" s="127">
        <v>20.495294999999999</v>
      </c>
      <c r="AX252" s="126">
        <v>21.397138999999999</v>
      </c>
      <c r="AY252" s="126">
        <v>21.054349999999999</v>
      </c>
      <c r="AZ252" s="126">
        <v>22.643545</v>
      </c>
      <c r="BA252" s="126">
        <v>22.92914</v>
      </c>
      <c r="BB252" s="126">
        <v>17.633808999999999</v>
      </c>
      <c r="BC252" s="126">
        <v>14.171141</v>
      </c>
      <c r="BD252" s="126"/>
      <c r="BE252" s="126"/>
      <c r="BF252" s="126"/>
      <c r="BG252" s="126"/>
      <c r="BO252" s="268">
        <f t="shared" si="642"/>
        <v>6.2947696241569914E-2</v>
      </c>
      <c r="BP252" s="175">
        <f t="shared" si="643"/>
        <v>8.8811904551160226E-2</v>
      </c>
    </row>
    <row r="253" spans="1:68">
      <c r="A253" s="5" t="s">
        <v>39</v>
      </c>
      <c r="B253" s="126"/>
      <c r="C253" s="126"/>
      <c r="D253" s="126"/>
      <c r="E253" s="126"/>
      <c r="F253" s="126"/>
      <c r="G253" s="126"/>
      <c r="H253" s="126"/>
      <c r="I253" s="126"/>
      <c r="J253" s="126"/>
      <c r="K253" s="126"/>
      <c r="L253" s="126"/>
      <c r="M253" s="127"/>
      <c r="N253" s="126"/>
      <c r="O253" s="126"/>
      <c r="P253" s="126"/>
      <c r="Q253" s="126"/>
      <c r="R253" s="126"/>
      <c r="S253" s="126"/>
      <c r="T253" s="126">
        <v>0.64400000000000002</v>
      </c>
      <c r="U253" s="126">
        <v>1.2534000000000001</v>
      </c>
      <c r="V253" s="126">
        <v>1.8690560000000001</v>
      </c>
      <c r="W253" s="126">
        <v>2.029191</v>
      </c>
      <c r="X253" s="126">
        <v>1.9707410000000001</v>
      </c>
      <c r="Y253" s="127">
        <v>1.457133</v>
      </c>
      <c r="Z253" s="126">
        <v>1.9122380000000001</v>
      </c>
      <c r="AA253" s="126">
        <v>1.7739670000000001</v>
      </c>
      <c r="AB253" s="126">
        <v>1.9044099999999999</v>
      </c>
      <c r="AC253" s="126">
        <v>1.7663960000000001</v>
      </c>
      <c r="AD253" s="126">
        <v>1.25280675</v>
      </c>
      <c r="AE253" s="126">
        <v>1.09803625</v>
      </c>
      <c r="AF253" s="126">
        <v>0.871</v>
      </c>
      <c r="AG253" s="126">
        <v>1.0691900000000001</v>
      </c>
      <c r="AH253" s="126">
        <v>1.5301480000000001</v>
      </c>
      <c r="AI253" s="126">
        <v>1.742847</v>
      </c>
      <c r="AJ253" s="126">
        <v>1.5912470000000001</v>
      </c>
      <c r="AK253" s="127">
        <v>1.1650510000000001</v>
      </c>
      <c r="AL253" s="126">
        <v>1.3567020000000001</v>
      </c>
      <c r="AM253" s="126">
        <v>1.4508099999999999</v>
      </c>
      <c r="AN253" s="126">
        <v>1.138682</v>
      </c>
      <c r="AO253" s="126">
        <v>1.0926819999999999</v>
      </c>
      <c r="AP253" s="126">
        <v>0.97428674999999998</v>
      </c>
      <c r="AQ253" s="126">
        <v>0.48091875000000001</v>
      </c>
      <c r="AR253" s="126">
        <v>0.64700000000000002</v>
      </c>
      <c r="AS253" s="126">
        <v>0.78868199999999999</v>
      </c>
      <c r="AT253" s="126">
        <v>1.2399009999999999</v>
      </c>
      <c r="AU253" s="126">
        <v>1.4305909999999999</v>
      </c>
      <c r="AV253" s="126">
        <v>1.06718</v>
      </c>
      <c r="AW253" s="127">
        <v>0.90892399999999995</v>
      </c>
      <c r="AX253" s="126">
        <v>1.0343500000000001</v>
      </c>
      <c r="AY253" s="126">
        <v>1.0903499999999999</v>
      </c>
      <c r="AZ253" s="126">
        <v>1.1059190000000001</v>
      </c>
      <c r="BA253" s="126">
        <v>1.20197</v>
      </c>
      <c r="BB253" s="126">
        <v>0.88073500000000005</v>
      </c>
      <c r="BC253" s="126">
        <v>0.58843599999999996</v>
      </c>
      <c r="BD253" s="126"/>
      <c r="BE253" s="126"/>
      <c r="BF253" s="126"/>
      <c r="BG253" s="126"/>
      <c r="BO253" s="268">
        <f t="shared" si="642"/>
        <v>3.189174710588479E-3</v>
      </c>
      <c r="BP253" s="175">
        <f t="shared" si="643"/>
        <v>4.4995559314323546E-3</v>
      </c>
    </row>
    <row r="254" spans="1:68">
      <c r="A254" s="5" t="s">
        <v>40</v>
      </c>
      <c r="B254" s="126"/>
      <c r="C254" s="126"/>
      <c r="D254" s="126"/>
      <c r="E254" s="126"/>
      <c r="F254" s="126"/>
      <c r="G254" s="126"/>
      <c r="H254" s="126"/>
      <c r="I254" s="126"/>
      <c r="J254" s="126"/>
      <c r="K254" s="126"/>
      <c r="L254" s="126"/>
      <c r="M254" s="127"/>
      <c r="N254" s="126"/>
      <c r="O254" s="126"/>
      <c r="P254" s="126"/>
      <c r="Q254" s="126"/>
      <c r="R254" s="126"/>
      <c r="S254" s="126"/>
      <c r="T254" s="126">
        <v>8.0519999999999996</v>
      </c>
      <c r="U254" s="126">
        <v>18.363399999999999</v>
      </c>
      <c r="V254" s="126">
        <v>25.383649999999999</v>
      </c>
      <c r="W254" s="126">
        <v>25.380927</v>
      </c>
      <c r="X254" s="126">
        <v>24.266086999999999</v>
      </c>
      <c r="Y254" s="127">
        <v>20.238161999999999</v>
      </c>
      <c r="Z254" s="126">
        <v>27.132591000000001</v>
      </c>
      <c r="AA254" s="126">
        <v>24.801777000000001</v>
      </c>
      <c r="AB254" s="126">
        <v>27.222431</v>
      </c>
      <c r="AC254" s="126">
        <v>25.060203999999999</v>
      </c>
      <c r="AD254" s="126">
        <v>17.883244749999999</v>
      </c>
      <c r="AE254" s="126">
        <v>18.042311250000001</v>
      </c>
      <c r="AF254" s="126">
        <v>11.217000000000001</v>
      </c>
      <c r="AG254" s="126">
        <v>13.2037</v>
      </c>
      <c r="AH254" s="126">
        <v>19.415939999999999</v>
      </c>
      <c r="AI254" s="126">
        <v>23.992483</v>
      </c>
      <c r="AJ254" s="126">
        <v>25.975442000000001</v>
      </c>
      <c r="AK254" s="127">
        <v>20.366728999999999</v>
      </c>
      <c r="AL254" s="126">
        <v>24.217859000000001</v>
      </c>
      <c r="AM254" s="126">
        <v>23.545627</v>
      </c>
      <c r="AN254" s="126">
        <v>18.891227000000001</v>
      </c>
      <c r="AO254" s="126">
        <v>20.875063000000001</v>
      </c>
      <c r="AP254" s="126">
        <v>19.220825999999999</v>
      </c>
      <c r="AQ254" s="126">
        <v>7.8773242000000003</v>
      </c>
      <c r="AR254" s="126">
        <v>8.2789999999999999</v>
      </c>
      <c r="AS254" s="126">
        <v>11.370706999999999</v>
      </c>
      <c r="AT254" s="126">
        <v>18.681291999999999</v>
      </c>
      <c r="AU254" s="126">
        <v>21.551455000000001</v>
      </c>
      <c r="AV254" s="126">
        <v>16.882947999999999</v>
      </c>
      <c r="AW254" s="127">
        <v>16.017489000000001</v>
      </c>
      <c r="AX254" s="126">
        <v>17.199052999999999</v>
      </c>
      <c r="AY254" s="126">
        <v>17.034611000000002</v>
      </c>
      <c r="AZ254" s="126">
        <v>18.352468999999999</v>
      </c>
      <c r="BA254" s="126">
        <v>18.296102000000001</v>
      </c>
      <c r="BB254" s="126">
        <v>13.756513</v>
      </c>
      <c r="BC254" s="126">
        <v>10.701124999999999</v>
      </c>
      <c r="BD254" s="126"/>
      <c r="BE254" s="126"/>
      <c r="BF254" s="126"/>
      <c r="BG254" s="126"/>
      <c r="BO254" s="268">
        <f t="shared" si="642"/>
        <v>5.0062955527578001E-2</v>
      </c>
      <c r="BP254" s="175">
        <f t="shared" si="643"/>
        <v>7.0633028582990892E-2</v>
      </c>
    </row>
    <row r="255" spans="1:68">
      <c r="A255" s="5" t="s">
        <v>41</v>
      </c>
      <c r="B255" s="126"/>
      <c r="C255" s="126"/>
      <c r="D255" s="126"/>
      <c r="E255" s="126"/>
      <c r="F255" s="126"/>
      <c r="G255" s="126"/>
      <c r="H255" s="126"/>
      <c r="I255" s="126"/>
      <c r="J255" s="126"/>
      <c r="K255" s="126"/>
      <c r="L255" s="126"/>
      <c r="M255" s="127"/>
      <c r="N255" s="126"/>
      <c r="O255" s="126"/>
      <c r="P255" s="126"/>
      <c r="Q255" s="126"/>
      <c r="R255" s="126"/>
      <c r="S255" s="126"/>
      <c r="T255" s="126">
        <v>6.1459999999999999</v>
      </c>
      <c r="U255" s="126">
        <v>11.3277</v>
      </c>
      <c r="V255" s="126">
        <v>16.028320999999998</v>
      </c>
      <c r="W255" s="126">
        <v>16.170912000000001</v>
      </c>
      <c r="X255" s="126">
        <v>15.914464000000001</v>
      </c>
      <c r="Y255" s="127">
        <v>13.857735</v>
      </c>
      <c r="Z255" s="126">
        <v>17.659374</v>
      </c>
      <c r="AA255" s="126">
        <v>17.705918</v>
      </c>
      <c r="AB255" s="126">
        <v>18.705015</v>
      </c>
      <c r="AC255" s="126">
        <v>18.035329999999998</v>
      </c>
      <c r="AD255" s="126">
        <v>14.746172250000001</v>
      </c>
      <c r="AE255" s="126">
        <v>16.42811425</v>
      </c>
      <c r="AF255" s="126">
        <v>10.898</v>
      </c>
      <c r="AG255" s="126">
        <v>10.205067</v>
      </c>
      <c r="AH255" s="126">
        <v>16.424485000000001</v>
      </c>
      <c r="AI255" s="126">
        <v>19.58792</v>
      </c>
      <c r="AJ255" s="126">
        <v>21.127255999999999</v>
      </c>
      <c r="AK255" s="127">
        <v>15.890893</v>
      </c>
      <c r="AL255" s="126">
        <v>18.873667999999999</v>
      </c>
      <c r="AM255" s="126">
        <v>19.367111000000001</v>
      </c>
      <c r="AN255" s="126">
        <v>15.912758999999999</v>
      </c>
      <c r="AO255" s="126">
        <v>16.564955000000001</v>
      </c>
      <c r="AP255" s="126">
        <v>15.631270750000001</v>
      </c>
      <c r="AQ255" s="126">
        <v>7.0426802500000001</v>
      </c>
      <c r="AR255" s="126">
        <v>7.5069999999999997</v>
      </c>
      <c r="AS255" s="126">
        <v>8.5790439999999997</v>
      </c>
      <c r="AT255" s="126">
        <v>15.161154</v>
      </c>
      <c r="AU255" s="126">
        <v>17.230374999999999</v>
      </c>
      <c r="AV255" s="126">
        <v>15.593382999999999</v>
      </c>
      <c r="AW255" s="127">
        <v>14.177633</v>
      </c>
      <c r="AX255" s="126">
        <v>15.182252999999999</v>
      </c>
      <c r="AY255" s="126">
        <v>15.781927</v>
      </c>
      <c r="AZ255" s="126">
        <v>17.332834999999999</v>
      </c>
      <c r="BA255" s="126">
        <v>16.898786999999999</v>
      </c>
      <c r="BB255" s="126">
        <v>12.993963000000001</v>
      </c>
      <c r="BC255" s="126">
        <v>12.629436</v>
      </c>
      <c r="BD255" s="126"/>
      <c r="BE255" s="126"/>
      <c r="BF255" s="126"/>
      <c r="BG255" s="126"/>
      <c r="BO255" s="268">
        <f t="shared" si="642"/>
        <v>4.4992073643548514E-2</v>
      </c>
      <c r="BP255" s="175">
        <f t="shared" si="643"/>
        <v>6.3478601896010331E-2</v>
      </c>
    </row>
    <row r="256" spans="1:68">
      <c r="A256" s="5" t="s">
        <v>42</v>
      </c>
      <c r="B256" s="126"/>
      <c r="C256" s="126"/>
      <c r="D256" s="126"/>
      <c r="E256" s="126"/>
      <c r="F256" s="126"/>
      <c r="G256" s="126"/>
      <c r="H256" s="126"/>
      <c r="I256" s="126"/>
      <c r="J256" s="126"/>
      <c r="K256" s="126"/>
      <c r="L256" s="126"/>
      <c r="M256" s="127"/>
      <c r="N256" s="126"/>
      <c r="O256" s="126"/>
      <c r="P256" s="126"/>
      <c r="Q256" s="126"/>
      <c r="R256" s="126"/>
      <c r="S256" s="126"/>
      <c r="T256" s="126">
        <v>0.91700000000000004</v>
      </c>
      <c r="U256" s="126">
        <v>2.01267</v>
      </c>
      <c r="V256" s="126">
        <v>2.471479</v>
      </c>
      <c r="W256" s="126">
        <v>2.4887269999999999</v>
      </c>
      <c r="X256" s="126">
        <v>2.6187849999999999</v>
      </c>
      <c r="Y256" s="127">
        <v>2.3978109999999999</v>
      </c>
      <c r="Z256" s="126">
        <v>3.3258480000000001</v>
      </c>
      <c r="AA256" s="126">
        <v>3.522831</v>
      </c>
      <c r="AB256" s="126">
        <v>3.503584</v>
      </c>
      <c r="AC256" s="126">
        <v>2.7933539999999999</v>
      </c>
      <c r="AD256" s="209">
        <v>19.814</v>
      </c>
      <c r="AE256" s="126">
        <v>2.6452270000000002</v>
      </c>
      <c r="AF256" s="126">
        <v>1.9019999999999999</v>
      </c>
      <c r="AG256" s="126">
        <v>1.77857</v>
      </c>
      <c r="AH256" s="126">
        <v>2.5101390000000001</v>
      </c>
      <c r="AI256" s="126">
        <v>2.9934569999999998</v>
      </c>
      <c r="AJ256" s="126">
        <v>2.9078870000000001</v>
      </c>
      <c r="AK256" s="127">
        <v>2.384789</v>
      </c>
      <c r="AL256" s="126">
        <v>2.9223050000000002</v>
      </c>
      <c r="AM256" s="126">
        <v>2.9047719999999999</v>
      </c>
      <c r="AN256" s="126">
        <v>2.295804</v>
      </c>
      <c r="AO256" s="126">
        <v>2.2779289999999999</v>
      </c>
      <c r="AP256" s="126">
        <v>2.1848067499999999</v>
      </c>
      <c r="AQ256" s="126">
        <v>1.2646047499999999</v>
      </c>
      <c r="AR256" s="126">
        <v>1.2809999999999999</v>
      </c>
      <c r="AS256" s="126">
        <v>1.7403439999999999</v>
      </c>
      <c r="AT256" s="126">
        <v>2.7465670000000002</v>
      </c>
      <c r="AU256" s="126">
        <v>2.9250159999999998</v>
      </c>
      <c r="AV256" s="126">
        <v>2.3787600000000002</v>
      </c>
      <c r="AW256" s="127">
        <v>2.2756699999999999</v>
      </c>
      <c r="AX256" s="126">
        <v>2.367883</v>
      </c>
      <c r="AY256" s="126">
        <v>2.4364430000000001</v>
      </c>
      <c r="AZ256" s="126">
        <v>2.7757040000000002</v>
      </c>
      <c r="BA256" s="126">
        <v>2.6382430000000001</v>
      </c>
      <c r="BB256" s="126">
        <v>1.950523</v>
      </c>
      <c r="BC256" s="126">
        <v>2.154296</v>
      </c>
      <c r="BD256" s="126"/>
      <c r="BE256" s="126"/>
      <c r="BF256" s="126"/>
      <c r="BG256" s="126"/>
      <c r="BO256" s="268">
        <f t="shared" si="642"/>
        <v>7.363619523021228E-3</v>
      </c>
      <c r="BP256" s="175">
        <f t="shared" si="643"/>
        <v>1.0389213796163402E-2</v>
      </c>
    </row>
    <row r="257" spans="1:68">
      <c r="A257" s="5" t="s">
        <v>43</v>
      </c>
      <c r="B257" s="126"/>
      <c r="C257" s="126"/>
      <c r="D257" s="126"/>
      <c r="E257" s="126"/>
      <c r="F257" s="126"/>
      <c r="G257" s="126"/>
      <c r="H257" s="126"/>
      <c r="I257" s="126"/>
      <c r="J257" s="126"/>
      <c r="K257" s="126"/>
      <c r="L257" s="126"/>
      <c r="M257" s="127"/>
      <c r="N257" s="126"/>
      <c r="O257" s="126"/>
      <c r="P257" s="126"/>
      <c r="Q257" s="126"/>
      <c r="R257" s="126"/>
      <c r="S257" s="126"/>
      <c r="T257" s="126">
        <v>1.153</v>
      </c>
      <c r="U257" s="126">
        <v>2.2121</v>
      </c>
      <c r="V257" s="126">
        <v>3.357872</v>
      </c>
      <c r="W257" s="126">
        <v>3.2411880000000002</v>
      </c>
      <c r="X257" s="126">
        <v>3.7498710000000002</v>
      </c>
      <c r="Y257" s="127">
        <v>3.6910180000000001</v>
      </c>
      <c r="Z257" s="126">
        <v>4.5499159999999996</v>
      </c>
      <c r="AA257" s="126">
        <v>4.2338959999999997</v>
      </c>
      <c r="AB257" s="126">
        <v>3.8591660000000001</v>
      </c>
      <c r="AC257" s="126">
        <v>3.5871979999999999</v>
      </c>
      <c r="AD257" s="126">
        <v>2.7251772500000002</v>
      </c>
      <c r="AE257" s="126">
        <v>2.8995704999999998</v>
      </c>
      <c r="AF257" s="126">
        <v>1.8029999999999999</v>
      </c>
      <c r="AG257" s="126">
        <v>2.0068199999999998</v>
      </c>
      <c r="AH257" s="126">
        <v>2.8587699999999998</v>
      </c>
      <c r="AI257" s="126">
        <v>3.5155639999999999</v>
      </c>
      <c r="AJ257" s="126">
        <v>3.5733760000000001</v>
      </c>
      <c r="AK257" s="127">
        <v>2.802743</v>
      </c>
      <c r="AL257" s="126">
        <v>3.2787250000000001</v>
      </c>
      <c r="AM257" s="126">
        <v>3.4304929999999998</v>
      </c>
      <c r="AN257" s="126">
        <v>2.8668480000000001</v>
      </c>
      <c r="AO257" s="126">
        <v>2.8351980000000001</v>
      </c>
      <c r="AP257" s="126">
        <v>2.907041</v>
      </c>
      <c r="AQ257" s="126">
        <v>1.5063707500000001</v>
      </c>
      <c r="AR257" s="126">
        <v>1.6319999999999999</v>
      </c>
      <c r="AS257" s="126">
        <v>2.0573290000000002</v>
      </c>
      <c r="AT257" s="126">
        <v>3.3488020000000001</v>
      </c>
      <c r="AU257" s="126">
        <v>3.9121679999999999</v>
      </c>
      <c r="AV257" s="126">
        <v>3.4969649999999999</v>
      </c>
      <c r="AW257" s="127">
        <v>3.3025319999999998</v>
      </c>
      <c r="AX257" s="126">
        <v>3.2623799999999998</v>
      </c>
      <c r="AY257" s="126">
        <v>3.1670289999999999</v>
      </c>
      <c r="AZ257" s="126">
        <v>3.5577450000000002</v>
      </c>
      <c r="BA257" s="126">
        <v>3.788583</v>
      </c>
      <c r="BB257" s="126">
        <v>2.9697269999999998</v>
      </c>
      <c r="BC257" s="126">
        <v>2.3058920000000001</v>
      </c>
      <c r="BD257" s="126"/>
      <c r="BE257" s="126"/>
      <c r="BF257" s="126"/>
      <c r="BG257" s="126"/>
      <c r="BO257" s="268">
        <f t="shared" si="642"/>
        <v>9.7934688857731125E-3</v>
      </c>
      <c r="BP257" s="175">
        <f t="shared" si="643"/>
        <v>1.3817449658048786E-2</v>
      </c>
    </row>
    <row r="258" spans="1:68">
      <c r="A258" s="5" t="s">
        <v>44</v>
      </c>
      <c r="B258" s="126"/>
      <c r="C258" s="126"/>
      <c r="D258" s="126"/>
      <c r="E258" s="126"/>
      <c r="F258" s="126"/>
      <c r="G258" s="126"/>
      <c r="H258" s="126"/>
      <c r="I258" s="126"/>
      <c r="J258" s="126"/>
      <c r="K258" s="126"/>
      <c r="L258" s="126"/>
      <c r="M258" s="127"/>
      <c r="N258" s="126"/>
      <c r="O258" s="126"/>
      <c r="P258" s="126"/>
      <c r="Q258" s="126"/>
      <c r="R258" s="126"/>
      <c r="S258" s="126"/>
      <c r="T258" s="126">
        <v>5.5E-2</v>
      </c>
      <c r="U258" s="126">
        <v>0.14926</v>
      </c>
      <c r="V258" s="126">
        <v>0.20952699999999999</v>
      </c>
      <c r="W258" s="126">
        <v>0.22000800000000001</v>
      </c>
      <c r="X258" s="126">
        <v>0.19752900000000001</v>
      </c>
      <c r="Y258" s="127">
        <v>0.16236100000000001</v>
      </c>
      <c r="Z258" s="126">
        <v>0.19758100000000001</v>
      </c>
      <c r="AA258" s="126">
        <v>0.20400199999999999</v>
      </c>
      <c r="AB258" s="126">
        <v>0.21940999999999999</v>
      </c>
      <c r="AC258" s="126">
        <v>0.21612300000000001</v>
      </c>
      <c r="AD258" s="126">
        <v>0.17860400000000001</v>
      </c>
      <c r="AE258" s="126">
        <v>0.19363025</v>
      </c>
      <c r="AF258" s="126">
        <v>0.111</v>
      </c>
      <c r="AG258" s="126">
        <v>0.12489500000000001</v>
      </c>
      <c r="AH258" s="126">
        <v>0.18586</v>
      </c>
      <c r="AI258" s="126">
        <v>0.22648199999999999</v>
      </c>
      <c r="AJ258" s="126">
        <v>0.25087900000000002</v>
      </c>
      <c r="AK258" s="127">
        <v>0.240286</v>
      </c>
      <c r="AL258" s="126">
        <v>0.37597000000000003</v>
      </c>
      <c r="AM258" s="126">
        <v>0.50822599999999996</v>
      </c>
      <c r="AN258" s="126">
        <v>0.70792999999999995</v>
      </c>
      <c r="AO258" s="126">
        <v>0.98803300000000005</v>
      </c>
      <c r="AP258" s="126">
        <v>0.93373574999999998</v>
      </c>
      <c r="AQ258" s="126">
        <v>0.69293024999999997</v>
      </c>
      <c r="AR258" s="126">
        <v>6.8000000000000005E-2</v>
      </c>
      <c r="AS258" s="126">
        <v>9.6619999999999998E-2</v>
      </c>
      <c r="AT258" s="126">
        <v>0.16977400000000001</v>
      </c>
      <c r="AU258" s="126">
        <v>0.20172699999999999</v>
      </c>
      <c r="AV258" s="126">
        <v>0.17536099999999999</v>
      </c>
      <c r="AW258" s="127">
        <v>0.16664399999999999</v>
      </c>
      <c r="AX258" s="126">
        <v>0.19539400000000001</v>
      </c>
      <c r="AY258" s="126">
        <v>0.201154</v>
      </c>
      <c r="AZ258" s="126">
        <v>0.20236999999999999</v>
      </c>
      <c r="BA258" s="126">
        <v>0.18614900000000001</v>
      </c>
      <c r="BB258" s="126">
        <v>0.13725699999999999</v>
      </c>
      <c r="BC258" s="126">
        <v>0.121512</v>
      </c>
      <c r="BD258" s="126"/>
      <c r="BE258" s="126"/>
      <c r="BF258" s="126"/>
      <c r="BG258" s="126"/>
      <c r="BO258" s="268">
        <f t="shared" si="642"/>
        <v>5.1146972373686196E-4</v>
      </c>
      <c r="BP258" s="175">
        <f t="shared" si="643"/>
        <v>7.2162450728941211E-4</v>
      </c>
    </row>
    <row r="259" spans="1:68">
      <c r="A259" s="5" t="s">
        <v>45</v>
      </c>
      <c r="B259" s="126"/>
      <c r="C259" s="126"/>
      <c r="D259" s="126"/>
      <c r="E259" s="126"/>
      <c r="F259" s="126"/>
      <c r="G259" s="126"/>
      <c r="H259" s="126"/>
      <c r="I259" s="126"/>
      <c r="J259" s="126"/>
      <c r="K259" s="126"/>
      <c r="L259" s="126"/>
      <c r="M259" s="127"/>
      <c r="N259" s="126"/>
      <c r="O259" s="126"/>
      <c r="P259" s="126"/>
      <c r="Q259" s="126"/>
      <c r="R259" s="126"/>
      <c r="S259" s="126"/>
      <c r="T259" s="126">
        <v>4.1130000000000004</v>
      </c>
      <c r="U259" s="126">
        <v>7.0242000000000004</v>
      </c>
      <c r="V259" s="126">
        <v>10.691269</v>
      </c>
      <c r="W259" s="126">
        <v>9.7341460000000009</v>
      </c>
      <c r="X259" s="126">
        <v>9.5613729999999997</v>
      </c>
      <c r="Y259" s="127">
        <v>7.8708539999999996</v>
      </c>
      <c r="Z259" s="126">
        <v>10.429104000000001</v>
      </c>
      <c r="AA259" s="126">
        <v>10.625743999999999</v>
      </c>
      <c r="AB259" s="126">
        <v>11.097667</v>
      </c>
      <c r="AC259" s="126">
        <v>10.818012</v>
      </c>
      <c r="AD259" s="126">
        <v>8.8054515000000002</v>
      </c>
      <c r="AE259" s="126">
        <v>10.5388225</v>
      </c>
      <c r="AF259" s="126">
        <v>7.0149999999999997</v>
      </c>
      <c r="AG259" s="126">
        <v>6.2229999999999999</v>
      </c>
      <c r="AH259" s="126">
        <v>9.2364090000000001</v>
      </c>
      <c r="AI259" s="126">
        <v>11.5481</v>
      </c>
      <c r="AJ259" s="126">
        <v>11.949242999999999</v>
      </c>
      <c r="AK259" s="127">
        <v>9.4805060000000001</v>
      </c>
      <c r="AL259" s="126">
        <v>11.273635000000001</v>
      </c>
      <c r="AM259" s="126">
        <v>11.476217</v>
      </c>
      <c r="AN259" s="126">
        <v>9.4570589999999992</v>
      </c>
      <c r="AO259" s="126">
        <v>9.6840930000000007</v>
      </c>
      <c r="AP259" s="126">
        <v>9.5639979999999998</v>
      </c>
      <c r="AQ259" s="126">
        <v>4.9939280000000004</v>
      </c>
      <c r="AR259" s="126">
        <v>5.0229999999999997</v>
      </c>
      <c r="AS259" s="126">
        <v>5.9727430000000004</v>
      </c>
      <c r="AT259" s="126">
        <v>10.154688</v>
      </c>
      <c r="AU259" s="126">
        <v>11.641</v>
      </c>
      <c r="AV259" s="126">
        <v>10.248737</v>
      </c>
      <c r="AW259" s="127">
        <v>9.4583779999999997</v>
      </c>
      <c r="AX259" s="126">
        <v>10.374247</v>
      </c>
      <c r="AY259" s="126">
        <v>10.173323999999999</v>
      </c>
      <c r="AZ259" s="126">
        <v>11.621109000000001</v>
      </c>
      <c r="BA259" s="126">
        <v>11.313961000000001</v>
      </c>
      <c r="BB259" s="126">
        <v>8.8451140000000006</v>
      </c>
      <c r="BC259" s="126">
        <v>9.3310340000000007</v>
      </c>
      <c r="BD259" s="126"/>
      <c r="BE259" s="126"/>
      <c r="BF259" s="126"/>
      <c r="BG259" s="126"/>
      <c r="BO259" s="268">
        <f t="shared" si="642"/>
        <v>3.037938346074813E-2</v>
      </c>
      <c r="BP259" s="175">
        <f t="shared" si="643"/>
        <v>4.2861789474946621E-2</v>
      </c>
    </row>
    <row r="260" spans="1:68">
      <c r="A260" s="5" t="s">
        <v>46</v>
      </c>
      <c r="B260" s="126">
        <f t="shared" ref="B260:T260" si="644">B47</f>
        <v>78.522623999999993</v>
      </c>
      <c r="C260" s="126">
        <f t="shared" si="644"/>
        <v>95.414461000000003</v>
      </c>
      <c r="D260" s="126">
        <f t="shared" si="644"/>
        <v>113.01165</v>
      </c>
      <c r="E260" s="126">
        <f t="shared" si="644"/>
        <v>90.228502000000006</v>
      </c>
      <c r="F260" s="126">
        <f t="shared" si="644"/>
        <v>77.227982999999995</v>
      </c>
      <c r="G260" s="126">
        <f t="shared" si="644"/>
        <v>78.176924999999997</v>
      </c>
      <c r="H260" s="126">
        <f t="shared" si="644"/>
        <v>34.996326000000003</v>
      </c>
      <c r="I260" s="126">
        <f t="shared" si="644"/>
        <v>64.790772000000004</v>
      </c>
      <c r="J260" s="126">
        <f t="shared" si="644"/>
        <v>95.305972999999994</v>
      </c>
      <c r="K260" s="126">
        <f t="shared" si="644"/>
        <v>113.408214</v>
      </c>
      <c r="L260" s="126">
        <f t="shared" si="644"/>
        <v>134.99067299999999</v>
      </c>
      <c r="M260" s="127">
        <f t="shared" si="644"/>
        <v>93.639054999999999</v>
      </c>
      <c r="N260" s="126">
        <f t="shared" si="644"/>
        <v>101.96912500000001</v>
      </c>
      <c r="O260" s="126">
        <f t="shared" si="644"/>
        <v>110.63694099999999</v>
      </c>
      <c r="P260" s="126">
        <f t="shared" si="644"/>
        <v>117.32700000000001</v>
      </c>
      <c r="Q260" s="126">
        <f t="shared" si="644"/>
        <v>119.378176</v>
      </c>
      <c r="R260" s="126">
        <f t="shared" si="644"/>
        <v>121.259477</v>
      </c>
      <c r="S260" s="126">
        <f t="shared" si="644"/>
        <v>61.733257000000002</v>
      </c>
      <c r="T260" s="126">
        <f t="shared" si="644"/>
        <v>43.732425999999997</v>
      </c>
      <c r="U260" s="126">
        <v>79.760581999999999</v>
      </c>
      <c r="V260" s="126">
        <f>V47</f>
        <v>124.51696099999999</v>
      </c>
      <c r="W260" s="126">
        <v>122.879088</v>
      </c>
      <c r="X260" s="126">
        <f>X47</f>
        <v>118.794642</v>
      </c>
      <c r="Y260" s="127">
        <f>Y47</f>
        <v>99.762422999999998</v>
      </c>
      <c r="Z260" s="126">
        <f>Z47</f>
        <v>139.79330300000001</v>
      </c>
      <c r="AA260" s="126">
        <v>134.04810699999999</v>
      </c>
      <c r="AB260" s="126">
        <f t="shared" ref="AB260:AG260" si="645">AB47</f>
        <v>140.70868100000001</v>
      </c>
      <c r="AC260" s="126">
        <f t="shared" si="645"/>
        <v>140.453429</v>
      </c>
      <c r="AD260" s="126">
        <f t="shared" si="645"/>
        <v>100.18446299999999</v>
      </c>
      <c r="AE260" s="126">
        <f t="shared" si="645"/>
        <v>100.14335</v>
      </c>
      <c r="AF260" s="126">
        <f t="shared" si="645"/>
        <v>58.650838999999998</v>
      </c>
      <c r="AG260" s="126">
        <f t="shared" si="645"/>
        <v>66.970759000000001</v>
      </c>
      <c r="AH260" s="126">
        <v>100.518809</v>
      </c>
      <c r="AI260" s="126">
        <v>129.14476500000001</v>
      </c>
      <c r="AJ260" s="126">
        <v>134.971622</v>
      </c>
      <c r="AK260" s="127">
        <f>AK47</f>
        <v>107.590265</v>
      </c>
      <c r="AL260" s="126">
        <v>137.84542400000001</v>
      </c>
      <c r="AM260" s="126">
        <v>129.5857</v>
      </c>
      <c r="AN260" s="126">
        <v>104.949535</v>
      </c>
      <c r="AO260" s="126">
        <f>AO47</f>
        <v>107.03106</v>
      </c>
      <c r="AP260" s="126">
        <f>AP47</f>
        <v>97.440743999999995</v>
      </c>
      <c r="AQ260" s="126">
        <v>51.43443225</v>
      </c>
      <c r="AR260" s="126">
        <v>42.081000000000003</v>
      </c>
      <c r="AS260" s="126">
        <v>51.875070000000001</v>
      </c>
      <c r="AT260" s="126">
        <v>93.620209000000003</v>
      </c>
      <c r="AU260" s="126">
        <f>AU47</f>
        <v>115.59275700000001</v>
      </c>
      <c r="AV260" s="126">
        <v>101.33816400000001</v>
      </c>
      <c r="AW260" s="127">
        <f t="shared" ref="AW260:AX260" si="646">AW47</f>
        <v>92.398996999999994</v>
      </c>
      <c r="AX260" s="126">
        <f t="shared" si="646"/>
        <v>105.09913299999999</v>
      </c>
      <c r="AY260" s="126">
        <v>101.19281100000001</v>
      </c>
      <c r="AZ260" s="126">
        <v>105.91833099999999</v>
      </c>
      <c r="BA260" s="126">
        <v>105.740047</v>
      </c>
      <c r="BB260" s="126">
        <v>94.224400000000003</v>
      </c>
      <c r="BC260" s="126">
        <v>85.260587999999998</v>
      </c>
      <c r="BD260" s="126"/>
      <c r="BE260" s="126"/>
      <c r="BF260" s="126"/>
      <c r="BG260" s="126"/>
      <c r="BO260" s="268">
        <f t="shared" si="642"/>
        <v>0.29122456544878161</v>
      </c>
      <c r="BP260" s="175"/>
    </row>
    <row r="261" spans="1:68">
      <c r="A261" s="161" t="s">
        <v>256</v>
      </c>
      <c r="B261" s="265">
        <f t="shared" ref="B261:S261" si="647">SUM(B240:B260)</f>
        <v>78.522623999999993</v>
      </c>
      <c r="C261" s="265">
        <f t="shared" si="647"/>
        <v>95.414461000000003</v>
      </c>
      <c r="D261" s="265">
        <f t="shared" si="647"/>
        <v>113.01165</v>
      </c>
      <c r="E261" s="265">
        <f t="shared" si="647"/>
        <v>90.228502000000006</v>
      </c>
      <c r="F261" s="265">
        <f t="shared" si="647"/>
        <v>77.227982999999995</v>
      </c>
      <c r="G261" s="265">
        <f t="shared" si="647"/>
        <v>78.176924999999997</v>
      </c>
      <c r="H261" s="265">
        <f t="shared" si="647"/>
        <v>34.996326000000003</v>
      </c>
      <c r="I261" s="265">
        <f t="shared" si="647"/>
        <v>64.790772000000004</v>
      </c>
      <c r="J261" s="265">
        <f t="shared" si="647"/>
        <v>95.305972999999994</v>
      </c>
      <c r="K261" s="265">
        <f t="shared" si="647"/>
        <v>113.408214</v>
      </c>
      <c r="L261" s="265">
        <f t="shared" si="647"/>
        <v>134.99067299999999</v>
      </c>
      <c r="M261" s="266">
        <f t="shared" si="647"/>
        <v>93.639054999999999</v>
      </c>
      <c r="N261" s="265">
        <f t="shared" si="647"/>
        <v>101.96912500000001</v>
      </c>
      <c r="O261" s="265">
        <f t="shared" si="647"/>
        <v>110.63694099999999</v>
      </c>
      <c r="P261" s="265">
        <f t="shared" si="647"/>
        <v>117.32700000000001</v>
      </c>
      <c r="Q261" s="265">
        <f t="shared" si="647"/>
        <v>119.378176</v>
      </c>
      <c r="R261" s="265">
        <f t="shared" si="647"/>
        <v>121.259477</v>
      </c>
      <c r="S261" s="265">
        <f t="shared" si="647"/>
        <v>61.733257000000002</v>
      </c>
      <c r="T261" s="265">
        <f>SUM(T240:T260)</f>
        <v>140.54942600000004</v>
      </c>
      <c r="U261" s="265">
        <f>SUM(U240:U260)</f>
        <v>266.692902</v>
      </c>
      <c r="V261" s="265">
        <f t="shared" ref="V261:AG261" si="648">SUM(V240:V260)</f>
        <v>400.80713099999991</v>
      </c>
      <c r="W261" s="265">
        <f t="shared" si="648"/>
        <v>392.06270500000005</v>
      </c>
      <c r="X261" s="265">
        <f t="shared" si="648"/>
        <v>383.78681000000006</v>
      </c>
      <c r="Y261" s="266">
        <f t="shared" si="648"/>
        <v>323.96570499999996</v>
      </c>
      <c r="Z261" s="164">
        <f t="shared" si="648"/>
        <v>438.50206800000001</v>
      </c>
      <c r="AA261" s="164">
        <f t="shared" si="648"/>
        <v>420.79963799999996</v>
      </c>
      <c r="AB261" s="164">
        <f t="shared" si="648"/>
        <v>442.639994</v>
      </c>
      <c r="AC261" s="164">
        <f t="shared" si="648"/>
        <v>425.97963900000002</v>
      </c>
      <c r="AD261" s="164">
        <f>SUM(AD240:AD260)</f>
        <v>338.61466324999998</v>
      </c>
      <c r="AE261" s="164">
        <f t="shared" si="648"/>
        <v>343.27194475000005</v>
      </c>
      <c r="AF261" s="164">
        <f t="shared" si="648"/>
        <v>214.20983899999996</v>
      </c>
      <c r="AG261" s="164">
        <f t="shared" si="648"/>
        <v>220.67779000000007</v>
      </c>
      <c r="AH261" s="164">
        <f>SUM(AH240:AH260)</f>
        <v>339.91213400000004</v>
      </c>
      <c r="AI261" s="164">
        <f>SUM(AI240:AI260)</f>
        <v>427.91640099999995</v>
      </c>
      <c r="AJ261" s="164">
        <f>SUM(AJ240:AJ260)</f>
        <v>449.808044</v>
      </c>
      <c r="AK261" s="262">
        <f>SUM(AK240:AK260)</f>
        <v>353.35053069999998</v>
      </c>
      <c r="AL261" s="164">
        <f>SUM(AL240:AL260)</f>
        <v>437.68738400000007</v>
      </c>
      <c r="AM261" s="164">
        <f t="shared" ref="AM261:AR261" si="649">SUM(AM240:AM260)</f>
        <v>430.02833199999998</v>
      </c>
      <c r="AN261" s="164">
        <f t="shared" si="649"/>
        <v>350.41627099999999</v>
      </c>
      <c r="AO261" s="164">
        <f t="shared" si="649"/>
        <v>364.517967</v>
      </c>
      <c r="AP261" s="164">
        <f t="shared" si="649"/>
        <v>337.91232924999997</v>
      </c>
      <c r="AQ261" s="164">
        <f t="shared" si="649"/>
        <v>164.68177270000001</v>
      </c>
      <c r="AR261" s="164">
        <f t="shared" si="649"/>
        <v>158.92780000000005</v>
      </c>
      <c r="AS261" s="164">
        <f>SUM(AS240:AS260)</f>
        <v>192.85607900000002</v>
      </c>
      <c r="AT261" s="164">
        <f>SUM(AT240:AT260)</f>
        <v>341.13899759999998</v>
      </c>
      <c r="AU261" s="164">
        <f>SUM(AU240:AU260)</f>
        <v>402.06846000000002</v>
      </c>
      <c r="AV261" s="164">
        <f t="shared" ref="AV261:AW261" si="650">SUM(AV240:AV260)</f>
        <v>347.55455900000004</v>
      </c>
      <c r="AW261" s="262">
        <f t="shared" si="650"/>
        <v>321.12065000000001</v>
      </c>
      <c r="AX261" s="164">
        <f t="shared" ref="AX261:AZ261" si="651">SUM(AX240:AX260)</f>
        <v>347.31802360000006</v>
      </c>
      <c r="AY261" s="164">
        <f t="shared" si="651"/>
        <v>340.71964200000002</v>
      </c>
      <c r="AZ261" s="164">
        <f t="shared" si="651"/>
        <v>376.25071199999991</v>
      </c>
      <c r="BA261" s="164">
        <f t="shared" ref="BA261:BB261" si="652">SUM(BA240:BA260)</f>
        <v>369.35689599999995</v>
      </c>
      <c r="BB261" s="164">
        <f t="shared" si="652"/>
        <v>299.83267799999999</v>
      </c>
      <c r="BC261" s="164">
        <f t="shared" ref="BC261:BE261" si="653">SUM(BC240:BC260)</f>
        <v>260.57939299999992</v>
      </c>
      <c r="BD261" s="164">
        <f t="shared" si="653"/>
        <v>0</v>
      </c>
      <c r="BE261" s="164">
        <f t="shared" si="653"/>
        <v>0</v>
      </c>
      <c r="BF261" s="164">
        <f t="shared" ref="BF261:BG261" si="654">SUM(BF240:BF260)</f>
        <v>0</v>
      </c>
      <c r="BG261" s="164">
        <f t="shared" si="654"/>
        <v>0</v>
      </c>
      <c r="BO261" s="269">
        <f t="shared" si="642"/>
        <v>1</v>
      </c>
      <c r="BP261" s="283">
        <f>SUM(BP240:BP260)</f>
        <v>1.0000000000000002</v>
      </c>
    </row>
    <row r="262" spans="1:68">
      <c r="A262" s="5"/>
      <c r="M262" s="115"/>
      <c r="Y262" s="213"/>
      <c r="AK262" s="115"/>
      <c r="AW262" s="115"/>
      <c r="BO262" s="267"/>
      <c r="BP262" s="116"/>
    </row>
    <row r="263" spans="1:68">
      <c r="A263" s="161" t="s">
        <v>313</v>
      </c>
      <c r="B263" s="265">
        <f t="shared" ref="B263:AU263" si="655">B9-B260</f>
        <v>199.71034168439354</v>
      </c>
      <c r="C263" s="265">
        <f t="shared" si="655"/>
        <v>255.78044928779462</v>
      </c>
      <c r="D263" s="265">
        <f t="shared" si="655"/>
        <v>301.07436502781172</v>
      </c>
      <c r="E263" s="265">
        <f t="shared" si="655"/>
        <v>250.28696191752579</v>
      </c>
      <c r="F263" s="265">
        <f t="shared" si="655"/>
        <v>202.15663238461536</v>
      </c>
      <c r="G263" s="265">
        <f t="shared" si="655"/>
        <v>234.403075</v>
      </c>
      <c r="H263" s="265">
        <f t="shared" si="655"/>
        <v>91.103673999999984</v>
      </c>
      <c r="I263" s="265">
        <f t="shared" si="655"/>
        <v>209.709228</v>
      </c>
      <c r="J263" s="265">
        <f t="shared" si="655"/>
        <v>253.59402700000004</v>
      </c>
      <c r="K263" s="265">
        <f t="shared" si="655"/>
        <v>300.59178600000001</v>
      </c>
      <c r="L263" s="265">
        <f t="shared" si="655"/>
        <v>342.50932699999998</v>
      </c>
      <c r="M263" s="266">
        <f t="shared" si="655"/>
        <v>299.2262691907755</v>
      </c>
      <c r="N263" s="265">
        <f t="shared" si="655"/>
        <v>256.260875</v>
      </c>
      <c r="O263" s="265">
        <f t="shared" si="655"/>
        <v>287.36305900000002</v>
      </c>
      <c r="P263" s="265">
        <f t="shared" si="655"/>
        <v>293.673</v>
      </c>
      <c r="Q263" s="265">
        <f t="shared" si="655"/>
        <v>298.621824</v>
      </c>
      <c r="R263" s="265">
        <f t="shared" si="655"/>
        <v>298.740523</v>
      </c>
      <c r="S263" s="265">
        <f t="shared" si="655"/>
        <v>135.26674299999999</v>
      </c>
      <c r="T263" s="265">
        <f t="shared" si="655"/>
        <v>98.267573999999996</v>
      </c>
      <c r="U263" s="265">
        <f t="shared" si="655"/>
        <v>193.239418</v>
      </c>
      <c r="V263" s="265">
        <f t="shared" si="655"/>
        <v>288.48303900000002</v>
      </c>
      <c r="W263" s="265">
        <f t="shared" si="655"/>
        <v>283.12091199999998</v>
      </c>
      <c r="X263" s="265">
        <f t="shared" si="655"/>
        <v>278.20535799999999</v>
      </c>
      <c r="Y263" s="266">
        <f t="shared" si="655"/>
        <v>234.23757699999999</v>
      </c>
      <c r="Z263" s="164">
        <f t="shared" si="655"/>
        <v>310.20669699999996</v>
      </c>
      <c r="AA263" s="164">
        <f t="shared" si="655"/>
        <v>297.95189300000004</v>
      </c>
      <c r="AB263" s="164">
        <f t="shared" si="655"/>
        <v>315.29131899999999</v>
      </c>
      <c r="AC263" s="164">
        <f t="shared" si="655"/>
        <v>295.54657099999997</v>
      </c>
      <c r="AD263" s="164">
        <f t="shared" si="655"/>
        <v>228.81553700000001</v>
      </c>
      <c r="AE263" s="164">
        <f t="shared" si="655"/>
        <v>245.85665</v>
      </c>
      <c r="AF263" s="164">
        <f t="shared" si="655"/>
        <v>157.34916100000001</v>
      </c>
      <c r="AG263" s="164">
        <f t="shared" si="655"/>
        <v>153.70758999999998</v>
      </c>
      <c r="AH263" s="164">
        <f t="shared" si="655"/>
        <v>249.481191</v>
      </c>
      <c r="AI263" s="164">
        <f t="shared" si="655"/>
        <v>309.85523499999999</v>
      </c>
      <c r="AJ263" s="164">
        <f t="shared" si="655"/>
        <v>325.02837799999998</v>
      </c>
      <c r="AK263" s="262">
        <f t="shared" si="655"/>
        <v>245.76026999999999</v>
      </c>
      <c r="AL263" s="164">
        <f t="shared" si="655"/>
        <v>299.84196999999995</v>
      </c>
      <c r="AM263" s="164">
        <f t="shared" si="655"/>
        <v>300.44250999999997</v>
      </c>
      <c r="AN263" s="164">
        <f t="shared" si="655"/>
        <v>245.46674399999998</v>
      </c>
      <c r="AO263" s="164">
        <f t="shared" si="655"/>
        <v>257.48690699999997</v>
      </c>
      <c r="AP263" s="164">
        <f t="shared" si="655"/>
        <v>240.47158524999998</v>
      </c>
      <c r="AQ263" s="164">
        <f t="shared" si="655"/>
        <v>113.24734045000001</v>
      </c>
      <c r="AR263" s="164">
        <f t="shared" si="655"/>
        <v>116.84680000000004</v>
      </c>
      <c r="AS263" s="164">
        <f t="shared" si="655"/>
        <v>140.98100900000003</v>
      </c>
      <c r="AT263" s="164">
        <f t="shared" si="655"/>
        <v>247.51878859999999</v>
      </c>
      <c r="AU263" s="164">
        <f t="shared" si="655"/>
        <v>286.47570300000001</v>
      </c>
      <c r="AV263" s="164">
        <f t="shared" ref="AV263:AW263" si="656">AV9-AV260</f>
        <v>246.21639500000003</v>
      </c>
      <c r="AW263" s="262">
        <f t="shared" si="656"/>
        <v>228.721653</v>
      </c>
      <c r="AX263" s="164">
        <f>AX9-AX260</f>
        <v>242.21889060000007</v>
      </c>
      <c r="AY263" s="164">
        <f t="shared" ref="AY263:AZ263" si="657">AY9-AY260</f>
        <v>239.52683100000002</v>
      </c>
      <c r="AZ263" s="164">
        <f t="shared" si="657"/>
        <v>270.33238099999994</v>
      </c>
      <c r="BA263" s="164">
        <f t="shared" ref="BA263:BB263" si="658">BA9-BA260</f>
        <v>263.61684899999995</v>
      </c>
      <c r="BB263" s="164">
        <f t="shared" si="658"/>
        <v>205.60828399999997</v>
      </c>
      <c r="BC263" s="164">
        <f t="shared" ref="BC263:BE263" si="659">BC9-BC260</f>
        <v>175.31881200000004</v>
      </c>
      <c r="BD263" s="164">
        <f t="shared" si="659"/>
        <v>167.6613274</v>
      </c>
      <c r="BE263" s="164">
        <f t="shared" si="659"/>
        <v>208.91955799999999</v>
      </c>
      <c r="BF263" s="164">
        <f t="shared" ref="BF263:BG263" si="660">BF9-BF260</f>
        <v>383.03990299999998</v>
      </c>
      <c r="BG263" s="164">
        <f t="shared" si="660"/>
        <v>403.961321</v>
      </c>
      <c r="BO263" s="269">
        <f>BO261-BO260</f>
        <v>0.70877543455121839</v>
      </c>
      <c r="BP263" s="283">
        <f>BP261-BP260</f>
        <v>1.0000000000000002</v>
      </c>
    </row>
    <row r="264" spans="1:68">
      <c r="A264" s="6"/>
      <c r="AW264" s="115"/>
      <c r="BO264" s="267"/>
      <c r="BP264" s="116"/>
    </row>
    <row r="265" spans="1:68">
      <c r="A265" s="214" t="s">
        <v>276</v>
      </c>
      <c r="B265" s="129"/>
      <c r="C265" s="129"/>
      <c r="D265" s="129"/>
      <c r="E265" s="129"/>
      <c r="F265" s="129"/>
      <c r="G265" s="129"/>
      <c r="H265" s="129"/>
      <c r="I265" s="129"/>
      <c r="J265" s="129"/>
      <c r="K265" s="129"/>
      <c r="L265" s="129"/>
      <c r="M265" s="263"/>
      <c r="N265" s="215"/>
      <c r="O265" s="215"/>
      <c r="P265" s="215"/>
      <c r="Q265" s="215"/>
      <c r="R265" s="215"/>
      <c r="S265" s="215"/>
      <c r="T265" s="215">
        <f t="shared" ref="T265:AS265" si="661">(T243+T246+T248)/(T261-T260)</f>
        <v>0.43416961897187456</v>
      </c>
      <c r="U265" s="215">
        <f t="shared" si="661"/>
        <v>0.43078318398872917</v>
      </c>
      <c r="V265" s="215">
        <f t="shared" si="661"/>
        <v>0.44185484412999576</v>
      </c>
      <c r="W265" s="215">
        <f t="shared" si="661"/>
        <v>0.44496910820542246</v>
      </c>
      <c r="X265" s="215">
        <f t="shared" si="661"/>
        <v>0.45133807879182292</v>
      </c>
      <c r="Y265" s="264">
        <f t="shared" si="661"/>
        <v>0.44995310996384091</v>
      </c>
      <c r="Z265" s="215">
        <f t="shared" si="661"/>
        <v>0.45481782565034545</v>
      </c>
      <c r="AA265" s="215">
        <f t="shared" si="661"/>
        <v>0.45804306795488392</v>
      </c>
      <c r="AB265" s="215">
        <f t="shared" si="661"/>
        <v>0.45173027813779632</v>
      </c>
      <c r="AC265" s="215">
        <f t="shared" si="661"/>
        <v>0.44797093408692673</v>
      </c>
      <c r="AD265" s="215">
        <f t="shared" si="661"/>
        <v>0.41430762712283553</v>
      </c>
      <c r="AE265" s="215">
        <f t="shared" si="661"/>
        <v>0.46271738980632587</v>
      </c>
      <c r="AF265" s="215">
        <f t="shared" si="661"/>
        <v>0.45539634479522245</v>
      </c>
      <c r="AG265" s="215">
        <f t="shared" si="661"/>
        <v>0.42284283013702845</v>
      </c>
      <c r="AH265" s="215">
        <f t="shared" si="661"/>
        <v>0.44207036683249207</v>
      </c>
      <c r="AI265" s="215">
        <f t="shared" si="661"/>
        <v>0.45673976227114155</v>
      </c>
      <c r="AJ265" s="215">
        <f t="shared" si="661"/>
        <v>0.46277948426183046</v>
      </c>
      <c r="AK265" s="264">
        <f t="shared" si="661"/>
        <v>0.45543718257788324</v>
      </c>
      <c r="AL265" s="215">
        <f t="shared" si="661"/>
        <v>0.46404677317344095</v>
      </c>
      <c r="AM265" s="215">
        <f t="shared" si="661"/>
        <v>0.46235622446550789</v>
      </c>
      <c r="AN265" s="215">
        <f t="shared" si="661"/>
        <v>0.46122136891085724</v>
      </c>
      <c r="AO265" s="215">
        <f t="shared" si="661"/>
        <v>0.46447674327766891</v>
      </c>
      <c r="AP265" s="215">
        <f t="shared" si="661"/>
        <v>0.45504111176478385</v>
      </c>
      <c r="AQ265" s="215">
        <f t="shared" si="661"/>
        <v>0.44469463300318945</v>
      </c>
      <c r="AR265" s="215">
        <f t="shared" si="661"/>
        <v>0.459993769619707</v>
      </c>
      <c r="AS265" s="215">
        <f t="shared" si="661"/>
        <v>0.43597582707043891</v>
      </c>
      <c r="AT265" s="215">
        <f>(AT243+AT246+AT248)/(AT261-AT260)</f>
        <v>0.45945958382894253</v>
      </c>
      <c r="AU265" s="215">
        <f>(AU243+AU246+AU248)/(AU261-AU260)</f>
        <v>0.45293304682107716</v>
      </c>
      <c r="AV265" s="215">
        <f t="shared" ref="AV265:AW265" si="662">(AV243+AV246+AV248)/(AV261-AV260)</f>
        <v>0.4564409449663171</v>
      </c>
      <c r="AW265" s="264">
        <f t="shared" si="662"/>
        <v>0.46217699379778437</v>
      </c>
      <c r="AX265" s="215">
        <f t="shared" ref="AX265:AZ265" si="663">(AX243+AX246+AX248)/(AX261-AX260)</f>
        <v>0.4593403566682836</v>
      </c>
      <c r="AY265" s="215">
        <f t="shared" si="663"/>
        <v>0.46652146038704112</v>
      </c>
      <c r="AZ265" s="215">
        <f t="shared" si="663"/>
        <v>0.4723950735298707</v>
      </c>
      <c r="BA265" s="215">
        <f t="shared" ref="BA265:BB265" si="664">(BA243+BA246+BA248)/(BA261-BA260)</f>
        <v>0.46307277195320706</v>
      </c>
      <c r="BB265" s="215">
        <f t="shared" si="664"/>
        <v>0.4577978616211163</v>
      </c>
      <c r="BC265" s="215">
        <f t="shared" ref="BC265:BE265" si="665">(BC243+BC246+BC248)/(BC261-BC260)</f>
        <v>0.45224462943379085</v>
      </c>
      <c r="BD265" s="215" t="e">
        <f t="shared" si="665"/>
        <v>#DIV/0!</v>
      </c>
      <c r="BE265" s="215" t="e">
        <f t="shared" si="665"/>
        <v>#DIV/0!</v>
      </c>
      <c r="BF265" s="215" t="e">
        <f t="shared" ref="BF265:BG265" si="666">(BF243+BF246+BF248)/(BF261-BF260)</f>
        <v>#DIV/0!</v>
      </c>
      <c r="BG265" s="215" t="e">
        <f t="shared" si="666"/>
        <v>#DIV/0!</v>
      </c>
      <c r="BO265" s="270">
        <f>(BO243+BO246+BO248)/(BO261-BO260)</f>
        <v>0.45918387420232598</v>
      </c>
      <c r="BP265" s="216">
        <f>(BP243+BP246+BP248)/(BP261-BP260)</f>
        <v>0.45918387420232587</v>
      </c>
    </row>
    <row r="266" spans="1:68" ht="16" thickBot="1">
      <c r="A266" s="217"/>
      <c r="B266" s="218"/>
      <c r="C266" s="218"/>
      <c r="D266" s="218"/>
      <c r="E266" s="218"/>
      <c r="F266" s="218"/>
      <c r="G266" s="218"/>
      <c r="H266" s="218"/>
      <c r="I266" s="218"/>
      <c r="J266" s="218"/>
      <c r="K266" s="218"/>
      <c r="L266" s="218"/>
      <c r="M266" s="219"/>
      <c r="N266" s="218"/>
      <c r="O266" s="218"/>
      <c r="P266" s="218"/>
      <c r="Q266" s="218"/>
      <c r="R266" s="218"/>
      <c r="S266" s="218"/>
      <c r="T266" s="218"/>
      <c r="U266" s="218"/>
      <c r="V266" s="218"/>
      <c r="W266" s="218"/>
      <c r="X266" s="218"/>
      <c r="Y266" s="219"/>
      <c r="Z266" s="218"/>
      <c r="AA266" s="218"/>
      <c r="AB266" s="218"/>
      <c r="AC266" s="218"/>
      <c r="AD266" s="218"/>
      <c r="AE266" s="218"/>
      <c r="AF266" s="218"/>
      <c r="AG266" s="218"/>
      <c r="AH266" s="218"/>
      <c r="AI266" s="218"/>
      <c r="AJ266" s="218"/>
      <c r="AK266" s="218"/>
      <c r="AL266" s="218"/>
      <c r="AM266" s="218"/>
      <c r="AN266" s="218"/>
      <c r="AO266" s="218"/>
      <c r="AP266" s="218"/>
      <c r="AQ266" s="218"/>
      <c r="AR266" s="218"/>
      <c r="AS266" s="218"/>
      <c r="AT266" s="218"/>
      <c r="AU266" s="218"/>
      <c r="AV266" s="218"/>
      <c r="AW266" s="219"/>
      <c r="AX266" s="218"/>
      <c r="AY266" s="218"/>
      <c r="AZ266" s="218"/>
      <c r="BA266" s="218"/>
      <c r="BB266" s="218"/>
      <c r="BC266" s="218"/>
      <c r="BD266" s="218"/>
      <c r="BE266" s="218"/>
      <c r="BF266" s="218"/>
      <c r="BG266" s="218"/>
      <c r="BO266" s="271"/>
      <c r="BP266" s="220"/>
    </row>
    <row r="269" spans="1:68">
      <c r="A269" s="98" t="s">
        <v>48</v>
      </c>
    </row>
    <row r="270" spans="1:68" ht="16" thickBot="1"/>
    <row r="271" spans="1:68" ht="16">
      <c r="A271" s="100" t="s">
        <v>286</v>
      </c>
      <c r="B271" s="101">
        <v>39448</v>
      </c>
      <c r="C271" s="101">
        <v>39479</v>
      </c>
      <c r="D271" s="101">
        <v>39508</v>
      </c>
      <c r="E271" s="101">
        <v>39539</v>
      </c>
      <c r="F271" s="101">
        <v>39569</v>
      </c>
      <c r="G271" s="101">
        <v>39600</v>
      </c>
      <c r="H271" s="101">
        <v>39630</v>
      </c>
      <c r="I271" s="101">
        <v>39661</v>
      </c>
      <c r="J271" s="101">
        <v>39692</v>
      </c>
      <c r="K271" s="101">
        <v>39722</v>
      </c>
      <c r="L271" s="101">
        <v>39753</v>
      </c>
      <c r="M271" s="102">
        <v>39783</v>
      </c>
      <c r="N271" s="101">
        <v>39814</v>
      </c>
      <c r="O271" s="101">
        <v>39845</v>
      </c>
      <c r="P271" s="101">
        <v>39873</v>
      </c>
      <c r="Q271" s="101">
        <v>39904</v>
      </c>
      <c r="R271" s="101">
        <v>39934</v>
      </c>
      <c r="S271" s="101">
        <v>39965</v>
      </c>
      <c r="T271" s="101">
        <v>39995</v>
      </c>
      <c r="U271" s="101">
        <v>40026</v>
      </c>
      <c r="V271" s="101">
        <v>40057</v>
      </c>
      <c r="W271" s="101">
        <v>40087</v>
      </c>
      <c r="X271" s="101">
        <v>40118</v>
      </c>
      <c r="Y271" s="102">
        <v>40148</v>
      </c>
      <c r="Z271" s="101">
        <v>40179</v>
      </c>
      <c r="AA271" s="101">
        <v>40210</v>
      </c>
      <c r="AB271" s="101">
        <v>40238</v>
      </c>
      <c r="AC271" s="101">
        <v>40269</v>
      </c>
      <c r="AD271" s="101">
        <v>40299</v>
      </c>
      <c r="AE271" s="101">
        <v>40330</v>
      </c>
      <c r="AF271" s="101">
        <v>40360</v>
      </c>
      <c r="AG271" s="101">
        <v>40391</v>
      </c>
      <c r="AH271" s="101">
        <v>40422</v>
      </c>
      <c r="AI271" s="101">
        <v>40452</v>
      </c>
      <c r="AJ271" s="101">
        <v>40483</v>
      </c>
      <c r="AK271" s="102">
        <v>40513</v>
      </c>
      <c r="AL271" s="101">
        <v>40544</v>
      </c>
      <c r="AM271" s="101">
        <v>40575</v>
      </c>
      <c r="AN271" s="101">
        <v>40603</v>
      </c>
      <c r="AO271" s="101">
        <v>40634</v>
      </c>
      <c r="AP271" s="101">
        <v>40664</v>
      </c>
      <c r="AQ271" s="101">
        <v>40695</v>
      </c>
      <c r="AR271" s="101">
        <v>40725</v>
      </c>
      <c r="AS271" s="101">
        <v>40756</v>
      </c>
      <c r="AT271" s="101">
        <v>40787</v>
      </c>
      <c r="AU271" s="101">
        <v>40817</v>
      </c>
      <c r="AV271" s="101">
        <v>40848</v>
      </c>
      <c r="AW271" s="102">
        <v>40878</v>
      </c>
      <c r="AX271" s="101">
        <v>40909</v>
      </c>
      <c r="AY271" s="101">
        <v>40940</v>
      </c>
      <c r="AZ271" s="101">
        <v>40969</v>
      </c>
      <c r="BA271" s="101">
        <v>41000</v>
      </c>
      <c r="BB271" s="101">
        <v>41030</v>
      </c>
      <c r="BC271" s="101">
        <v>41061</v>
      </c>
      <c r="BO271" s="362" t="s">
        <v>371</v>
      </c>
    </row>
    <row r="272" spans="1:68">
      <c r="A272" s="75"/>
      <c r="M272" s="115"/>
      <c r="Y272" s="115"/>
      <c r="AK272" s="115"/>
      <c r="AW272" s="115"/>
      <c r="BO272" s="267"/>
    </row>
    <row r="273" spans="1:67">
      <c r="A273" s="5" t="s">
        <v>202</v>
      </c>
      <c r="B273" s="126"/>
      <c r="C273" s="126"/>
      <c r="D273" s="126"/>
      <c r="E273" s="126"/>
      <c r="F273" s="126"/>
      <c r="G273" s="126"/>
      <c r="H273" s="126"/>
      <c r="I273" s="126"/>
      <c r="J273" s="126"/>
      <c r="K273" s="126"/>
      <c r="L273" s="126"/>
      <c r="M273" s="127"/>
      <c r="N273" s="126"/>
      <c r="O273" s="126"/>
      <c r="P273" s="126"/>
      <c r="Q273" s="126"/>
      <c r="R273" s="126"/>
      <c r="S273" s="126"/>
      <c r="T273" s="126"/>
      <c r="U273" s="126"/>
      <c r="V273" s="126"/>
      <c r="W273" s="126"/>
      <c r="X273" s="126"/>
      <c r="Y273" s="127"/>
      <c r="Z273" s="126"/>
      <c r="AA273" s="126"/>
      <c r="AB273" s="126"/>
      <c r="AC273" s="126"/>
      <c r="AD273" s="126"/>
      <c r="AE273" s="126"/>
      <c r="AF273" s="126"/>
      <c r="AG273" s="126"/>
      <c r="AH273" s="126"/>
      <c r="AI273" s="126"/>
      <c r="AJ273" s="126"/>
      <c r="AK273" s="127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>
        <v>224.99444199999999</v>
      </c>
      <c r="AW273" s="127">
        <v>211.23674099999999</v>
      </c>
      <c r="AX273" s="126">
        <v>217.252419</v>
      </c>
      <c r="AY273" s="126">
        <v>218.18519900000001</v>
      </c>
      <c r="AZ273" s="126">
        <v>250.46977100000001</v>
      </c>
      <c r="BA273" s="126">
        <v>244.915682</v>
      </c>
      <c r="BB273" s="126">
        <v>177.868628</v>
      </c>
      <c r="BC273" s="126">
        <v>146.84984</v>
      </c>
      <c r="BO273" s="268">
        <f>SUM(AR273:BC273)/SUM(AR$291:BC$291)</f>
        <v>0.90393374650179814</v>
      </c>
    </row>
    <row r="274" spans="1:67">
      <c r="A274" s="5" t="s">
        <v>259</v>
      </c>
      <c r="B274" s="126"/>
      <c r="C274" s="126"/>
      <c r="D274" s="126"/>
      <c r="E274" s="126"/>
      <c r="F274" s="126"/>
      <c r="G274" s="126"/>
      <c r="H274" s="126"/>
      <c r="I274" s="126"/>
      <c r="J274" s="126"/>
      <c r="K274" s="126"/>
      <c r="L274" s="126"/>
      <c r="M274" s="127"/>
      <c r="N274" s="126"/>
      <c r="O274" s="126"/>
      <c r="P274" s="126"/>
      <c r="Q274" s="126"/>
      <c r="R274" s="126"/>
      <c r="S274" s="126"/>
      <c r="T274" s="126"/>
      <c r="U274" s="126"/>
      <c r="V274" s="126"/>
      <c r="W274" s="126"/>
      <c r="X274" s="126"/>
      <c r="Y274" s="127"/>
      <c r="Z274" s="126"/>
      <c r="AA274" s="126"/>
      <c r="AB274" s="126"/>
      <c r="AC274" s="126"/>
      <c r="AD274" s="126"/>
      <c r="AE274" s="126"/>
      <c r="AF274" s="126"/>
      <c r="AG274" s="126"/>
      <c r="AH274" s="126"/>
      <c r="AI274" s="126"/>
      <c r="AJ274" s="126"/>
      <c r="AK274" s="127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>
        <v>12.007657999999999</v>
      </c>
      <c r="AW274" s="127">
        <v>12.220343</v>
      </c>
      <c r="AX274" s="126">
        <v>13.829886999999999</v>
      </c>
      <c r="AY274" s="126">
        <v>11.519968</v>
      </c>
      <c r="AZ274" s="126">
        <v>10.085004</v>
      </c>
      <c r="BA274" s="126">
        <v>8.9345529999999993</v>
      </c>
      <c r="BB274" s="126">
        <v>10.319735</v>
      </c>
      <c r="BC274" s="126">
        <v>5.4717120000000001</v>
      </c>
      <c r="BO274" s="268">
        <f t="shared" ref="BO274:BO291" si="667">SUM(AR274:BC274)/SUM(AR$291:BC$291)</f>
        <v>4.5089944642585221E-2</v>
      </c>
    </row>
    <row r="275" spans="1:67">
      <c r="A275" s="5" t="s">
        <v>258</v>
      </c>
      <c r="B275" s="126"/>
      <c r="C275" s="126"/>
      <c r="D275" s="126"/>
      <c r="E275" s="126"/>
      <c r="F275" s="126"/>
      <c r="G275" s="126"/>
      <c r="H275" s="126"/>
      <c r="I275" s="126"/>
      <c r="J275" s="126"/>
      <c r="K275" s="126"/>
      <c r="L275" s="126"/>
      <c r="M275" s="127"/>
      <c r="N275" s="126"/>
      <c r="O275" s="126"/>
      <c r="P275" s="126"/>
      <c r="Q275" s="126"/>
      <c r="R275" s="126"/>
      <c r="S275" s="126"/>
      <c r="T275" s="126"/>
      <c r="U275" s="126"/>
      <c r="V275" s="126"/>
      <c r="W275" s="126"/>
      <c r="X275" s="126"/>
      <c r="Y275" s="127"/>
      <c r="Z275" s="126"/>
      <c r="AA275" s="126"/>
      <c r="AB275" s="126"/>
      <c r="AC275" s="126"/>
      <c r="AD275" s="126"/>
      <c r="AE275" s="126"/>
      <c r="AF275" s="126"/>
      <c r="AG275" s="126"/>
      <c r="AH275" s="126"/>
      <c r="AI275" s="126"/>
      <c r="AJ275" s="126"/>
      <c r="AK275" s="127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>
        <v>4.0733430000000004</v>
      </c>
      <c r="AW275" s="127">
        <v>0.20572299999999999</v>
      </c>
      <c r="AX275" s="126">
        <v>5.2731440000000003</v>
      </c>
      <c r="AY275" s="126">
        <v>5.0752449999999998</v>
      </c>
      <c r="AZ275" s="126">
        <v>4.3564959999999999</v>
      </c>
      <c r="BA275" s="126">
        <v>4.5361370000000001</v>
      </c>
      <c r="BB275" s="126">
        <v>11.857438</v>
      </c>
      <c r="BC275" s="126">
        <v>16.328564</v>
      </c>
      <c r="BO275" s="268">
        <f t="shared" si="667"/>
        <v>2.7627162350392337E-2</v>
      </c>
    </row>
    <row r="276" spans="1:67">
      <c r="A276" s="5" t="s">
        <v>227</v>
      </c>
      <c r="B276" s="126"/>
      <c r="C276" s="126"/>
      <c r="D276" s="126"/>
      <c r="E276" s="126"/>
      <c r="F276" s="126"/>
      <c r="G276" s="126"/>
      <c r="H276" s="126"/>
      <c r="I276" s="126"/>
      <c r="J276" s="126"/>
      <c r="K276" s="126"/>
      <c r="L276" s="126"/>
      <c r="M276" s="127"/>
      <c r="N276" s="126"/>
      <c r="O276" s="126"/>
      <c r="P276" s="126"/>
      <c r="Q276" s="126"/>
      <c r="R276" s="126"/>
      <c r="S276" s="126"/>
      <c r="T276" s="126"/>
      <c r="U276" s="126"/>
      <c r="V276" s="126"/>
      <c r="W276" s="126"/>
      <c r="X276" s="126"/>
      <c r="Y276" s="127"/>
      <c r="Z276" s="126"/>
      <c r="AA276" s="126"/>
      <c r="AB276" s="126"/>
      <c r="AC276" s="126"/>
      <c r="AD276" s="126"/>
      <c r="AE276" s="126"/>
      <c r="AF276" s="126"/>
      <c r="AG276" s="126"/>
      <c r="AH276" s="126"/>
      <c r="AI276" s="126"/>
      <c r="AJ276" s="126"/>
      <c r="AK276" s="127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>
        <v>2.4358759999999999</v>
      </c>
      <c r="AW276" s="127">
        <v>3.0343870000000002</v>
      </c>
      <c r="AX276" s="126">
        <v>2.943956</v>
      </c>
      <c r="AY276" s="126">
        <v>2.422593</v>
      </c>
      <c r="AZ276" s="126">
        <v>2.4080789999999999</v>
      </c>
      <c r="BA276" s="126">
        <v>2.1363210000000001</v>
      </c>
      <c r="BB276" s="126">
        <v>0.74865899999999996</v>
      </c>
      <c r="BC276" s="126">
        <v>1.947303</v>
      </c>
      <c r="BO276" s="268">
        <f t="shared" si="667"/>
        <v>9.6588432993926117E-3</v>
      </c>
    </row>
    <row r="277" spans="1:67">
      <c r="A277" s="5" t="s">
        <v>260</v>
      </c>
      <c r="B277" s="126"/>
      <c r="C277" s="126"/>
      <c r="D277" s="126"/>
      <c r="E277" s="126"/>
      <c r="F277" s="126"/>
      <c r="G277" s="126"/>
      <c r="H277" s="126"/>
      <c r="I277" s="126"/>
      <c r="J277" s="126"/>
      <c r="K277" s="126"/>
      <c r="L277" s="126"/>
      <c r="M277" s="127"/>
      <c r="N277" s="126"/>
      <c r="O277" s="126"/>
      <c r="P277" s="126"/>
      <c r="Q277" s="126"/>
      <c r="R277" s="126"/>
      <c r="S277" s="126"/>
      <c r="T277" s="126"/>
      <c r="U277" s="126"/>
      <c r="V277" s="126"/>
      <c r="W277" s="126"/>
      <c r="X277" s="126"/>
      <c r="Y277" s="127"/>
      <c r="Z277" s="126"/>
      <c r="AA277" s="126"/>
      <c r="AB277" s="126"/>
      <c r="AC277" s="126"/>
      <c r="AD277" s="126"/>
      <c r="AE277" s="126"/>
      <c r="AF277" s="126"/>
      <c r="AG277" s="126"/>
      <c r="AH277" s="126"/>
      <c r="AI277" s="126"/>
      <c r="AJ277" s="126"/>
      <c r="AK277" s="127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>
        <v>0.77127400000000002</v>
      </c>
      <c r="AW277" s="127">
        <v>0</v>
      </c>
      <c r="AX277" s="126">
        <v>0</v>
      </c>
      <c r="AY277" s="126">
        <v>0</v>
      </c>
      <c r="AZ277" s="126">
        <v>0.607545</v>
      </c>
      <c r="BA277" s="126">
        <v>0.85732900000000001</v>
      </c>
      <c r="BB277" s="126">
        <v>1.373095</v>
      </c>
      <c r="BC277" s="126">
        <v>1.5293060000000001</v>
      </c>
      <c r="BO277" s="268">
        <f t="shared" si="667"/>
        <v>2.7455862059661868E-3</v>
      </c>
    </row>
    <row r="278" spans="1:67">
      <c r="A278" s="5" t="s">
        <v>261</v>
      </c>
      <c r="B278" s="126"/>
      <c r="C278" s="126"/>
      <c r="D278" s="126"/>
      <c r="E278" s="126"/>
      <c r="F278" s="126"/>
      <c r="G278" s="126"/>
      <c r="H278" s="126"/>
      <c r="I278" s="126"/>
      <c r="J278" s="126"/>
      <c r="K278" s="126"/>
      <c r="L278" s="126"/>
      <c r="M278" s="127"/>
      <c r="N278" s="126"/>
      <c r="O278" s="126"/>
      <c r="P278" s="126"/>
      <c r="Q278" s="126"/>
      <c r="R278" s="126"/>
      <c r="S278" s="126"/>
      <c r="T278" s="126"/>
      <c r="U278" s="126"/>
      <c r="V278" s="126"/>
      <c r="W278" s="126"/>
      <c r="X278" s="126"/>
      <c r="Y278" s="127"/>
      <c r="Z278" s="126"/>
      <c r="AA278" s="126"/>
      <c r="AB278" s="126"/>
      <c r="AC278" s="126"/>
      <c r="AD278" s="126"/>
      <c r="AE278" s="126"/>
      <c r="AF278" s="126"/>
      <c r="AG278" s="126"/>
      <c r="AH278" s="126"/>
      <c r="AI278" s="126"/>
      <c r="AJ278" s="126"/>
      <c r="AK278" s="127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>
        <v>0.23372899999999999</v>
      </c>
      <c r="AW278" s="127">
        <v>0</v>
      </c>
      <c r="AX278" s="126">
        <v>0</v>
      </c>
      <c r="AY278" s="126">
        <v>1.7208000000000001E-2</v>
      </c>
      <c r="AZ278" s="126">
        <v>2.7407999999999998E-2</v>
      </c>
      <c r="BA278" s="126">
        <v>0.79494399999999998</v>
      </c>
      <c r="BB278" s="126">
        <v>0.92658600000000002</v>
      </c>
      <c r="BC278" s="126">
        <v>1.7716940000000001</v>
      </c>
      <c r="BO278" s="268">
        <f t="shared" si="667"/>
        <v>2.0151929700874087E-3</v>
      </c>
    </row>
    <row r="279" spans="1:67">
      <c r="A279" s="5" t="s">
        <v>290</v>
      </c>
      <c r="B279" s="126"/>
      <c r="C279" s="126"/>
      <c r="D279" s="126"/>
      <c r="E279" s="126"/>
      <c r="F279" s="126"/>
      <c r="G279" s="126"/>
      <c r="H279" s="126"/>
      <c r="I279" s="126"/>
      <c r="J279" s="126"/>
      <c r="K279" s="126"/>
      <c r="L279" s="126"/>
      <c r="M279" s="127"/>
      <c r="N279" s="126"/>
      <c r="O279" s="126"/>
      <c r="P279" s="126"/>
      <c r="Q279" s="126"/>
      <c r="R279" s="126"/>
      <c r="S279" s="126"/>
      <c r="T279" s="126"/>
      <c r="U279" s="126"/>
      <c r="V279" s="126"/>
      <c r="W279" s="126"/>
      <c r="X279" s="126"/>
      <c r="Y279" s="127"/>
      <c r="Z279" s="126"/>
      <c r="AA279" s="126"/>
      <c r="AB279" s="126"/>
      <c r="AC279" s="126"/>
      <c r="AD279" s="126"/>
      <c r="AE279" s="126"/>
      <c r="AF279" s="126"/>
      <c r="AG279" s="126"/>
      <c r="AH279" s="126"/>
      <c r="AI279" s="126"/>
      <c r="AJ279" s="126"/>
      <c r="AK279" s="127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>
        <v>1.262802</v>
      </c>
      <c r="AW279" s="127">
        <v>1.313733</v>
      </c>
      <c r="AX279" s="126">
        <v>1.731581</v>
      </c>
      <c r="AY279" s="126">
        <v>1.249231</v>
      </c>
      <c r="AZ279" s="126">
        <v>1.3472999999999999</v>
      </c>
      <c r="BA279" s="126">
        <v>0.43005500000000002</v>
      </c>
      <c r="BB279" s="126">
        <v>0.38908900000000002</v>
      </c>
      <c r="BC279" s="126">
        <v>3.9141000000000002E-2</v>
      </c>
      <c r="BO279" s="268">
        <f t="shared" si="667"/>
        <v>4.147824418343291E-3</v>
      </c>
    </row>
    <row r="280" spans="1:67">
      <c r="A280" s="5" t="s">
        <v>226</v>
      </c>
      <c r="B280" s="126"/>
      <c r="C280" s="126"/>
      <c r="D280" s="126"/>
      <c r="E280" s="126"/>
      <c r="F280" s="126"/>
      <c r="G280" s="126"/>
      <c r="H280" s="126"/>
      <c r="I280" s="126"/>
      <c r="J280" s="126"/>
      <c r="K280" s="126"/>
      <c r="L280" s="126"/>
      <c r="M280" s="127"/>
      <c r="N280" s="126"/>
      <c r="O280" s="126"/>
      <c r="P280" s="126"/>
      <c r="Q280" s="126"/>
      <c r="R280" s="126"/>
      <c r="S280" s="126"/>
      <c r="T280" s="126"/>
      <c r="U280" s="126"/>
      <c r="V280" s="126"/>
      <c r="W280" s="126"/>
      <c r="X280" s="126"/>
      <c r="Y280" s="127"/>
      <c r="Z280" s="126"/>
      <c r="AA280" s="126"/>
      <c r="AB280" s="126"/>
      <c r="AC280" s="126"/>
      <c r="AD280" s="126"/>
      <c r="AE280" s="126"/>
      <c r="AF280" s="126"/>
      <c r="AG280" s="126"/>
      <c r="AH280" s="126"/>
      <c r="AI280" s="126"/>
      <c r="AJ280" s="126"/>
      <c r="AK280" s="127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>
        <v>0</v>
      </c>
      <c r="AW280" s="127">
        <v>0</v>
      </c>
      <c r="AX280" s="126">
        <v>0</v>
      </c>
      <c r="AY280" s="126">
        <v>0</v>
      </c>
      <c r="AZ280" s="126">
        <v>6.5620000000000001E-3</v>
      </c>
      <c r="BA280" s="126">
        <v>0.32155099999999998</v>
      </c>
      <c r="BB280" s="126">
        <v>0.54615199999999997</v>
      </c>
      <c r="BC280" s="126">
        <v>0.90337199999999995</v>
      </c>
      <c r="BO280" s="268">
        <f t="shared" si="667"/>
        <v>9.4981202405875929E-4</v>
      </c>
    </row>
    <row r="281" spans="1:67">
      <c r="A281" s="5" t="s">
        <v>230</v>
      </c>
      <c r="B281" s="126"/>
      <c r="C281" s="126"/>
      <c r="D281" s="126"/>
      <c r="E281" s="126"/>
      <c r="F281" s="126"/>
      <c r="G281" s="126"/>
      <c r="H281" s="126"/>
      <c r="I281" s="126"/>
      <c r="J281" s="126"/>
      <c r="K281" s="126"/>
      <c r="L281" s="126"/>
      <c r="M281" s="127"/>
      <c r="N281" s="126"/>
      <c r="O281" s="126"/>
      <c r="P281" s="126"/>
      <c r="Q281" s="126"/>
      <c r="R281" s="126"/>
      <c r="S281" s="126"/>
      <c r="T281" s="126"/>
      <c r="U281" s="126"/>
      <c r="V281" s="126"/>
      <c r="W281" s="126"/>
      <c r="X281" s="126"/>
      <c r="Y281" s="127"/>
      <c r="Z281" s="126"/>
      <c r="AA281" s="126"/>
      <c r="AB281" s="126"/>
      <c r="AC281" s="126"/>
      <c r="AD281" s="126"/>
      <c r="AE281" s="126"/>
      <c r="AF281" s="126"/>
      <c r="AG281" s="126"/>
      <c r="AH281" s="126"/>
      <c r="AI281" s="126"/>
      <c r="AJ281" s="126"/>
      <c r="AK281" s="127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>
        <v>0</v>
      </c>
      <c r="AW281" s="127">
        <v>0</v>
      </c>
      <c r="AX281" s="126">
        <v>0</v>
      </c>
      <c r="AY281" s="126">
        <v>1.2664E-2</v>
      </c>
      <c r="AZ281" s="126">
        <v>0.35617599999999999</v>
      </c>
      <c r="BA281" s="126">
        <v>0.37873800000000002</v>
      </c>
      <c r="BB281" s="126">
        <v>1.262796</v>
      </c>
      <c r="BC281" s="126">
        <v>0.28595900000000002</v>
      </c>
      <c r="BO281" s="268">
        <f t="shared" si="667"/>
        <v>1.2269573004178712E-3</v>
      </c>
    </row>
    <row r="282" spans="1:67">
      <c r="A282" s="5" t="s">
        <v>229</v>
      </c>
      <c r="B282" s="126"/>
      <c r="C282" s="126"/>
      <c r="D282" s="126"/>
      <c r="E282" s="126"/>
      <c r="F282" s="126"/>
      <c r="G282" s="126"/>
      <c r="H282" s="126"/>
      <c r="I282" s="126"/>
      <c r="J282" s="126"/>
      <c r="K282" s="126"/>
      <c r="L282" s="126"/>
      <c r="M282" s="127"/>
      <c r="N282" s="126"/>
      <c r="O282" s="126"/>
      <c r="P282" s="126"/>
      <c r="Q282" s="126"/>
      <c r="R282" s="126"/>
      <c r="S282" s="126"/>
      <c r="T282" s="126"/>
      <c r="U282" s="126"/>
      <c r="V282" s="126"/>
      <c r="W282" s="126"/>
      <c r="X282" s="126"/>
      <c r="Y282" s="127"/>
      <c r="Z282" s="126"/>
      <c r="AA282" s="126"/>
      <c r="AB282" s="126"/>
      <c r="AC282" s="126"/>
      <c r="AD282" s="126"/>
      <c r="AE282" s="126"/>
      <c r="AF282" s="126"/>
      <c r="AG282" s="126"/>
      <c r="AH282" s="126"/>
      <c r="AI282" s="126"/>
      <c r="AJ282" s="126"/>
      <c r="AK282" s="127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>
        <v>0.180594</v>
      </c>
      <c r="AW282" s="127">
        <v>0.32797900000000002</v>
      </c>
      <c r="AX282" s="126">
        <v>0.25615900000000003</v>
      </c>
      <c r="AY282" s="126">
        <v>0.48199399999999998</v>
      </c>
      <c r="AZ282" s="126">
        <v>0.59598399999999996</v>
      </c>
      <c r="BA282" s="126">
        <v>0.28145999999999999</v>
      </c>
      <c r="BB282" s="126">
        <v>0.23333999999999999</v>
      </c>
      <c r="BC282" s="126">
        <v>0.14978</v>
      </c>
      <c r="BO282" s="268">
        <f t="shared" si="667"/>
        <v>1.3396740672039829E-3</v>
      </c>
    </row>
    <row r="283" spans="1:67">
      <c r="A283" s="5" t="s">
        <v>291</v>
      </c>
      <c r="B283" s="126"/>
      <c r="C283" s="126"/>
      <c r="D283" s="126"/>
      <c r="E283" s="126"/>
      <c r="F283" s="126"/>
      <c r="G283" s="126"/>
      <c r="H283" s="126"/>
      <c r="I283" s="126"/>
      <c r="J283" s="126"/>
      <c r="K283" s="126"/>
      <c r="L283" s="126"/>
      <c r="M283" s="127"/>
      <c r="N283" s="126"/>
      <c r="O283" s="126"/>
      <c r="P283" s="126"/>
      <c r="Q283" s="126"/>
      <c r="R283" s="126"/>
      <c r="S283" s="126"/>
      <c r="T283" s="126"/>
      <c r="U283" s="126"/>
      <c r="V283" s="126"/>
      <c r="W283" s="126"/>
      <c r="X283" s="126"/>
      <c r="Y283" s="127"/>
      <c r="Z283" s="126"/>
      <c r="AA283" s="126"/>
      <c r="AB283" s="126"/>
      <c r="AC283" s="126"/>
      <c r="AD283" s="126"/>
      <c r="AE283" s="126"/>
      <c r="AF283" s="126"/>
      <c r="AG283" s="126"/>
      <c r="AH283" s="126"/>
      <c r="AI283" s="126"/>
      <c r="AJ283" s="126"/>
      <c r="AK283" s="127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>
        <v>0.19677500000000001</v>
      </c>
      <c r="AW283" s="127">
        <v>0.19966700000000001</v>
      </c>
      <c r="AX283" s="126">
        <v>0.18085599999999999</v>
      </c>
      <c r="AY283" s="126">
        <v>0.100726</v>
      </c>
      <c r="AZ283" s="126">
        <v>1.2999999999999999E-5</v>
      </c>
      <c r="BA283" s="126">
        <v>0</v>
      </c>
      <c r="BB283" s="126">
        <v>0</v>
      </c>
      <c r="BC283" s="126">
        <v>0</v>
      </c>
      <c r="BO283" s="268">
        <f t="shared" si="667"/>
        <v>3.622830169245628E-4</v>
      </c>
    </row>
    <row r="284" spans="1:67">
      <c r="A284" s="5" t="s">
        <v>232</v>
      </c>
      <c r="B284" s="126"/>
      <c r="C284" s="126"/>
      <c r="D284" s="126"/>
      <c r="E284" s="126"/>
      <c r="F284" s="126"/>
      <c r="G284" s="126"/>
      <c r="H284" s="126"/>
      <c r="I284" s="126"/>
      <c r="J284" s="126"/>
      <c r="K284" s="126"/>
      <c r="L284" s="126"/>
      <c r="M284" s="127"/>
      <c r="N284" s="126"/>
      <c r="O284" s="126"/>
      <c r="P284" s="126"/>
      <c r="Q284" s="126"/>
      <c r="R284" s="126"/>
      <c r="S284" s="126"/>
      <c r="T284" s="126"/>
      <c r="U284" s="126"/>
      <c r="V284" s="126"/>
      <c r="W284" s="126"/>
      <c r="X284" s="126"/>
      <c r="Y284" s="127"/>
      <c r="Z284" s="126"/>
      <c r="AA284" s="126"/>
      <c r="AB284" s="126"/>
      <c r="AC284" s="126"/>
      <c r="AD284" s="126"/>
      <c r="AE284" s="126"/>
      <c r="AF284" s="126"/>
      <c r="AG284" s="126"/>
      <c r="AH284" s="126"/>
      <c r="AI284" s="126"/>
      <c r="AJ284" s="126"/>
      <c r="AK284" s="127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>
        <v>1.4558E-2</v>
      </c>
      <c r="AW284" s="127">
        <v>7.097E-3</v>
      </c>
      <c r="AX284" s="126">
        <v>0.50022599999999995</v>
      </c>
      <c r="AY284" s="126">
        <v>2.9550000000000002E-3</v>
      </c>
      <c r="AZ284" s="126">
        <v>3.7290000000000001E-3</v>
      </c>
      <c r="BA284" s="126">
        <v>5.6499999999999996E-3</v>
      </c>
      <c r="BB284" s="126">
        <v>1.5462999999999999E-2</v>
      </c>
      <c r="BC284" s="126">
        <v>7.8779999999999996E-3</v>
      </c>
      <c r="BO284" s="268">
        <f t="shared" si="667"/>
        <v>2.9790862413760834E-4</v>
      </c>
    </row>
    <row r="285" spans="1:67">
      <c r="A285" s="5" t="s">
        <v>292</v>
      </c>
      <c r="B285" s="126"/>
      <c r="C285" s="126"/>
      <c r="D285" s="126"/>
      <c r="E285" s="126"/>
      <c r="F285" s="126"/>
      <c r="G285" s="126"/>
      <c r="H285" s="126"/>
      <c r="I285" s="126"/>
      <c r="J285" s="126"/>
      <c r="K285" s="126"/>
      <c r="L285" s="126"/>
      <c r="M285" s="127"/>
      <c r="N285" s="126"/>
      <c r="O285" s="126"/>
      <c r="P285" s="126"/>
      <c r="Q285" s="126"/>
      <c r="R285" s="126"/>
      <c r="S285" s="126"/>
      <c r="T285" s="126"/>
      <c r="U285" s="126"/>
      <c r="V285" s="126"/>
      <c r="W285" s="126"/>
      <c r="X285" s="126"/>
      <c r="Y285" s="127"/>
      <c r="Z285" s="126"/>
      <c r="AA285" s="126"/>
      <c r="AB285" s="126"/>
      <c r="AC285" s="126"/>
      <c r="AD285" s="126"/>
      <c r="AE285" s="126"/>
      <c r="AF285" s="126"/>
      <c r="AG285" s="126"/>
      <c r="AH285" s="126"/>
      <c r="AI285" s="126"/>
      <c r="AJ285" s="126"/>
      <c r="AK285" s="127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>
        <v>6.5399999999999998E-3</v>
      </c>
      <c r="AW285" s="127">
        <v>0.119921</v>
      </c>
      <c r="AX285" s="126">
        <v>0.229989</v>
      </c>
      <c r="AY285" s="126">
        <v>9.1977000000000003E-2</v>
      </c>
      <c r="AZ285" s="126">
        <v>8.6860000000000007E-2</v>
      </c>
      <c r="BA285" s="126">
        <v>0</v>
      </c>
      <c r="BB285" s="126">
        <v>0</v>
      </c>
      <c r="BC285" s="126">
        <v>0</v>
      </c>
      <c r="BO285" s="268">
        <f t="shared" si="667"/>
        <v>2.860100396888348E-4</v>
      </c>
    </row>
    <row r="286" spans="1:67">
      <c r="A286" s="5" t="s">
        <v>79</v>
      </c>
      <c r="B286" s="126"/>
      <c r="C286" s="126"/>
      <c r="D286" s="126"/>
      <c r="E286" s="126"/>
      <c r="F286" s="126"/>
      <c r="G286" s="126"/>
      <c r="H286" s="126"/>
      <c r="I286" s="126"/>
      <c r="J286" s="126"/>
      <c r="K286" s="126"/>
      <c r="L286" s="126"/>
      <c r="M286" s="127"/>
      <c r="N286" s="126"/>
      <c r="O286" s="126"/>
      <c r="P286" s="126"/>
      <c r="Q286" s="126"/>
      <c r="R286" s="126"/>
      <c r="S286" s="126"/>
      <c r="T286" s="126"/>
      <c r="U286" s="126"/>
      <c r="V286" s="126"/>
      <c r="W286" s="126"/>
      <c r="X286" s="126"/>
      <c r="Y286" s="127"/>
      <c r="Z286" s="126"/>
      <c r="AA286" s="126"/>
      <c r="AB286" s="126"/>
      <c r="AC286" s="126"/>
      <c r="AD286" s="126"/>
      <c r="AE286" s="126"/>
      <c r="AF286" s="126"/>
      <c r="AG286" s="126"/>
      <c r="AH286" s="126"/>
      <c r="AI286" s="126"/>
      <c r="AJ286" s="126"/>
      <c r="AK286" s="127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>
        <v>0</v>
      </c>
      <c r="AW286" s="127">
        <v>0</v>
      </c>
      <c r="AX286" s="126">
        <v>0</v>
      </c>
      <c r="AY286" s="126">
        <v>0</v>
      </c>
      <c r="AZ286" s="126">
        <v>0</v>
      </c>
      <c r="BA286" s="126">
        <v>0</v>
      </c>
      <c r="BB286" s="126">
        <v>0</v>
      </c>
      <c r="BC286" s="126">
        <v>0</v>
      </c>
      <c r="BO286" s="268">
        <f t="shared" si="667"/>
        <v>0</v>
      </c>
    </row>
    <row r="287" spans="1:67">
      <c r="A287" s="5" t="s">
        <v>231</v>
      </c>
      <c r="B287" s="126"/>
      <c r="C287" s="126"/>
      <c r="D287" s="126"/>
      <c r="E287" s="126"/>
      <c r="F287" s="126"/>
      <c r="G287" s="126"/>
      <c r="H287" s="126"/>
      <c r="I287" s="126"/>
      <c r="J287" s="126"/>
      <c r="K287" s="126"/>
      <c r="L287" s="126"/>
      <c r="M287" s="127"/>
      <c r="N287" s="126"/>
      <c r="O287" s="126"/>
      <c r="P287" s="126"/>
      <c r="Q287" s="126"/>
      <c r="R287" s="126"/>
      <c r="S287" s="126"/>
      <c r="T287" s="126"/>
      <c r="U287" s="126"/>
      <c r="V287" s="126"/>
      <c r="W287" s="126"/>
      <c r="X287" s="126"/>
      <c r="Y287" s="127"/>
      <c r="Z287" s="126"/>
      <c r="AA287" s="126"/>
      <c r="AB287" s="126"/>
      <c r="AC287" s="126"/>
      <c r="AD287" s="126"/>
      <c r="AE287" s="126"/>
      <c r="AF287" s="126"/>
      <c r="AG287" s="126"/>
      <c r="AH287" s="126"/>
      <c r="AI287" s="126"/>
      <c r="AJ287" s="126"/>
      <c r="AK287" s="127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>
        <v>0</v>
      </c>
      <c r="AW287" s="127">
        <v>0</v>
      </c>
      <c r="AX287" s="126">
        <v>0</v>
      </c>
      <c r="AY287" s="126">
        <v>0</v>
      </c>
      <c r="AZ287" s="126">
        <v>0</v>
      </c>
      <c r="BA287" s="126">
        <v>0</v>
      </c>
      <c r="BB287" s="126">
        <v>5.777E-3</v>
      </c>
      <c r="BC287" s="126">
        <v>1.1858E-2</v>
      </c>
      <c r="BO287" s="268">
        <f t="shared" si="667"/>
        <v>9.4225846133244426E-6</v>
      </c>
    </row>
    <row r="288" spans="1:67">
      <c r="A288" s="5" t="s">
        <v>228</v>
      </c>
      <c r="B288" s="126"/>
      <c r="C288" s="126"/>
      <c r="D288" s="126"/>
      <c r="E288" s="126"/>
      <c r="F288" s="126"/>
      <c r="G288" s="126"/>
      <c r="H288" s="126"/>
      <c r="I288" s="126"/>
      <c r="J288" s="126"/>
      <c r="K288" s="126"/>
      <c r="L288" s="126"/>
      <c r="M288" s="127"/>
      <c r="N288" s="126"/>
      <c r="O288" s="126"/>
      <c r="P288" s="126"/>
      <c r="Q288" s="126"/>
      <c r="R288" s="126"/>
      <c r="S288" s="126"/>
      <c r="T288" s="126"/>
      <c r="U288" s="126"/>
      <c r="V288" s="126"/>
      <c r="W288" s="126"/>
      <c r="X288" s="126"/>
      <c r="Y288" s="127"/>
      <c r="Z288" s="126"/>
      <c r="AA288" s="126"/>
      <c r="AB288" s="126"/>
      <c r="AC288" s="126"/>
      <c r="AD288" s="126"/>
      <c r="AE288" s="126"/>
      <c r="AF288" s="126"/>
      <c r="AG288" s="126"/>
      <c r="AH288" s="126"/>
      <c r="AI288" s="126"/>
      <c r="AJ288" s="126"/>
      <c r="AK288" s="127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>
        <v>0</v>
      </c>
      <c r="AW288" s="127">
        <v>0</v>
      </c>
      <c r="AX288" s="126">
        <v>0</v>
      </c>
      <c r="AY288" s="126">
        <v>0</v>
      </c>
      <c r="AZ288" s="126">
        <v>0</v>
      </c>
      <c r="BA288" s="126">
        <v>0</v>
      </c>
      <c r="BB288" s="126">
        <v>0</v>
      </c>
      <c r="BC288" s="126">
        <v>0</v>
      </c>
      <c r="BO288" s="268">
        <f t="shared" si="667"/>
        <v>0</v>
      </c>
    </row>
    <row r="289" spans="1:69">
      <c r="A289" s="5" t="s">
        <v>233</v>
      </c>
      <c r="B289" s="126"/>
      <c r="C289" s="126"/>
      <c r="D289" s="126"/>
      <c r="E289" s="126"/>
      <c r="F289" s="126"/>
      <c r="G289" s="126"/>
      <c r="H289" s="126"/>
      <c r="I289" s="126"/>
      <c r="J289" s="126"/>
      <c r="K289" s="126"/>
      <c r="L289" s="126"/>
      <c r="M289" s="127"/>
      <c r="N289" s="126"/>
      <c r="O289" s="126"/>
      <c r="P289" s="126"/>
      <c r="Q289" s="126"/>
      <c r="R289" s="126"/>
      <c r="S289" s="126"/>
      <c r="T289" s="126"/>
      <c r="U289" s="126"/>
      <c r="V289" s="126"/>
      <c r="W289" s="126"/>
      <c r="X289" s="126"/>
      <c r="Y289" s="127"/>
      <c r="Z289" s="126"/>
      <c r="AA289" s="126"/>
      <c r="AB289" s="126"/>
      <c r="AC289" s="126"/>
      <c r="AD289" s="126"/>
      <c r="AE289" s="126"/>
      <c r="AF289" s="126"/>
      <c r="AG289" s="126"/>
      <c r="AH289" s="126"/>
      <c r="AI289" s="126"/>
      <c r="AJ289" s="126"/>
      <c r="AK289" s="127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>
        <v>4.0509999999999999E-3</v>
      </c>
      <c r="AW289" s="127">
        <v>7.2899999999999996E-3</v>
      </c>
      <c r="AX289" s="126">
        <v>3.3709999999999999E-3</v>
      </c>
      <c r="AY289" s="126">
        <v>8.0569999999999999E-3</v>
      </c>
      <c r="AZ289" s="126">
        <v>8.8009999999999998E-3</v>
      </c>
      <c r="BA289" s="126">
        <v>1.8131000000000001E-2</v>
      </c>
      <c r="BB289" s="126">
        <v>9.6179999999999998E-3</v>
      </c>
      <c r="BC289" s="126">
        <v>1.0462000000000001E-2</v>
      </c>
      <c r="BO289" s="268">
        <f t="shared" si="667"/>
        <v>3.7284795968380661E-5</v>
      </c>
    </row>
    <row r="290" spans="1:69">
      <c r="A290" s="5" t="s">
        <v>203</v>
      </c>
      <c r="B290" s="126"/>
      <c r="C290" s="126"/>
      <c r="D290" s="126"/>
      <c r="E290" s="126"/>
      <c r="F290" s="126"/>
      <c r="G290" s="126"/>
      <c r="H290" s="126"/>
      <c r="I290" s="126"/>
      <c r="J290" s="126"/>
      <c r="K290" s="126"/>
      <c r="L290" s="126"/>
      <c r="M290" s="127"/>
      <c r="N290" s="126"/>
      <c r="O290" s="126"/>
      <c r="P290" s="126"/>
      <c r="Q290" s="126"/>
      <c r="R290" s="126"/>
      <c r="S290" s="126"/>
      <c r="T290" s="126"/>
      <c r="U290" s="126"/>
      <c r="V290" s="126"/>
      <c r="W290" s="126"/>
      <c r="X290" s="126"/>
      <c r="Y290" s="127"/>
      <c r="Z290" s="126"/>
      <c r="AA290" s="126"/>
      <c r="AB290" s="126"/>
      <c r="AC290" s="126"/>
      <c r="AD290" s="126"/>
      <c r="AE290" s="126"/>
      <c r="AF290" s="126"/>
      <c r="AG290" s="126"/>
      <c r="AH290" s="126"/>
      <c r="AI290" s="126"/>
      <c r="AJ290" s="126"/>
      <c r="AK290" s="127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>
        <f>246.216397-SUM(AV273:AV289)</f>
        <v>3.4754999999989877E-2</v>
      </c>
      <c r="AW290" s="127">
        <f>228.728657-SUM(AW273:AW289)</f>
        <v>5.5775999999951864E-2</v>
      </c>
      <c r="AX290" s="126">
        <f>242.218953-SUM(AX273:AX289)</f>
        <v>1.7364999999983866E-2</v>
      </c>
      <c r="AY290" s="126">
        <f>239.526835-SUM(AY273:AY289)</f>
        <v>0.35901799999996342</v>
      </c>
      <c r="AZ290" s="126">
        <f>270.332384-SUM(AZ273:AZ289)</f>
        <v>-2.7344000000027791E-2</v>
      </c>
      <c r="BA290" s="126">
        <f>263.616852-SUM(BA273:BA289)</f>
        <v>6.301000000064505E-3</v>
      </c>
      <c r="BB290" s="126">
        <f>205.608282-SUM(BB273:BB289)</f>
        <v>5.1905999999974028E-2</v>
      </c>
      <c r="BC290" s="126">
        <f>175.318808-SUM(BC273:BC289)</f>
        <v>1.1939000000040778E-2</v>
      </c>
      <c r="BO290" s="268">
        <f t="shared" si="667"/>
        <v>2.7234715842158898E-4</v>
      </c>
    </row>
    <row r="291" spans="1:69">
      <c r="A291" s="161" t="s">
        <v>256</v>
      </c>
      <c r="B291" s="162"/>
      <c r="C291" s="162"/>
      <c r="D291" s="162"/>
      <c r="E291" s="162"/>
      <c r="F291" s="162"/>
      <c r="G291" s="162"/>
      <c r="H291" s="163"/>
      <c r="I291" s="163"/>
      <c r="J291" s="163"/>
      <c r="K291" s="163"/>
      <c r="L291" s="163"/>
      <c r="M291" s="261"/>
      <c r="N291" s="164"/>
      <c r="O291" s="164"/>
      <c r="P291" s="164"/>
      <c r="Q291" s="164"/>
      <c r="R291" s="164"/>
      <c r="S291" s="164"/>
      <c r="T291" s="164"/>
      <c r="U291" s="164"/>
      <c r="V291" s="164"/>
      <c r="W291" s="164"/>
      <c r="X291" s="164"/>
      <c r="Y291" s="262"/>
      <c r="Z291" s="164"/>
      <c r="AA291" s="164"/>
      <c r="AB291" s="164"/>
      <c r="AC291" s="164"/>
      <c r="AD291" s="164"/>
      <c r="AE291" s="164"/>
      <c r="AF291" s="164"/>
      <c r="AG291" s="164"/>
      <c r="AH291" s="164"/>
      <c r="AI291" s="164"/>
      <c r="AJ291" s="164"/>
      <c r="AK291" s="262"/>
      <c r="AL291" s="164"/>
      <c r="AM291" s="164"/>
      <c r="AN291" s="164"/>
      <c r="AO291" s="164"/>
      <c r="AP291" s="164"/>
      <c r="AQ291" s="164"/>
      <c r="AR291" s="164"/>
      <c r="AS291" s="164"/>
      <c r="AT291" s="164"/>
      <c r="AU291" s="164"/>
      <c r="AV291" s="164">
        <f t="shared" ref="AV291:AX291" si="668">SUM(AV273:AV290)</f>
        <v>246.216397</v>
      </c>
      <c r="AW291" s="262">
        <f t="shared" si="668"/>
        <v>228.728657</v>
      </c>
      <c r="AX291" s="164">
        <f t="shared" si="668"/>
        <v>242.218953</v>
      </c>
      <c r="AY291" s="164">
        <f t="shared" ref="AY291" si="669">SUM(AY273:AY290)</f>
        <v>239.52683500000001</v>
      </c>
      <c r="AZ291" s="164">
        <f>SUM(AZ273:AZ290)</f>
        <v>270.33238399999999</v>
      </c>
      <c r="BA291" s="164">
        <f>SUM(BA273:BA290)</f>
        <v>263.61685199999999</v>
      </c>
      <c r="BB291" s="164">
        <f>SUM(BB273:BB290)</f>
        <v>205.608282</v>
      </c>
      <c r="BC291" s="164">
        <f t="shared" ref="BC291" si="670">SUM(BC273:BC290)</f>
        <v>175.31880799999999</v>
      </c>
      <c r="BO291" s="269">
        <f t="shared" si="667"/>
        <v>1</v>
      </c>
    </row>
    <row r="292" spans="1:69">
      <c r="A292" s="5"/>
      <c r="M292" s="115"/>
      <c r="Y292" s="115"/>
      <c r="AK292" s="115"/>
      <c r="AW292" s="115"/>
      <c r="BO292" s="268"/>
    </row>
    <row r="293" spans="1:69">
      <c r="A293" s="214" t="s">
        <v>234</v>
      </c>
      <c r="B293" s="129"/>
      <c r="C293" s="129"/>
      <c r="D293" s="129"/>
      <c r="E293" s="129"/>
      <c r="F293" s="129"/>
      <c r="G293" s="129"/>
      <c r="H293" s="129"/>
      <c r="I293" s="129"/>
      <c r="J293" s="129"/>
      <c r="K293" s="129"/>
      <c r="L293" s="129"/>
      <c r="M293" s="263"/>
      <c r="N293" s="129"/>
      <c r="O293" s="129"/>
      <c r="P293" s="129"/>
      <c r="Q293" s="129"/>
      <c r="R293" s="129"/>
      <c r="S293" s="129"/>
      <c r="T293" s="129"/>
      <c r="U293" s="215"/>
      <c r="V293" s="129"/>
      <c r="W293" s="129"/>
      <c r="X293" s="129"/>
      <c r="Y293" s="263"/>
      <c r="Z293" s="129"/>
      <c r="AA293" s="129"/>
      <c r="AB293" s="129"/>
      <c r="AC293" s="129"/>
      <c r="AD293" s="129"/>
      <c r="AE293" s="129"/>
      <c r="AF293" s="215"/>
      <c r="AG293" s="215"/>
      <c r="AH293" s="215"/>
      <c r="AI293" s="215"/>
      <c r="AJ293" s="215"/>
      <c r="AK293" s="264"/>
      <c r="AL293" s="215"/>
      <c r="AM293" s="215"/>
      <c r="AN293" s="215"/>
      <c r="AO293" s="215"/>
      <c r="AP293" s="215"/>
      <c r="AQ293" s="215"/>
      <c r="AR293" s="215"/>
      <c r="AS293" s="215"/>
      <c r="AT293" s="215"/>
      <c r="AU293" s="215"/>
      <c r="AV293" s="215">
        <f t="shared" ref="AV293:AX293" si="671">AV273/AV291</f>
        <v>0.91380771037763175</v>
      </c>
      <c r="AW293" s="264">
        <f t="shared" si="671"/>
        <v>0.92352547236789839</v>
      </c>
      <c r="AX293" s="215">
        <f t="shared" si="671"/>
        <v>0.89692576203976904</v>
      </c>
      <c r="AY293" s="215">
        <f t="shared" ref="AY293:AZ293" si="672">AY273/AY291</f>
        <v>0.91090085584773839</v>
      </c>
      <c r="AZ293" s="215">
        <f t="shared" si="672"/>
        <v>0.92652521793319453</v>
      </c>
      <c r="BA293" s="215">
        <f t="shared" ref="BA293:BB293" si="673">BA273/BA291</f>
        <v>0.92905927728778137</v>
      </c>
      <c r="BB293" s="215">
        <f t="shared" si="673"/>
        <v>0.86508493855320479</v>
      </c>
      <c r="BC293" s="215">
        <f t="shared" ref="BC293" si="674">BC273/BC291</f>
        <v>0.83761600751928456</v>
      </c>
      <c r="BO293" s="270">
        <f>BO273</f>
        <v>0.90393374650179814</v>
      </c>
    </row>
    <row r="294" spans="1:69" ht="16" thickBot="1">
      <c r="A294" s="217"/>
      <c r="B294" s="218"/>
      <c r="C294" s="218"/>
      <c r="D294" s="218"/>
      <c r="E294" s="218"/>
      <c r="F294" s="218"/>
      <c r="G294" s="218"/>
      <c r="H294" s="218"/>
      <c r="I294" s="218"/>
      <c r="J294" s="218"/>
      <c r="K294" s="218"/>
      <c r="L294" s="218"/>
      <c r="M294" s="219"/>
      <c r="N294" s="218"/>
      <c r="O294" s="218"/>
      <c r="P294" s="218"/>
      <c r="Q294" s="218"/>
      <c r="R294" s="218"/>
      <c r="S294" s="218"/>
      <c r="T294" s="218"/>
      <c r="U294" s="218"/>
      <c r="V294" s="218"/>
      <c r="W294" s="218"/>
      <c r="X294" s="218"/>
      <c r="Y294" s="219"/>
      <c r="Z294" s="218"/>
      <c r="AA294" s="218"/>
      <c r="AB294" s="218"/>
      <c r="AC294" s="218"/>
      <c r="AD294" s="218"/>
      <c r="AE294" s="218"/>
      <c r="AF294" s="218"/>
      <c r="AG294" s="218"/>
      <c r="AH294" s="218"/>
      <c r="AI294" s="218"/>
      <c r="AJ294" s="218"/>
      <c r="AK294" s="219"/>
      <c r="AL294" s="218"/>
      <c r="AM294" s="218"/>
      <c r="AN294" s="218"/>
      <c r="AO294" s="218"/>
      <c r="AP294" s="218"/>
      <c r="AQ294" s="218"/>
      <c r="AR294" s="218"/>
      <c r="AS294" s="218"/>
      <c r="AT294" s="218"/>
      <c r="AU294" s="218"/>
      <c r="AV294" s="218"/>
      <c r="AW294" s="219"/>
      <c r="AX294" s="218"/>
      <c r="AY294" s="218"/>
      <c r="AZ294" s="218"/>
      <c r="BA294" s="218"/>
      <c r="BB294" s="218"/>
      <c r="BC294" s="218"/>
      <c r="BO294" s="355"/>
    </row>
    <row r="296" spans="1:69">
      <c r="A296" s="98" t="s">
        <v>47</v>
      </c>
    </row>
    <row r="297" spans="1:69" ht="16" thickBot="1"/>
    <row r="298" spans="1:69" ht="32">
      <c r="A298" s="100" t="s">
        <v>286</v>
      </c>
      <c r="B298" s="101">
        <v>39448</v>
      </c>
      <c r="C298" s="101">
        <v>39479</v>
      </c>
      <c r="D298" s="101">
        <v>39508</v>
      </c>
      <c r="E298" s="101">
        <v>39539</v>
      </c>
      <c r="F298" s="101">
        <v>39569</v>
      </c>
      <c r="G298" s="101">
        <v>39600</v>
      </c>
      <c r="H298" s="101">
        <v>39630</v>
      </c>
      <c r="I298" s="101">
        <v>39661</v>
      </c>
      <c r="J298" s="101">
        <v>39692</v>
      </c>
      <c r="K298" s="101">
        <v>39722</v>
      </c>
      <c r="L298" s="101">
        <v>39753</v>
      </c>
      <c r="M298" s="102">
        <v>39783</v>
      </c>
      <c r="N298" s="101">
        <v>39814</v>
      </c>
      <c r="O298" s="101">
        <v>39845</v>
      </c>
      <c r="P298" s="101">
        <v>39873</v>
      </c>
      <c r="Q298" s="101">
        <v>39904</v>
      </c>
      <c r="R298" s="101">
        <v>39934</v>
      </c>
      <c r="S298" s="101">
        <v>39965</v>
      </c>
      <c r="T298" s="101">
        <v>39995</v>
      </c>
      <c r="U298" s="101">
        <v>40026</v>
      </c>
      <c r="V298" s="101">
        <v>40057</v>
      </c>
      <c r="W298" s="101">
        <v>40087</v>
      </c>
      <c r="X298" s="101">
        <v>40118</v>
      </c>
      <c r="Y298" s="102">
        <v>40148</v>
      </c>
      <c r="Z298" s="101">
        <v>40179</v>
      </c>
      <c r="AA298" s="101">
        <v>40210</v>
      </c>
      <c r="AB298" s="101">
        <v>40238</v>
      </c>
      <c r="AC298" s="101">
        <v>40269</v>
      </c>
      <c r="AD298" s="101">
        <v>40299</v>
      </c>
      <c r="AE298" s="101">
        <v>40330</v>
      </c>
      <c r="AF298" s="101">
        <v>40360</v>
      </c>
      <c r="AG298" s="101">
        <v>40391</v>
      </c>
      <c r="AH298" s="101">
        <v>40422</v>
      </c>
      <c r="AI298" s="101">
        <v>40452</v>
      </c>
      <c r="AJ298" s="101">
        <v>40483</v>
      </c>
      <c r="AK298" s="102">
        <v>40513</v>
      </c>
      <c r="AL298" s="101">
        <v>40544</v>
      </c>
      <c r="AM298" s="101">
        <v>40575</v>
      </c>
      <c r="AN298" s="101">
        <v>40603</v>
      </c>
      <c r="AO298" s="101">
        <v>40634</v>
      </c>
      <c r="AP298" s="101">
        <v>40664</v>
      </c>
      <c r="AQ298" s="101">
        <v>40695</v>
      </c>
      <c r="AR298" s="101">
        <v>40725</v>
      </c>
      <c r="AS298" s="101">
        <v>40756</v>
      </c>
      <c r="AT298" s="101">
        <v>40787</v>
      </c>
      <c r="AU298" s="101">
        <v>40817</v>
      </c>
      <c r="AV298" s="101">
        <v>40848</v>
      </c>
      <c r="AW298" s="102">
        <v>40878</v>
      </c>
      <c r="AX298" s="101">
        <v>40909</v>
      </c>
      <c r="AY298" s="101">
        <v>40940</v>
      </c>
      <c r="AZ298" s="101">
        <v>40969</v>
      </c>
      <c r="BA298" s="101">
        <v>41000</v>
      </c>
      <c r="BB298" s="101">
        <v>41030</v>
      </c>
      <c r="BC298" s="101">
        <v>41061</v>
      </c>
      <c r="BO298" s="362" t="s">
        <v>371</v>
      </c>
      <c r="BQ298" s="362" t="s">
        <v>372</v>
      </c>
    </row>
    <row r="299" spans="1:69">
      <c r="A299" s="75"/>
      <c r="M299" s="115"/>
      <c r="Y299" s="115"/>
      <c r="AK299" s="115"/>
      <c r="AW299" s="115"/>
      <c r="BO299" s="267"/>
      <c r="BQ299" s="267"/>
    </row>
    <row r="300" spans="1:69">
      <c r="A300" s="5" t="s">
        <v>202</v>
      </c>
      <c r="B300" s="126"/>
      <c r="C300" s="126"/>
      <c r="D300" s="126"/>
      <c r="E300" s="126"/>
      <c r="F300" s="126"/>
      <c r="G300" s="126"/>
      <c r="H300" s="126"/>
      <c r="I300" s="126"/>
      <c r="J300" s="126"/>
      <c r="K300" s="126"/>
      <c r="L300" s="126"/>
      <c r="M300" s="127"/>
      <c r="N300" s="126"/>
      <c r="O300" s="126"/>
      <c r="P300" s="126"/>
      <c r="Q300" s="126"/>
      <c r="R300" s="126"/>
      <c r="S300" s="126"/>
      <c r="T300" s="126"/>
      <c r="U300" s="126"/>
      <c r="V300" s="126"/>
      <c r="W300" s="126"/>
      <c r="X300" s="126"/>
      <c r="Y300" s="127"/>
      <c r="Z300" s="126"/>
      <c r="AA300" s="126"/>
      <c r="AB300" s="126"/>
      <c r="AC300" s="126"/>
      <c r="AD300" s="126"/>
      <c r="AE300" s="126"/>
      <c r="AF300" s="126"/>
      <c r="AG300" s="126"/>
      <c r="AH300" s="126"/>
      <c r="AI300" s="126"/>
      <c r="AJ300" s="126"/>
      <c r="AK300" s="127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>
        <f>AV327-AV273</f>
        <v>84.471114</v>
      </c>
      <c r="AW300" s="127">
        <f>AW327-AW273</f>
        <v>79.836258999999984</v>
      </c>
      <c r="AX300" s="126">
        <f>AX327-AX273</f>
        <v>84.068321999999995</v>
      </c>
      <c r="AY300" s="126">
        <f>AY327-AY273</f>
        <v>82.847275999999965</v>
      </c>
      <c r="AZ300" s="126">
        <f>AZ327-AZ273</f>
        <v>91.036759999999987</v>
      </c>
      <c r="BA300" s="126">
        <v>90.191305</v>
      </c>
      <c r="BB300" s="126">
        <v>66.884240000000005</v>
      </c>
      <c r="BC300" s="126">
        <v>56.383353999999997</v>
      </c>
      <c r="BO300" s="268">
        <f>SUM(AR300:BC300)/SUM(AR$318:BC$318)</f>
        <v>0.80352179401514989</v>
      </c>
      <c r="BQ300" s="268">
        <f>SUM(AR300:BC300)/(SUM(AR273:BC273)+SUM(AR300:BC300))</f>
        <v>0.27313469046994759</v>
      </c>
    </row>
    <row r="301" spans="1:69">
      <c r="A301" s="5" t="s">
        <v>259</v>
      </c>
      <c r="B301" s="126"/>
      <c r="C301" s="126"/>
      <c r="D301" s="126"/>
      <c r="E301" s="126"/>
      <c r="F301" s="126"/>
      <c r="G301" s="126"/>
      <c r="H301" s="126"/>
      <c r="I301" s="126"/>
      <c r="J301" s="126"/>
      <c r="K301" s="126"/>
      <c r="L301" s="126"/>
      <c r="M301" s="127"/>
      <c r="N301" s="126"/>
      <c r="O301" s="126"/>
      <c r="P301" s="126"/>
      <c r="Q301" s="126"/>
      <c r="R301" s="126"/>
      <c r="S301" s="126"/>
      <c r="T301" s="126"/>
      <c r="U301" s="126"/>
      <c r="V301" s="126"/>
      <c r="W301" s="126"/>
      <c r="X301" s="126"/>
      <c r="Y301" s="127"/>
      <c r="Z301" s="126"/>
      <c r="AA301" s="126"/>
      <c r="AB301" s="126"/>
      <c r="AC301" s="126"/>
      <c r="AD301" s="126"/>
      <c r="AE301" s="126"/>
      <c r="AF301" s="126"/>
      <c r="AG301" s="126"/>
      <c r="AH301" s="126"/>
      <c r="AI301" s="126"/>
      <c r="AJ301" s="126"/>
      <c r="AK301" s="127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>
        <f t="shared" ref="AV301" si="675">AV328-AV274</f>
        <v>6.1399870000000014</v>
      </c>
      <c r="AW301" s="127">
        <f t="shared" ref="AW301:AW317" si="676">AW328-AW274</f>
        <v>6.9637069999999994</v>
      </c>
      <c r="AX301" s="126">
        <f t="shared" ref="AX301:AY301" si="677">AX328-AX274</f>
        <v>8.6732970000000016</v>
      </c>
      <c r="AY301" s="126">
        <f t="shared" si="677"/>
        <v>7.1101989999999997</v>
      </c>
      <c r="AZ301" s="126">
        <f t="shared" ref="AZ301" si="678">AZ328-AZ274</f>
        <v>6.4136429999999987</v>
      </c>
      <c r="BA301" s="126">
        <v>5.6159330000000001</v>
      </c>
      <c r="BB301" s="126">
        <v>6.7723079999999998</v>
      </c>
      <c r="BC301" s="126">
        <v>3.569102</v>
      </c>
      <c r="BO301" s="268">
        <f t="shared" ref="BO301:BO318" si="679">SUM(AR301:BC301)/SUM(AR$318:BC$318)</f>
        <v>6.4788193382761664E-2</v>
      </c>
      <c r="BQ301" s="268">
        <f t="shared" ref="BQ301:BQ318" si="680">SUM(AR301:BC301)/(SUM(AR274:BC274)+SUM(AR301:BC301))</f>
        <v>0.37787907138641802</v>
      </c>
    </row>
    <row r="302" spans="1:69">
      <c r="A302" s="5" t="s">
        <v>258</v>
      </c>
      <c r="B302" s="126"/>
      <c r="C302" s="126"/>
      <c r="D302" s="126"/>
      <c r="E302" s="126"/>
      <c r="F302" s="126"/>
      <c r="G302" s="126"/>
      <c r="H302" s="126"/>
      <c r="I302" s="126"/>
      <c r="J302" s="126"/>
      <c r="K302" s="126"/>
      <c r="L302" s="126"/>
      <c r="M302" s="127"/>
      <c r="N302" s="126"/>
      <c r="O302" s="126"/>
      <c r="P302" s="126"/>
      <c r="Q302" s="126"/>
      <c r="R302" s="126"/>
      <c r="S302" s="126"/>
      <c r="T302" s="126"/>
      <c r="U302" s="126"/>
      <c r="V302" s="126"/>
      <c r="W302" s="126"/>
      <c r="X302" s="126"/>
      <c r="Y302" s="127"/>
      <c r="Z302" s="126"/>
      <c r="AA302" s="126"/>
      <c r="AB302" s="126"/>
      <c r="AC302" s="126"/>
      <c r="AD302" s="126"/>
      <c r="AE302" s="126"/>
      <c r="AF302" s="126"/>
      <c r="AG302" s="126"/>
      <c r="AH302" s="126"/>
      <c r="AI302" s="126"/>
      <c r="AJ302" s="126"/>
      <c r="AK302" s="127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>
        <f t="shared" ref="AV302" si="681">AV329-AV275</f>
        <v>5.5730729999999999</v>
      </c>
      <c r="AW302" s="127">
        <f t="shared" si="676"/>
        <v>0.40818200000000004</v>
      </c>
      <c r="AX302" s="126">
        <f t="shared" ref="AX302:AY302" si="682">AX329-AX275</f>
        <v>7.0870129999999989</v>
      </c>
      <c r="AY302" s="126">
        <f t="shared" si="682"/>
        <v>7.3371749999999993</v>
      </c>
      <c r="AZ302" s="126">
        <f t="shared" ref="AZ302" si="683">AZ329-AZ275</f>
        <v>4.253819</v>
      </c>
      <c r="BA302" s="126">
        <v>6.4392630000000004</v>
      </c>
      <c r="BB302" s="126">
        <v>16.224215999999998</v>
      </c>
      <c r="BC302" s="126">
        <v>19.165420000000001</v>
      </c>
      <c r="BO302" s="268">
        <f t="shared" si="679"/>
        <v>8.4038258258198481E-2</v>
      </c>
      <c r="BQ302" s="268">
        <f t="shared" si="680"/>
        <v>0.56253295263912617</v>
      </c>
    </row>
    <row r="303" spans="1:69">
      <c r="A303" s="5" t="s">
        <v>227</v>
      </c>
      <c r="B303" s="126"/>
      <c r="C303" s="126"/>
      <c r="D303" s="126"/>
      <c r="E303" s="126"/>
      <c r="F303" s="126"/>
      <c r="G303" s="126"/>
      <c r="H303" s="126"/>
      <c r="I303" s="126"/>
      <c r="J303" s="126"/>
      <c r="K303" s="126"/>
      <c r="L303" s="126"/>
      <c r="M303" s="127"/>
      <c r="N303" s="126"/>
      <c r="O303" s="126"/>
      <c r="P303" s="126"/>
      <c r="Q303" s="126"/>
      <c r="R303" s="126"/>
      <c r="S303" s="126"/>
      <c r="T303" s="126"/>
      <c r="U303" s="126"/>
      <c r="V303" s="126"/>
      <c r="W303" s="126"/>
      <c r="X303" s="126"/>
      <c r="Y303" s="127"/>
      <c r="Z303" s="126"/>
      <c r="AA303" s="126"/>
      <c r="AB303" s="126"/>
      <c r="AC303" s="126"/>
      <c r="AD303" s="126"/>
      <c r="AE303" s="126"/>
      <c r="AF303" s="126"/>
      <c r="AG303" s="126"/>
      <c r="AH303" s="126"/>
      <c r="AI303" s="126"/>
      <c r="AJ303" s="126"/>
      <c r="AK303" s="127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>
        <f t="shared" ref="AV303" si="684">AV330-AV276</f>
        <v>3.1969069999999999</v>
      </c>
      <c r="AW303" s="127">
        <f t="shared" si="676"/>
        <v>2.9959839999999995</v>
      </c>
      <c r="AX303" s="126">
        <f t="shared" ref="AX303:AY303" si="685">AX330-AX276</f>
        <v>2.7461549999999999</v>
      </c>
      <c r="AY303" s="126">
        <f t="shared" si="685"/>
        <v>2.2008679999999998</v>
      </c>
      <c r="AZ303" s="126">
        <f t="shared" ref="AZ303" si="686">AZ330-AZ276</f>
        <v>2.1123700000000003</v>
      </c>
      <c r="BA303" s="126">
        <v>1.6470959999999999</v>
      </c>
      <c r="BB303" s="126">
        <v>1.06934</v>
      </c>
      <c r="BC303" s="126">
        <v>3.3913470000000001</v>
      </c>
      <c r="BO303" s="268">
        <f t="shared" si="679"/>
        <v>2.4470316007717919E-2</v>
      </c>
      <c r="BQ303" s="268">
        <f t="shared" si="680"/>
        <v>0.5171339148630103</v>
      </c>
    </row>
    <row r="304" spans="1:69">
      <c r="A304" s="5" t="s">
        <v>260</v>
      </c>
      <c r="B304" s="126"/>
      <c r="C304" s="126"/>
      <c r="D304" s="126"/>
      <c r="E304" s="126"/>
      <c r="F304" s="126"/>
      <c r="G304" s="126"/>
      <c r="H304" s="126"/>
      <c r="I304" s="126"/>
      <c r="J304" s="126"/>
      <c r="K304" s="126"/>
      <c r="L304" s="126"/>
      <c r="M304" s="127"/>
      <c r="N304" s="126"/>
      <c r="O304" s="126"/>
      <c r="P304" s="126"/>
      <c r="Q304" s="126"/>
      <c r="R304" s="126"/>
      <c r="S304" s="126"/>
      <c r="T304" s="126"/>
      <c r="U304" s="126"/>
      <c r="V304" s="126"/>
      <c r="W304" s="126"/>
      <c r="X304" s="126"/>
      <c r="Y304" s="127"/>
      <c r="Z304" s="126"/>
      <c r="AA304" s="126"/>
      <c r="AB304" s="126"/>
      <c r="AC304" s="126"/>
      <c r="AD304" s="126"/>
      <c r="AE304" s="126"/>
      <c r="AF304" s="126"/>
      <c r="AG304" s="126"/>
      <c r="AH304" s="126"/>
      <c r="AI304" s="126"/>
      <c r="AJ304" s="126"/>
      <c r="AK304" s="127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>
        <f t="shared" ref="AV304" si="687">AV331-AV277</f>
        <v>0.38928099999999999</v>
      </c>
      <c r="AW304" s="127">
        <f t="shared" si="676"/>
        <v>0</v>
      </c>
      <c r="AX304" s="126">
        <f t="shared" ref="AX304:AY304" si="688">AX331-AX277</f>
        <v>0</v>
      </c>
      <c r="AY304" s="126">
        <f t="shared" si="688"/>
        <v>0</v>
      </c>
      <c r="AZ304" s="126">
        <f t="shared" ref="AZ304" si="689">AZ331-AZ277</f>
        <v>0.294184</v>
      </c>
      <c r="BA304" s="126">
        <v>0.44495600000000002</v>
      </c>
      <c r="BB304" s="126">
        <v>0.70759899999999998</v>
      </c>
      <c r="BC304" s="126">
        <v>0.66372600000000004</v>
      </c>
      <c r="BO304" s="268">
        <f t="shared" si="679"/>
        <v>3.1595745282817895E-3</v>
      </c>
      <c r="BQ304" s="268">
        <f t="shared" si="680"/>
        <v>0.32726491972357702</v>
      </c>
    </row>
    <row r="305" spans="1:69">
      <c r="A305" s="5" t="s">
        <v>261</v>
      </c>
      <c r="B305" s="126"/>
      <c r="C305" s="126"/>
      <c r="D305" s="126"/>
      <c r="E305" s="126"/>
      <c r="F305" s="126"/>
      <c r="G305" s="126"/>
      <c r="H305" s="126"/>
      <c r="I305" s="126"/>
      <c r="J305" s="126"/>
      <c r="K305" s="126"/>
      <c r="L305" s="126"/>
      <c r="M305" s="127"/>
      <c r="N305" s="126"/>
      <c r="O305" s="126"/>
      <c r="P305" s="126"/>
      <c r="Q305" s="126"/>
      <c r="R305" s="126"/>
      <c r="S305" s="126"/>
      <c r="T305" s="126"/>
      <c r="U305" s="126"/>
      <c r="V305" s="126"/>
      <c r="W305" s="126"/>
      <c r="X305" s="126"/>
      <c r="Y305" s="127"/>
      <c r="Z305" s="126"/>
      <c r="AA305" s="126"/>
      <c r="AB305" s="126"/>
      <c r="AC305" s="126"/>
      <c r="AD305" s="126"/>
      <c r="AE305" s="126"/>
      <c r="AF305" s="126"/>
      <c r="AG305" s="126"/>
      <c r="AH305" s="126"/>
      <c r="AI305" s="126"/>
      <c r="AJ305" s="126"/>
      <c r="AK305" s="127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>
        <f t="shared" ref="AV305" si="690">AV332-AV278</f>
        <v>0.14877799999999999</v>
      </c>
      <c r="AW305" s="127">
        <f t="shared" si="676"/>
        <v>0</v>
      </c>
      <c r="AX305" s="126">
        <f t="shared" ref="AX305:AY305" si="691">AX332-AX278</f>
        <v>0</v>
      </c>
      <c r="AY305" s="126">
        <f t="shared" si="691"/>
        <v>7.8399999999999997E-3</v>
      </c>
      <c r="AZ305" s="126">
        <f t="shared" ref="AZ305" si="692">AZ332-AZ278</f>
        <v>1.4044000000000004E-2</v>
      </c>
      <c r="BA305" s="126">
        <v>0.38110500000000003</v>
      </c>
      <c r="BB305" s="126">
        <v>0.53454299999999999</v>
      </c>
      <c r="BC305" s="126">
        <v>0.81042099999999995</v>
      </c>
      <c r="BO305" s="268">
        <f t="shared" si="679"/>
        <v>2.3973887565386428E-3</v>
      </c>
      <c r="BQ305" s="268">
        <f t="shared" si="680"/>
        <v>0.33462078577351229</v>
      </c>
    </row>
    <row r="306" spans="1:69">
      <c r="A306" s="5" t="s">
        <v>290</v>
      </c>
      <c r="B306" s="126"/>
      <c r="C306" s="126"/>
      <c r="D306" s="126"/>
      <c r="E306" s="126"/>
      <c r="F306" s="126"/>
      <c r="G306" s="126"/>
      <c r="H306" s="126"/>
      <c r="I306" s="126"/>
      <c r="J306" s="126"/>
      <c r="K306" s="126"/>
      <c r="L306" s="126"/>
      <c r="M306" s="127"/>
      <c r="N306" s="126"/>
      <c r="O306" s="126"/>
      <c r="P306" s="126"/>
      <c r="Q306" s="126"/>
      <c r="R306" s="126"/>
      <c r="S306" s="126"/>
      <c r="T306" s="126"/>
      <c r="U306" s="126"/>
      <c r="V306" s="126"/>
      <c r="W306" s="126"/>
      <c r="X306" s="126"/>
      <c r="Y306" s="127"/>
      <c r="Z306" s="126"/>
      <c r="AA306" s="126"/>
      <c r="AB306" s="126"/>
      <c r="AC306" s="126"/>
      <c r="AD306" s="126"/>
      <c r="AE306" s="126"/>
      <c r="AF306" s="126"/>
      <c r="AG306" s="126"/>
      <c r="AH306" s="126"/>
      <c r="AI306" s="126"/>
      <c r="AJ306" s="126"/>
      <c r="AK306" s="127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>
        <f t="shared" ref="AV306" si="693">AV333-AV279</f>
        <v>0.98121199999999997</v>
      </c>
      <c r="AW306" s="127">
        <f t="shared" si="676"/>
        <v>1.5375359999999998</v>
      </c>
      <c r="AX306" s="126">
        <f t="shared" ref="AX306:AY306" si="694">AX333-AX279</f>
        <v>1.6523869999999998</v>
      </c>
      <c r="AY306" s="126">
        <f t="shared" si="694"/>
        <v>1.0871919999999999</v>
      </c>
      <c r="AZ306" s="126">
        <f t="shared" ref="AZ306" si="695">AZ333-AZ279</f>
        <v>1.2346820000000001</v>
      </c>
      <c r="BA306" s="126">
        <v>0.36687999999999998</v>
      </c>
      <c r="BB306" s="126">
        <v>0.416939</v>
      </c>
      <c r="BC306" s="126">
        <v>7.3375999999999997E-2</v>
      </c>
      <c r="BO306" s="268">
        <f t="shared" si="679"/>
        <v>9.2903508340747096E-3</v>
      </c>
      <c r="BQ306" s="268">
        <f t="shared" si="680"/>
        <v>0.48634538854146481</v>
      </c>
    </row>
    <row r="307" spans="1:69">
      <c r="A307" s="5" t="s">
        <v>226</v>
      </c>
      <c r="B307" s="126"/>
      <c r="C307" s="126"/>
      <c r="D307" s="126"/>
      <c r="E307" s="126"/>
      <c r="F307" s="126"/>
      <c r="G307" s="126"/>
      <c r="H307" s="126"/>
      <c r="I307" s="126"/>
      <c r="J307" s="126"/>
      <c r="K307" s="126"/>
      <c r="L307" s="126"/>
      <c r="M307" s="127"/>
      <c r="N307" s="126"/>
      <c r="O307" s="126"/>
      <c r="P307" s="126"/>
      <c r="Q307" s="126"/>
      <c r="R307" s="126"/>
      <c r="S307" s="126"/>
      <c r="T307" s="126"/>
      <c r="U307" s="126"/>
      <c r="V307" s="126"/>
      <c r="W307" s="126"/>
      <c r="X307" s="126"/>
      <c r="Y307" s="127"/>
      <c r="Z307" s="126"/>
      <c r="AA307" s="126"/>
      <c r="AB307" s="126"/>
      <c r="AC307" s="126"/>
      <c r="AD307" s="126"/>
      <c r="AE307" s="126"/>
      <c r="AF307" s="126"/>
      <c r="AG307" s="126"/>
      <c r="AH307" s="126"/>
      <c r="AI307" s="126"/>
      <c r="AJ307" s="126"/>
      <c r="AK307" s="127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>
        <f t="shared" ref="AV307" si="696">AV334-AV280</f>
        <v>0</v>
      </c>
      <c r="AW307" s="127">
        <f t="shared" si="676"/>
        <v>0</v>
      </c>
      <c r="AX307" s="126">
        <f t="shared" ref="AX307:AY307" si="697">AX334-AX280</f>
        <v>0</v>
      </c>
      <c r="AY307" s="126">
        <f t="shared" si="697"/>
        <v>0</v>
      </c>
      <c r="AZ307" s="126">
        <f t="shared" ref="AZ307" si="698">AZ334-AZ280</f>
        <v>-6.5620000000000001E-3</v>
      </c>
      <c r="BA307" s="126">
        <v>0.360122</v>
      </c>
      <c r="BB307" s="126">
        <v>0</v>
      </c>
      <c r="BC307" s="126">
        <v>0.84115200000000001</v>
      </c>
      <c r="BO307" s="268">
        <f t="shared" si="679"/>
        <v>1.5100660642451645E-3</v>
      </c>
      <c r="BQ307" s="268">
        <f t="shared" si="680"/>
        <v>0.4019420330519734</v>
      </c>
    </row>
    <row r="308" spans="1:69">
      <c r="A308" s="5" t="s">
        <v>230</v>
      </c>
      <c r="B308" s="126"/>
      <c r="C308" s="126"/>
      <c r="D308" s="126"/>
      <c r="E308" s="126"/>
      <c r="F308" s="126"/>
      <c r="G308" s="126"/>
      <c r="H308" s="126"/>
      <c r="I308" s="126"/>
      <c r="J308" s="126"/>
      <c r="K308" s="126"/>
      <c r="L308" s="126"/>
      <c r="M308" s="127"/>
      <c r="N308" s="126"/>
      <c r="O308" s="126"/>
      <c r="P308" s="126"/>
      <c r="Q308" s="126"/>
      <c r="R308" s="126"/>
      <c r="S308" s="126"/>
      <c r="T308" s="126"/>
      <c r="U308" s="126"/>
      <c r="V308" s="126"/>
      <c r="W308" s="126"/>
      <c r="X308" s="126"/>
      <c r="Y308" s="127"/>
      <c r="Z308" s="126"/>
      <c r="AA308" s="126"/>
      <c r="AB308" s="126"/>
      <c r="AC308" s="126"/>
      <c r="AD308" s="126"/>
      <c r="AE308" s="126"/>
      <c r="AF308" s="126"/>
      <c r="AG308" s="126"/>
      <c r="AH308" s="126"/>
      <c r="AI308" s="126"/>
      <c r="AJ308" s="126"/>
      <c r="AK308" s="127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>
        <f t="shared" ref="AV308" si="699">AV335-AV281</f>
        <v>0</v>
      </c>
      <c r="AW308" s="127">
        <f t="shared" si="676"/>
        <v>0</v>
      </c>
      <c r="AX308" s="126">
        <f t="shared" ref="AX308:AY308" si="700">AX335-AX281</f>
        <v>0</v>
      </c>
      <c r="AY308" s="126">
        <f t="shared" si="700"/>
        <v>4.3959999999999989E-3</v>
      </c>
      <c r="AZ308" s="126">
        <f t="shared" ref="AZ308" si="701">AZ335-AZ281</f>
        <v>0.14460699999999999</v>
      </c>
      <c r="BA308" s="126">
        <v>0.12295300000000001</v>
      </c>
      <c r="BB308" s="126">
        <v>0.59992199999999996</v>
      </c>
      <c r="BC308" s="126">
        <v>0.13000800000000001</v>
      </c>
      <c r="BO308" s="268">
        <f t="shared" si="679"/>
        <v>1.2663420546896078E-3</v>
      </c>
      <c r="BQ308" s="268">
        <f t="shared" si="680"/>
        <v>0.30376575964179453</v>
      </c>
    </row>
    <row r="309" spans="1:69">
      <c r="A309" s="5" t="s">
        <v>229</v>
      </c>
      <c r="B309" s="126"/>
      <c r="C309" s="126"/>
      <c r="D309" s="126"/>
      <c r="E309" s="126"/>
      <c r="F309" s="126"/>
      <c r="G309" s="126"/>
      <c r="H309" s="126"/>
      <c r="I309" s="126"/>
      <c r="J309" s="126"/>
      <c r="K309" s="126"/>
      <c r="L309" s="126"/>
      <c r="M309" s="127"/>
      <c r="N309" s="126"/>
      <c r="O309" s="126"/>
      <c r="P309" s="126"/>
      <c r="Q309" s="126"/>
      <c r="R309" s="126"/>
      <c r="S309" s="126"/>
      <c r="T309" s="126"/>
      <c r="U309" s="126"/>
      <c r="V309" s="126"/>
      <c r="W309" s="126"/>
      <c r="X309" s="126"/>
      <c r="Y309" s="127"/>
      <c r="Z309" s="126"/>
      <c r="AA309" s="126"/>
      <c r="AB309" s="126"/>
      <c r="AC309" s="126"/>
      <c r="AD309" s="126"/>
      <c r="AE309" s="126"/>
      <c r="AF309" s="126"/>
      <c r="AG309" s="126"/>
      <c r="AH309" s="126"/>
      <c r="AI309" s="126"/>
      <c r="AJ309" s="126"/>
      <c r="AK309" s="127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>
        <f t="shared" ref="AV309" si="702">AV336-AV282</f>
        <v>0.10600570000000001</v>
      </c>
      <c r="AW309" s="127">
        <f t="shared" si="676"/>
        <v>0.21520600000000001</v>
      </c>
      <c r="AX309" s="126">
        <f t="shared" ref="AX309:AY309" si="703">AX336-AX282</f>
        <v>0.167657</v>
      </c>
      <c r="AY309" s="126">
        <f t="shared" si="703"/>
        <v>0.29766200000000004</v>
      </c>
      <c r="AZ309" s="126">
        <f t="shared" ref="AZ309" si="704">AZ336-AZ282</f>
        <v>0.273563</v>
      </c>
      <c r="BA309" s="126">
        <v>0.128665</v>
      </c>
      <c r="BB309" s="126">
        <v>0.14450299999999999</v>
      </c>
      <c r="BC309" s="126">
        <v>0.102363</v>
      </c>
      <c r="BO309" s="268">
        <f t="shared" si="679"/>
        <v>1.8145696539937199E-3</v>
      </c>
      <c r="BQ309" s="268">
        <f t="shared" si="680"/>
        <v>0.36410239866462241</v>
      </c>
    </row>
    <row r="310" spans="1:69">
      <c r="A310" s="5" t="s">
        <v>291</v>
      </c>
      <c r="B310" s="126"/>
      <c r="C310" s="126"/>
      <c r="D310" s="126"/>
      <c r="E310" s="126"/>
      <c r="F310" s="126"/>
      <c r="G310" s="126"/>
      <c r="H310" s="126"/>
      <c r="I310" s="126"/>
      <c r="J310" s="126"/>
      <c r="K310" s="126"/>
      <c r="L310" s="126"/>
      <c r="M310" s="127"/>
      <c r="N310" s="126"/>
      <c r="O310" s="126"/>
      <c r="P310" s="126"/>
      <c r="Q310" s="126"/>
      <c r="R310" s="126"/>
      <c r="S310" s="126"/>
      <c r="T310" s="126"/>
      <c r="U310" s="126"/>
      <c r="V310" s="126"/>
      <c r="W310" s="126"/>
      <c r="X310" s="126"/>
      <c r="Y310" s="127"/>
      <c r="Z310" s="126"/>
      <c r="AA310" s="126"/>
      <c r="AB310" s="126"/>
      <c r="AC310" s="126"/>
      <c r="AD310" s="126"/>
      <c r="AE310" s="126"/>
      <c r="AF310" s="126"/>
      <c r="AG310" s="126"/>
      <c r="AH310" s="126"/>
      <c r="AI310" s="126"/>
      <c r="AJ310" s="126"/>
      <c r="AK310" s="127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>
        <f t="shared" ref="AV310" si="705">AV337-AV283</f>
        <v>0.19905300000000001</v>
      </c>
      <c r="AW310" s="127">
        <f t="shared" si="676"/>
        <v>0.26517199999999996</v>
      </c>
      <c r="AX310" s="126">
        <f t="shared" ref="AX310:AY310" si="706">AX337-AX283</f>
        <v>0.19396500000000003</v>
      </c>
      <c r="AY310" s="126">
        <f t="shared" si="706"/>
        <v>5.939599999999999E-2</v>
      </c>
      <c r="AZ310" s="126">
        <f t="shared" ref="AZ310" si="707">AZ337-AZ283</f>
        <v>0</v>
      </c>
      <c r="BA310" s="126">
        <v>0</v>
      </c>
      <c r="BB310" s="126">
        <v>0</v>
      </c>
      <c r="BC310" s="126">
        <v>0</v>
      </c>
      <c r="BO310" s="268">
        <f t="shared" si="679"/>
        <v>9.0699873005161975E-4</v>
      </c>
      <c r="BQ310" s="268">
        <f t="shared" si="680"/>
        <v>0.51416894103923483</v>
      </c>
    </row>
    <row r="311" spans="1:69">
      <c r="A311" s="5" t="s">
        <v>232</v>
      </c>
      <c r="B311" s="126"/>
      <c r="C311" s="126"/>
      <c r="D311" s="126"/>
      <c r="E311" s="126"/>
      <c r="F311" s="126"/>
      <c r="G311" s="126"/>
      <c r="H311" s="126"/>
      <c r="I311" s="126"/>
      <c r="J311" s="126"/>
      <c r="K311" s="126"/>
      <c r="L311" s="126"/>
      <c r="M311" s="127"/>
      <c r="N311" s="126"/>
      <c r="O311" s="126"/>
      <c r="P311" s="126"/>
      <c r="Q311" s="126"/>
      <c r="R311" s="126"/>
      <c r="S311" s="126"/>
      <c r="T311" s="126"/>
      <c r="U311" s="126"/>
      <c r="V311" s="126"/>
      <c r="W311" s="126"/>
      <c r="X311" s="126"/>
      <c r="Y311" s="127"/>
      <c r="Z311" s="126"/>
      <c r="AA311" s="126"/>
      <c r="AB311" s="126"/>
      <c r="AC311" s="126"/>
      <c r="AD311" s="126"/>
      <c r="AE311" s="126"/>
      <c r="AF311" s="126"/>
      <c r="AG311" s="126"/>
      <c r="AH311" s="126"/>
      <c r="AI311" s="126"/>
      <c r="AJ311" s="126"/>
      <c r="AK311" s="127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>
        <f t="shared" ref="AV311" si="708">AV338-AV284</f>
        <v>3.7557E-2</v>
      </c>
      <c r="AW311" s="127">
        <f t="shared" si="676"/>
        <v>1.8964000000000002E-2</v>
      </c>
      <c r="AX311" s="126">
        <f t="shared" ref="AX311:AY311" si="709">AX338-AX284</f>
        <v>0.33072900000000005</v>
      </c>
      <c r="AY311" s="126">
        <f t="shared" si="709"/>
        <v>1.7499000000000001E-2</v>
      </c>
      <c r="AZ311" s="126">
        <f t="shared" ref="AZ311" si="710">AZ338-AZ284</f>
        <v>1.7661E-2</v>
      </c>
      <c r="BA311" s="126">
        <v>1.1698999999999999E-2</v>
      </c>
      <c r="BB311" s="126">
        <v>6.94E-3</v>
      </c>
      <c r="BC311" s="126">
        <v>2.1402999999999998E-2</v>
      </c>
      <c r="BO311" s="268">
        <f t="shared" si="679"/>
        <v>5.8452001113431932E-4</v>
      </c>
      <c r="BQ311" s="268">
        <f t="shared" si="680"/>
        <v>0.4533807577979781</v>
      </c>
    </row>
    <row r="312" spans="1:69">
      <c r="A312" s="5" t="s">
        <v>292</v>
      </c>
      <c r="B312" s="126"/>
      <c r="C312" s="126"/>
      <c r="D312" s="126"/>
      <c r="E312" s="126"/>
      <c r="F312" s="126"/>
      <c r="G312" s="126"/>
      <c r="H312" s="126"/>
      <c r="I312" s="126"/>
      <c r="J312" s="126"/>
      <c r="K312" s="126"/>
      <c r="L312" s="126"/>
      <c r="M312" s="127"/>
      <c r="N312" s="126"/>
      <c r="O312" s="126"/>
      <c r="P312" s="126"/>
      <c r="Q312" s="126"/>
      <c r="R312" s="126"/>
      <c r="S312" s="126"/>
      <c r="T312" s="126"/>
      <c r="U312" s="126"/>
      <c r="V312" s="126"/>
      <c r="W312" s="126"/>
      <c r="X312" s="126"/>
      <c r="Y312" s="127"/>
      <c r="Z312" s="126"/>
      <c r="AA312" s="126"/>
      <c r="AB312" s="126"/>
      <c r="AC312" s="126"/>
      <c r="AD312" s="126"/>
      <c r="AE312" s="126"/>
      <c r="AF312" s="126"/>
      <c r="AG312" s="126"/>
      <c r="AH312" s="126"/>
      <c r="AI312" s="126"/>
      <c r="AJ312" s="126"/>
      <c r="AK312" s="127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>
        <f t="shared" ref="AV312" si="711">AV339-AV285</f>
        <v>7.1329999999999996E-3</v>
      </c>
      <c r="AW312" s="127">
        <f t="shared" si="676"/>
        <v>7.1773000000000003E-2</v>
      </c>
      <c r="AX312" s="126">
        <f t="shared" ref="AX312:AY312" si="712">AX339-AX285</f>
        <v>0.11083300000000001</v>
      </c>
      <c r="AY312" s="126">
        <f t="shared" si="712"/>
        <v>4.3588999999999989E-2</v>
      </c>
      <c r="AZ312" s="126">
        <f t="shared" ref="AZ312" si="713">AZ339-AZ285</f>
        <v>4.773899999999999E-2</v>
      </c>
      <c r="BA312" s="126">
        <v>0</v>
      </c>
      <c r="BB312" s="126">
        <v>0</v>
      </c>
      <c r="BC312" s="126">
        <v>0</v>
      </c>
      <c r="BO312" s="268">
        <f t="shared" si="679"/>
        <v>3.5525694768211559E-4</v>
      </c>
      <c r="BQ312" s="268">
        <f t="shared" si="680"/>
        <v>0.34429548945677979</v>
      </c>
    </row>
    <row r="313" spans="1:69">
      <c r="A313" s="5" t="s">
        <v>79</v>
      </c>
      <c r="B313" s="126"/>
      <c r="C313" s="126"/>
      <c r="D313" s="126"/>
      <c r="E313" s="126"/>
      <c r="F313" s="126"/>
      <c r="G313" s="126"/>
      <c r="H313" s="126"/>
      <c r="I313" s="126"/>
      <c r="J313" s="126"/>
      <c r="K313" s="126"/>
      <c r="L313" s="126"/>
      <c r="M313" s="127"/>
      <c r="N313" s="126"/>
      <c r="O313" s="126"/>
      <c r="P313" s="126"/>
      <c r="Q313" s="126"/>
      <c r="R313" s="126"/>
      <c r="S313" s="126"/>
      <c r="T313" s="126"/>
      <c r="U313" s="126"/>
      <c r="V313" s="126"/>
      <c r="W313" s="126"/>
      <c r="X313" s="126"/>
      <c r="Y313" s="127"/>
      <c r="Z313" s="126"/>
      <c r="AA313" s="126"/>
      <c r="AB313" s="126"/>
      <c r="AC313" s="126"/>
      <c r="AD313" s="126"/>
      <c r="AE313" s="126"/>
      <c r="AF313" s="126"/>
      <c r="AG313" s="126"/>
      <c r="AH313" s="126"/>
      <c r="AI313" s="126"/>
      <c r="AJ313" s="126"/>
      <c r="AK313" s="127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>
        <f t="shared" ref="AV313" si="714">AV340-AV286</f>
        <v>4.3039000000000001E-2</v>
      </c>
      <c r="AW313" s="127">
        <f t="shared" si="676"/>
        <v>2.0195999999999999E-2</v>
      </c>
      <c r="AX313" s="126">
        <f t="shared" ref="AX313:AY313" si="715">AX340-AX286</f>
        <v>1.4956000000000001E-2</v>
      </c>
      <c r="AY313" s="126">
        <f t="shared" si="715"/>
        <v>1.1006E-2</v>
      </c>
      <c r="AZ313" s="126">
        <f t="shared" ref="AZ313" si="716">AZ340-AZ286</f>
        <v>1.6625000000000001E-2</v>
      </c>
      <c r="BA313" s="126">
        <v>1.1257E-2</v>
      </c>
      <c r="BB313" s="126">
        <v>4.2902999999999997E-2</v>
      </c>
      <c r="BC313" s="126">
        <v>6.3449000000000005E-2</v>
      </c>
      <c r="BO313" s="268">
        <f t="shared" si="679"/>
        <v>2.8240745116845013E-4</v>
      </c>
      <c r="BQ313" s="268">
        <f t="shared" si="680"/>
        <v>1</v>
      </c>
    </row>
    <row r="314" spans="1:69">
      <c r="A314" s="5" t="s">
        <v>231</v>
      </c>
      <c r="B314" s="126"/>
      <c r="C314" s="126"/>
      <c r="D314" s="126"/>
      <c r="E314" s="126"/>
      <c r="F314" s="126"/>
      <c r="G314" s="126"/>
      <c r="H314" s="126"/>
      <c r="I314" s="126"/>
      <c r="J314" s="126"/>
      <c r="K314" s="126"/>
      <c r="L314" s="126"/>
      <c r="M314" s="127"/>
      <c r="N314" s="126"/>
      <c r="O314" s="126"/>
      <c r="P314" s="126"/>
      <c r="Q314" s="126"/>
      <c r="R314" s="126"/>
      <c r="S314" s="126"/>
      <c r="T314" s="126"/>
      <c r="U314" s="126"/>
      <c r="V314" s="126"/>
      <c r="W314" s="126"/>
      <c r="X314" s="126"/>
      <c r="Y314" s="127"/>
      <c r="Z314" s="126"/>
      <c r="AA314" s="126"/>
      <c r="AB314" s="126"/>
      <c r="AC314" s="126"/>
      <c r="AD314" s="126"/>
      <c r="AE314" s="126"/>
      <c r="AF314" s="126"/>
      <c r="AG314" s="126"/>
      <c r="AH314" s="126"/>
      <c r="AI314" s="126"/>
      <c r="AJ314" s="126"/>
      <c r="AK314" s="127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>
        <f t="shared" ref="AV314" si="717">AV341-AV287</f>
        <v>0</v>
      </c>
      <c r="AW314" s="127">
        <f t="shared" si="676"/>
        <v>0</v>
      </c>
      <c r="AX314" s="126">
        <f t="shared" ref="AX314:AY314" si="718">AX341-AX287</f>
        <v>0</v>
      </c>
      <c r="AY314" s="126">
        <f t="shared" si="718"/>
        <v>0</v>
      </c>
      <c r="AZ314" s="126">
        <f t="shared" ref="AZ314" si="719">AZ341-AZ287</f>
        <v>0</v>
      </c>
      <c r="BA314" s="126">
        <v>0</v>
      </c>
      <c r="BB314" s="126">
        <v>1.0952E-2</v>
      </c>
      <c r="BC314" s="126">
        <v>1.5657000000000001E-2</v>
      </c>
      <c r="BO314" s="268">
        <f t="shared" si="679"/>
        <v>3.3632664527936089E-5</v>
      </c>
      <c r="BQ314" s="268">
        <f t="shared" si="680"/>
        <v>0.60141488111382324</v>
      </c>
    </row>
    <row r="315" spans="1:69">
      <c r="A315" s="5" t="s">
        <v>228</v>
      </c>
      <c r="B315" s="126"/>
      <c r="C315" s="126"/>
      <c r="D315" s="126"/>
      <c r="E315" s="126"/>
      <c r="F315" s="126"/>
      <c r="G315" s="126"/>
      <c r="H315" s="126"/>
      <c r="I315" s="126"/>
      <c r="J315" s="126"/>
      <c r="K315" s="126"/>
      <c r="L315" s="126"/>
      <c r="M315" s="127"/>
      <c r="N315" s="126"/>
      <c r="O315" s="126"/>
      <c r="P315" s="126"/>
      <c r="Q315" s="126"/>
      <c r="R315" s="126"/>
      <c r="S315" s="126"/>
      <c r="T315" s="126"/>
      <c r="U315" s="126"/>
      <c r="V315" s="126"/>
      <c r="W315" s="126"/>
      <c r="X315" s="126"/>
      <c r="Y315" s="127"/>
      <c r="Z315" s="126"/>
      <c r="AA315" s="126"/>
      <c r="AB315" s="126"/>
      <c r="AC315" s="126"/>
      <c r="AD315" s="126"/>
      <c r="AE315" s="126"/>
      <c r="AF315" s="126"/>
      <c r="AG315" s="126"/>
      <c r="AH315" s="126"/>
      <c r="AI315" s="126"/>
      <c r="AJ315" s="126"/>
      <c r="AK315" s="127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>
        <f t="shared" ref="AV315" si="720">AV342-AV288</f>
        <v>0</v>
      </c>
      <c r="AW315" s="127">
        <f t="shared" si="676"/>
        <v>0</v>
      </c>
      <c r="AX315" s="126">
        <f t="shared" ref="AX315:AY315" si="721">AX342-AX288</f>
        <v>0</v>
      </c>
      <c r="AY315" s="126">
        <f t="shared" si="721"/>
        <v>0</v>
      </c>
      <c r="AZ315" s="126">
        <f t="shared" ref="AZ315" si="722">AZ342-AZ288</f>
        <v>0</v>
      </c>
      <c r="BA315" s="126">
        <v>0</v>
      </c>
      <c r="BB315" s="126">
        <v>4.2902999999999997E-2</v>
      </c>
      <c r="BC315" s="126">
        <v>0</v>
      </c>
      <c r="BO315" s="268">
        <f t="shared" si="679"/>
        <v>5.4227599918901199E-5</v>
      </c>
      <c r="BQ315" s="268">
        <f t="shared" si="680"/>
        <v>1</v>
      </c>
    </row>
    <row r="316" spans="1:69">
      <c r="A316" s="5" t="s">
        <v>233</v>
      </c>
      <c r="B316" s="126"/>
      <c r="C316" s="126"/>
      <c r="D316" s="126"/>
      <c r="E316" s="126"/>
      <c r="F316" s="126"/>
      <c r="G316" s="126"/>
      <c r="H316" s="126"/>
      <c r="I316" s="126"/>
      <c r="J316" s="126"/>
      <c r="K316" s="126"/>
      <c r="L316" s="126"/>
      <c r="M316" s="127"/>
      <c r="N316" s="126"/>
      <c r="O316" s="126"/>
      <c r="P316" s="126"/>
      <c r="Q316" s="126"/>
      <c r="R316" s="126"/>
      <c r="S316" s="126"/>
      <c r="T316" s="126"/>
      <c r="U316" s="126"/>
      <c r="V316" s="126"/>
      <c r="W316" s="126"/>
      <c r="X316" s="126"/>
      <c r="Y316" s="127"/>
      <c r="Z316" s="126"/>
      <c r="AA316" s="126"/>
      <c r="AB316" s="126"/>
      <c r="AC316" s="126"/>
      <c r="AD316" s="126"/>
      <c r="AE316" s="126"/>
      <c r="AF316" s="126"/>
      <c r="AG316" s="126"/>
      <c r="AH316" s="126"/>
      <c r="AI316" s="126"/>
      <c r="AJ316" s="126"/>
      <c r="AK316" s="127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>
        <f t="shared" ref="AV316" si="723">AV343-AV289</f>
        <v>2.1460000000000003E-3</v>
      </c>
      <c r="AW316" s="127">
        <f t="shared" si="676"/>
        <v>1.6990000000000009E-3</v>
      </c>
      <c r="AX316" s="126">
        <f t="shared" ref="AX316:AY316" si="724">AX343-AX289</f>
        <v>2.9580000000000006E-3</v>
      </c>
      <c r="AY316" s="126">
        <f t="shared" si="724"/>
        <v>-8.0569999999999999E-3</v>
      </c>
      <c r="AZ316" s="126">
        <f t="shared" ref="AZ316" si="725">AZ343-AZ289</f>
        <v>3.7429999999999998E-3</v>
      </c>
      <c r="BA316" s="126">
        <v>5.3540000000000003E-3</v>
      </c>
      <c r="BB316" s="126">
        <v>3.7079999999999999E-3</v>
      </c>
      <c r="BC316" s="126">
        <v>4.0860000000000002E-3</v>
      </c>
      <c r="BO316" s="268">
        <f t="shared" si="679"/>
        <v>1.9764514834204093E-5</v>
      </c>
      <c r="BQ316" s="268">
        <f t="shared" si="680"/>
        <v>0.1830644594816081</v>
      </c>
    </row>
    <row r="317" spans="1:69">
      <c r="A317" s="5" t="s">
        <v>203</v>
      </c>
      <c r="B317" s="126"/>
      <c r="C317" s="126"/>
      <c r="D317" s="126"/>
      <c r="E317" s="126"/>
      <c r="F317" s="126"/>
      <c r="G317" s="126"/>
      <c r="H317" s="126"/>
      <c r="I317" s="126"/>
      <c r="J317" s="126"/>
      <c r="K317" s="126"/>
      <c r="L317" s="126"/>
      <c r="M317" s="127"/>
      <c r="N317" s="126"/>
      <c r="O317" s="126"/>
      <c r="P317" s="126"/>
      <c r="Q317" s="126"/>
      <c r="R317" s="126"/>
      <c r="S317" s="126"/>
      <c r="T317" s="126"/>
      <c r="U317" s="126"/>
      <c r="V317" s="126"/>
      <c r="W317" s="126"/>
      <c r="X317" s="126"/>
      <c r="Y317" s="127"/>
      <c r="Z317" s="126"/>
      <c r="AA317" s="126"/>
      <c r="AB317" s="126"/>
      <c r="AC317" s="126"/>
      <c r="AD317" s="126"/>
      <c r="AE317" s="126"/>
      <c r="AF317" s="126"/>
      <c r="AG317" s="126"/>
      <c r="AH317" s="126"/>
      <c r="AI317" s="126"/>
      <c r="AJ317" s="126"/>
      <c r="AK317" s="127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553">
        <f t="shared" ref="AV317" si="726">AV344-AV290</f>
        <v>4.2876300000074252E-2</v>
      </c>
      <c r="AW317" s="127">
        <f t="shared" si="676"/>
        <v>5.7315000000102145E-2</v>
      </c>
      <c r="AX317" s="126">
        <f t="shared" ref="AX317:BC317" si="727">AX344-AX290</f>
        <v>5.0798600000121041E-2</v>
      </c>
      <c r="AY317" s="126">
        <f t="shared" si="727"/>
        <v>0.17676600000001486</v>
      </c>
      <c r="AZ317" s="126">
        <f t="shared" si="727"/>
        <v>6.1449999999979354E-2</v>
      </c>
      <c r="BA317" s="126">
        <f t="shared" si="727"/>
        <v>1.3455999999962387E-2</v>
      </c>
      <c r="BB317" s="126">
        <f t="shared" si="727"/>
        <v>0.76337999999992689</v>
      </c>
      <c r="BC317" s="126">
        <f t="shared" si="727"/>
        <v>2.5720999999862215E-2</v>
      </c>
      <c r="BO317" s="268">
        <f t="shared" si="679"/>
        <v>1.5063385250306926E-3</v>
      </c>
      <c r="BQ317" s="268">
        <f t="shared" si="680"/>
        <v>0.70042766912951704</v>
      </c>
    </row>
    <row r="318" spans="1:69">
      <c r="A318" s="161" t="s">
        <v>256</v>
      </c>
      <c r="B318" s="162"/>
      <c r="C318" s="162"/>
      <c r="D318" s="162"/>
      <c r="E318" s="162"/>
      <c r="F318" s="162"/>
      <c r="G318" s="162"/>
      <c r="H318" s="163"/>
      <c r="I318" s="163"/>
      <c r="J318" s="163"/>
      <c r="K318" s="163"/>
      <c r="L318" s="163"/>
      <c r="M318" s="261"/>
      <c r="N318" s="164"/>
      <c r="O318" s="164"/>
      <c r="P318" s="164"/>
      <c r="Q318" s="164"/>
      <c r="R318" s="164"/>
      <c r="S318" s="164"/>
      <c r="T318" s="164"/>
      <c r="U318" s="164"/>
      <c r="V318" s="164"/>
      <c r="W318" s="164"/>
      <c r="X318" s="164"/>
      <c r="Y318" s="262"/>
      <c r="Z318" s="164"/>
      <c r="AA318" s="164"/>
      <c r="AB318" s="164"/>
      <c r="AC318" s="164"/>
      <c r="AD318" s="164"/>
      <c r="AE318" s="164"/>
      <c r="AF318" s="164"/>
      <c r="AG318" s="164"/>
      <c r="AH318" s="164"/>
      <c r="AI318" s="164"/>
      <c r="AJ318" s="164"/>
      <c r="AK318" s="262"/>
      <c r="AL318" s="164"/>
      <c r="AM318" s="164"/>
      <c r="AN318" s="164"/>
      <c r="AO318" s="164"/>
      <c r="AP318" s="164"/>
      <c r="AQ318" s="164"/>
      <c r="AR318" s="164"/>
      <c r="AS318" s="164"/>
      <c r="AT318" s="164"/>
      <c r="AU318" s="164"/>
      <c r="AV318" s="164">
        <f t="shared" ref="AV318:AX318" si="728">SUM(AV300:AV317)</f>
        <v>101.33816200000005</v>
      </c>
      <c r="AW318" s="262">
        <f t="shared" ref="AW318" si="729">SUM(AW300:AW317)</f>
        <v>92.39199300000007</v>
      </c>
      <c r="AX318" s="164">
        <f t="shared" si="728"/>
        <v>105.09907060000015</v>
      </c>
      <c r="AY318" s="164">
        <f t="shared" ref="AY318" si="730">SUM(AY300:AY317)</f>
        <v>101.19280699999999</v>
      </c>
      <c r="AZ318" s="164">
        <f t="shared" ref="AZ318:BA318" si="731">SUM(AZ300:AZ317)</f>
        <v>105.91832799999997</v>
      </c>
      <c r="BA318" s="164">
        <f t="shared" si="731"/>
        <v>105.74004399999995</v>
      </c>
      <c r="BB318" s="164">
        <f t="shared" ref="BB318:BC318" si="732">SUM(BB300:BB317)</f>
        <v>94.224395999999928</v>
      </c>
      <c r="BC318" s="164">
        <f t="shared" si="732"/>
        <v>85.260584999999864</v>
      </c>
      <c r="BO318" s="269">
        <f t="shared" si="679"/>
        <v>1</v>
      </c>
      <c r="BQ318" s="269">
        <f t="shared" si="680"/>
        <v>0.29712536639488962</v>
      </c>
    </row>
    <row r="319" spans="1:69">
      <c r="A319" s="5"/>
      <c r="M319" s="115"/>
      <c r="Y319" s="115"/>
      <c r="AK319" s="115"/>
      <c r="AW319" s="115"/>
      <c r="BO319" s="268"/>
      <c r="BQ319" s="268"/>
    </row>
    <row r="320" spans="1:69">
      <c r="A320" s="214" t="s">
        <v>234</v>
      </c>
      <c r="B320" s="129"/>
      <c r="C320" s="129"/>
      <c r="D320" s="129"/>
      <c r="E320" s="129"/>
      <c r="F320" s="129"/>
      <c r="G320" s="129"/>
      <c r="H320" s="129"/>
      <c r="I320" s="129"/>
      <c r="J320" s="129"/>
      <c r="K320" s="129"/>
      <c r="L320" s="129"/>
      <c r="M320" s="263"/>
      <c r="N320" s="129"/>
      <c r="O320" s="129"/>
      <c r="P320" s="129"/>
      <c r="Q320" s="129"/>
      <c r="R320" s="129"/>
      <c r="S320" s="129"/>
      <c r="T320" s="129"/>
      <c r="U320" s="215"/>
      <c r="V320" s="129"/>
      <c r="W320" s="129"/>
      <c r="X320" s="129"/>
      <c r="Y320" s="263"/>
      <c r="Z320" s="129"/>
      <c r="AA320" s="129"/>
      <c r="AB320" s="129"/>
      <c r="AC320" s="129"/>
      <c r="AD320" s="129"/>
      <c r="AE320" s="129"/>
      <c r="AF320" s="215"/>
      <c r="AG320" s="215"/>
      <c r="AH320" s="215"/>
      <c r="AI320" s="215"/>
      <c r="AJ320" s="215"/>
      <c r="AK320" s="264"/>
      <c r="AL320" s="215"/>
      <c r="AM320" s="215"/>
      <c r="AN320" s="215"/>
      <c r="AO320" s="215"/>
      <c r="AP320" s="215"/>
      <c r="AQ320" s="215"/>
      <c r="AR320" s="215"/>
      <c r="AS320" s="215"/>
      <c r="AT320" s="215"/>
      <c r="AU320" s="215"/>
      <c r="AV320" s="215">
        <f t="shared" ref="AV320:AX320" si="733">AV300/AV318</f>
        <v>0.83355679965855267</v>
      </c>
      <c r="AW320" s="264">
        <f t="shared" si="733"/>
        <v>0.86410365668808464</v>
      </c>
      <c r="AX320" s="215">
        <f t="shared" si="733"/>
        <v>0.79989596025980347</v>
      </c>
      <c r="AY320" s="215">
        <f t="shared" ref="AY320:AZ320" si="734">AY300/AY318</f>
        <v>0.81870716364256968</v>
      </c>
      <c r="AZ320" s="215">
        <f t="shared" si="734"/>
        <v>0.85949959481988814</v>
      </c>
      <c r="BA320" s="215">
        <f t="shared" ref="BA320:BB320" si="735">BA300/BA318</f>
        <v>0.85295316313656955</v>
      </c>
      <c r="BB320" s="215">
        <f t="shared" si="735"/>
        <v>0.70983994421147634</v>
      </c>
      <c r="BC320" s="215">
        <f t="shared" ref="BC320" si="736">BC300/BC318</f>
        <v>0.66130620614437596</v>
      </c>
      <c r="BO320" s="270">
        <f>BO300</f>
        <v>0.80352179401514989</v>
      </c>
      <c r="BQ320" s="270"/>
    </row>
    <row r="321" spans="1:69" ht="16" thickBot="1">
      <c r="A321" s="217"/>
      <c r="B321" s="218"/>
      <c r="C321" s="218"/>
      <c r="D321" s="218"/>
      <c r="E321" s="218"/>
      <c r="F321" s="218"/>
      <c r="G321" s="218"/>
      <c r="H321" s="218"/>
      <c r="I321" s="218"/>
      <c r="J321" s="218"/>
      <c r="K321" s="218"/>
      <c r="L321" s="218"/>
      <c r="M321" s="219"/>
      <c r="N321" s="218"/>
      <c r="O321" s="218"/>
      <c r="P321" s="218"/>
      <c r="Q321" s="218"/>
      <c r="R321" s="218"/>
      <c r="S321" s="218"/>
      <c r="T321" s="218"/>
      <c r="U321" s="218"/>
      <c r="V321" s="218"/>
      <c r="W321" s="218"/>
      <c r="X321" s="218"/>
      <c r="Y321" s="219"/>
      <c r="Z321" s="218"/>
      <c r="AA321" s="218"/>
      <c r="AB321" s="218"/>
      <c r="AC321" s="218"/>
      <c r="AD321" s="218"/>
      <c r="AE321" s="218"/>
      <c r="AF321" s="218"/>
      <c r="AG321" s="218"/>
      <c r="AH321" s="218"/>
      <c r="AI321" s="218"/>
      <c r="AJ321" s="218"/>
      <c r="AK321" s="219"/>
      <c r="AL321" s="218"/>
      <c r="AM321" s="218"/>
      <c r="AN321" s="218"/>
      <c r="AO321" s="218"/>
      <c r="AP321" s="218"/>
      <c r="AQ321" s="218"/>
      <c r="AR321" s="218"/>
      <c r="AS321" s="218"/>
      <c r="AT321" s="218"/>
      <c r="AU321" s="218"/>
      <c r="AV321" s="218"/>
      <c r="AW321" s="219"/>
      <c r="AX321" s="218"/>
      <c r="AY321" s="218"/>
      <c r="AZ321" s="218"/>
      <c r="BA321" s="218"/>
      <c r="BB321" s="218"/>
      <c r="BC321" s="218"/>
      <c r="BO321" s="355"/>
      <c r="BQ321" s="355"/>
    </row>
    <row r="322" spans="1:69">
      <c r="BO322" s="173"/>
    </row>
    <row r="323" spans="1:69">
      <c r="A323" s="98" t="s">
        <v>57</v>
      </c>
    </row>
    <row r="324" spans="1:69" ht="16" thickBot="1"/>
    <row r="325" spans="1:69" ht="16">
      <c r="A325" s="100" t="s">
        <v>286</v>
      </c>
      <c r="B325" s="101">
        <v>39448</v>
      </c>
      <c r="C325" s="101">
        <v>39479</v>
      </c>
      <c r="D325" s="101">
        <v>39508</v>
      </c>
      <c r="E325" s="101">
        <v>39539</v>
      </c>
      <c r="F325" s="101">
        <v>39569</v>
      </c>
      <c r="G325" s="101">
        <v>39600</v>
      </c>
      <c r="H325" s="101">
        <v>39630</v>
      </c>
      <c r="I325" s="101">
        <v>39661</v>
      </c>
      <c r="J325" s="101">
        <v>39692</v>
      </c>
      <c r="K325" s="101">
        <v>39722</v>
      </c>
      <c r="L325" s="101">
        <v>39753</v>
      </c>
      <c r="M325" s="102">
        <v>39783</v>
      </c>
      <c r="N325" s="101">
        <v>39814</v>
      </c>
      <c r="O325" s="101">
        <v>39845</v>
      </c>
      <c r="P325" s="101">
        <v>39873</v>
      </c>
      <c r="Q325" s="101">
        <v>39904</v>
      </c>
      <c r="R325" s="101">
        <v>39934</v>
      </c>
      <c r="S325" s="101">
        <v>39965</v>
      </c>
      <c r="T325" s="101">
        <v>39995</v>
      </c>
      <c r="U325" s="101">
        <v>40026</v>
      </c>
      <c r="V325" s="101">
        <v>40057</v>
      </c>
      <c r="W325" s="101">
        <v>40087</v>
      </c>
      <c r="X325" s="101">
        <v>40118</v>
      </c>
      <c r="Y325" s="102">
        <v>40148</v>
      </c>
      <c r="Z325" s="101">
        <v>40179</v>
      </c>
      <c r="AA325" s="101">
        <v>40210</v>
      </c>
      <c r="AB325" s="101">
        <v>40238</v>
      </c>
      <c r="AC325" s="101">
        <v>40269</v>
      </c>
      <c r="AD325" s="101">
        <v>40299</v>
      </c>
      <c r="AE325" s="101">
        <v>40330</v>
      </c>
      <c r="AF325" s="101">
        <v>40360</v>
      </c>
      <c r="AG325" s="101">
        <v>40391</v>
      </c>
      <c r="AH325" s="101">
        <v>40422</v>
      </c>
      <c r="AI325" s="101">
        <v>40452</v>
      </c>
      <c r="AJ325" s="101">
        <v>40483</v>
      </c>
      <c r="AK325" s="102">
        <v>40513</v>
      </c>
      <c r="AL325" s="101">
        <v>40544</v>
      </c>
      <c r="AM325" s="101">
        <v>40575</v>
      </c>
      <c r="AN325" s="101">
        <v>40603</v>
      </c>
      <c r="AO325" s="101">
        <v>40634</v>
      </c>
      <c r="AP325" s="101">
        <v>40664</v>
      </c>
      <c r="AQ325" s="101">
        <v>40695</v>
      </c>
      <c r="AR325" s="101">
        <v>40725</v>
      </c>
      <c r="AS325" s="101">
        <v>40756</v>
      </c>
      <c r="AT325" s="101">
        <v>40787</v>
      </c>
      <c r="AU325" s="101">
        <v>40817</v>
      </c>
      <c r="AV325" s="101">
        <v>40848</v>
      </c>
      <c r="AW325" s="102">
        <v>40878</v>
      </c>
      <c r="AX325" s="101">
        <v>40909</v>
      </c>
      <c r="AY325" s="101">
        <v>40940</v>
      </c>
      <c r="AZ325" s="101">
        <v>40969</v>
      </c>
      <c r="BA325" s="101">
        <v>41000</v>
      </c>
      <c r="BB325" s="101">
        <v>41030</v>
      </c>
      <c r="BC325" s="101">
        <v>41061</v>
      </c>
      <c r="BO325" s="362" t="s">
        <v>371</v>
      </c>
    </row>
    <row r="326" spans="1:69">
      <c r="A326" s="75"/>
      <c r="M326" s="115"/>
      <c r="Y326" s="115"/>
      <c r="AK326" s="115"/>
      <c r="AW326" s="115"/>
      <c r="BO326" s="267"/>
    </row>
    <row r="327" spans="1:69">
      <c r="A327" s="5" t="s">
        <v>477</v>
      </c>
      <c r="B327" s="126"/>
      <c r="C327" s="126"/>
      <c r="D327" s="126"/>
      <c r="E327" s="126"/>
      <c r="F327" s="126"/>
      <c r="G327" s="126"/>
      <c r="H327" s="126"/>
      <c r="I327" s="126"/>
      <c r="J327" s="126"/>
      <c r="K327" s="126"/>
      <c r="L327" s="126"/>
      <c r="M327" s="127"/>
      <c r="N327" s="126"/>
      <c r="O327" s="126"/>
      <c r="P327" s="126"/>
      <c r="Q327" s="126"/>
      <c r="R327" s="126"/>
      <c r="S327" s="126"/>
      <c r="T327" s="126"/>
      <c r="U327" s="126"/>
      <c r="V327" s="126"/>
      <c r="W327" s="126"/>
      <c r="X327" s="126"/>
      <c r="Y327" s="127"/>
      <c r="Z327" s="126"/>
      <c r="AA327" s="126"/>
      <c r="AB327" s="126"/>
      <c r="AC327" s="126"/>
      <c r="AD327" s="126"/>
      <c r="AE327" s="126"/>
      <c r="AF327" s="126">
        <v>188.76599999999999</v>
      </c>
      <c r="AG327" s="126">
        <v>201.6557</v>
      </c>
      <c r="AH327" s="126">
        <v>319.108724</v>
      </c>
      <c r="AI327" s="126">
        <v>400.54429599999997</v>
      </c>
      <c r="AJ327" s="126">
        <v>418.40216299999997</v>
      </c>
      <c r="AK327" s="127">
        <v>321.88263499999999</v>
      </c>
      <c r="AL327" s="126">
        <v>393.25694499999997</v>
      </c>
      <c r="AM327" s="126">
        <v>395.94099999999997</v>
      </c>
      <c r="AN327" s="126">
        <v>316.05385000000001</v>
      </c>
      <c r="AO327" s="126">
        <v>332.84155500000003</v>
      </c>
      <c r="AP327" s="126">
        <v>288.38192091000002</v>
      </c>
      <c r="AQ327" s="126">
        <v>116.83920397</v>
      </c>
      <c r="AR327" s="126">
        <v>130.25800000000001</v>
      </c>
      <c r="AS327" s="126">
        <v>174.49458000000001</v>
      </c>
      <c r="AT327" s="126">
        <v>316.342556</v>
      </c>
      <c r="AU327" s="126">
        <v>367.533253</v>
      </c>
      <c r="AV327" s="126">
        <v>309.46555599999999</v>
      </c>
      <c r="AW327" s="127">
        <v>291.07299999999998</v>
      </c>
      <c r="AX327" s="126">
        <v>301.320741</v>
      </c>
      <c r="AY327" s="126">
        <v>301.03247499999998</v>
      </c>
      <c r="AZ327" s="126">
        <v>341.506531</v>
      </c>
      <c r="BA327" s="126">
        <f>BA273+BA300</f>
        <v>335.106987</v>
      </c>
      <c r="BB327" s="126">
        <f>BB273+BB300</f>
        <v>244.75286800000001</v>
      </c>
      <c r="BC327" s="126">
        <f>BC273+BC300</f>
        <v>203.233194</v>
      </c>
      <c r="BO327" s="268">
        <f>SUM(AR327:BC327)/SUM(AR$345:BC$345)</f>
        <v>0.88248094801438537</v>
      </c>
    </row>
    <row r="328" spans="1:69">
      <c r="A328" s="5" t="s">
        <v>478</v>
      </c>
      <c r="B328" s="126"/>
      <c r="C328" s="126"/>
      <c r="D328" s="126"/>
      <c r="E328" s="126"/>
      <c r="F328" s="126"/>
      <c r="G328" s="126"/>
      <c r="H328" s="126"/>
      <c r="I328" s="126"/>
      <c r="J328" s="126"/>
      <c r="K328" s="126"/>
      <c r="L328" s="126"/>
      <c r="M328" s="127"/>
      <c r="N328" s="126"/>
      <c r="O328" s="126"/>
      <c r="P328" s="126"/>
      <c r="Q328" s="126"/>
      <c r="R328" s="126"/>
      <c r="S328" s="126"/>
      <c r="T328" s="126"/>
      <c r="U328" s="126"/>
      <c r="V328" s="126"/>
      <c r="W328" s="126"/>
      <c r="X328" s="126"/>
      <c r="Y328" s="127"/>
      <c r="Z328" s="126"/>
      <c r="AA328" s="126"/>
      <c r="AB328" s="126"/>
      <c r="AC328" s="126"/>
      <c r="AD328" s="126"/>
      <c r="AE328" s="126"/>
      <c r="AF328" s="126">
        <v>0.79200000000000004</v>
      </c>
      <c r="AG328" s="126">
        <v>2.7911000000000001</v>
      </c>
      <c r="AH328" s="126">
        <v>5.2014709999999997</v>
      </c>
      <c r="AI328" s="126">
        <v>10.790694</v>
      </c>
      <c r="AJ328" s="126">
        <v>17.678982999999999</v>
      </c>
      <c r="AK328" s="127">
        <v>23.394842000000001</v>
      </c>
      <c r="AL328" s="126">
        <v>27.401961</v>
      </c>
      <c r="AM328" s="126">
        <v>18.992629999999998</v>
      </c>
      <c r="AN328" s="126">
        <v>18.769314000000001</v>
      </c>
      <c r="AO328" s="126">
        <v>14.362181</v>
      </c>
      <c r="AP328" s="126">
        <v>18.116036510000001</v>
      </c>
      <c r="AQ328" s="126">
        <v>11.625</v>
      </c>
      <c r="AR328" s="126">
        <v>0.75800000000000001</v>
      </c>
      <c r="AS328" s="126">
        <v>1.0805689999999999</v>
      </c>
      <c r="AT328" s="126">
        <v>7.5180800000000003</v>
      </c>
      <c r="AU328" s="126">
        <v>11.691058999999999</v>
      </c>
      <c r="AV328" s="126">
        <v>18.147645000000001</v>
      </c>
      <c r="AW328" s="127">
        <v>19.184049999999999</v>
      </c>
      <c r="AX328" s="126">
        <v>22.503184000000001</v>
      </c>
      <c r="AY328" s="126">
        <v>18.630167</v>
      </c>
      <c r="AZ328" s="126">
        <v>16.498646999999998</v>
      </c>
      <c r="BA328" s="126">
        <f t="shared" ref="BA328:BB343" si="737">BA274+BA301</f>
        <v>14.550485999999999</v>
      </c>
      <c r="BB328" s="126">
        <f t="shared" si="737"/>
        <v>17.092043</v>
      </c>
      <c r="BC328" s="126">
        <f t="shared" ref="BC328" si="738">BC274+BC301</f>
        <v>9.040814000000001</v>
      </c>
      <c r="BD328" s="126"/>
      <c r="BE328" s="126"/>
      <c r="BF328" s="126"/>
      <c r="BG328" s="126"/>
      <c r="BH328" s="126"/>
      <c r="BI328" s="126"/>
      <c r="BJ328" s="126"/>
      <c r="BK328" s="126"/>
      <c r="BL328" s="126"/>
      <c r="BO328" s="268">
        <f t="shared" ref="BO328:BO345" si="739">SUM(AR328:BC328)/SUM(AR$345:BC$345)</f>
        <v>4.169937669147377E-2</v>
      </c>
    </row>
    <row r="329" spans="1:69">
      <c r="A329" s="5" t="s">
        <v>479</v>
      </c>
      <c r="B329" s="126"/>
      <c r="C329" s="126"/>
      <c r="D329" s="126"/>
      <c r="E329" s="126"/>
      <c r="F329" s="126"/>
      <c r="G329" s="126"/>
      <c r="H329" s="126"/>
      <c r="I329" s="126"/>
      <c r="J329" s="126"/>
      <c r="K329" s="126"/>
      <c r="L329" s="126"/>
      <c r="M329" s="127"/>
      <c r="N329" s="126"/>
      <c r="O329" s="126"/>
      <c r="P329" s="126"/>
      <c r="Q329" s="126"/>
      <c r="R329" s="126"/>
      <c r="S329" s="126"/>
      <c r="T329" s="126"/>
      <c r="U329" s="126"/>
      <c r="V329" s="126"/>
      <c r="W329" s="126"/>
      <c r="X329" s="126"/>
      <c r="Y329" s="127"/>
      <c r="Z329" s="126"/>
      <c r="AA329" s="126"/>
      <c r="AB329" s="126"/>
      <c r="AC329" s="126"/>
      <c r="AD329" s="126"/>
      <c r="AE329" s="126"/>
      <c r="AF329" s="126">
        <v>12.063000000000001</v>
      </c>
      <c r="AG329" s="126">
        <v>10.063499999999999</v>
      </c>
      <c r="AH329" s="126">
        <v>7.2606909999999996</v>
      </c>
      <c r="AI329" s="126">
        <v>6.2093939999999996</v>
      </c>
      <c r="AJ329" s="126">
        <v>4.446097</v>
      </c>
      <c r="AK329" s="127">
        <v>6.2498999999999999E-2</v>
      </c>
      <c r="AL329" s="126">
        <v>8.7542939999999998</v>
      </c>
      <c r="AM329" s="126">
        <v>8.6410750000000007</v>
      </c>
      <c r="AN329" s="126">
        <v>7.666963</v>
      </c>
      <c r="AO329" s="126">
        <v>8.5318439999999995</v>
      </c>
      <c r="AP329" s="126">
        <v>19.874176980000001</v>
      </c>
      <c r="AQ329" s="126">
        <v>25.24529266</v>
      </c>
      <c r="AR329" s="126">
        <v>13.305</v>
      </c>
      <c r="AS329" s="126">
        <v>12.221455000000001</v>
      </c>
      <c r="AT329" s="126">
        <v>8.2257069999999999</v>
      </c>
      <c r="AU329" s="126">
        <v>11.760870000000001</v>
      </c>
      <c r="AV329" s="126">
        <v>9.6464160000000003</v>
      </c>
      <c r="AW329" s="127">
        <v>0.61390500000000003</v>
      </c>
      <c r="AX329" s="126">
        <v>12.360156999999999</v>
      </c>
      <c r="AY329" s="126">
        <v>12.412419999999999</v>
      </c>
      <c r="AZ329" s="126">
        <v>8.6103149999999999</v>
      </c>
      <c r="BA329" s="126">
        <f t="shared" si="737"/>
        <v>10.9754</v>
      </c>
      <c r="BB329" s="126">
        <f t="shared" si="737"/>
        <v>28.081654</v>
      </c>
      <c r="BC329" s="126">
        <f t="shared" ref="BC329" si="740">BC275+BC302</f>
        <v>35.493983999999998</v>
      </c>
      <c r="BD329" s="126"/>
      <c r="BE329" s="126"/>
      <c r="BF329" s="126"/>
      <c r="BG329" s="126"/>
      <c r="BH329" s="126"/>
      <c r="BI329" s="126"/>
      <c r="BJ329" s="126"/>
      <c r="BK329" s="126"/>
      <c r="BL329" s="126"/>
      <c r="BO329" s="268">
        <f t="shared" si="739"/>
        <v>4.3565543340462649E-2</v>
      </c>
    </row>
    <row r="330" spans="1:69">
      <c r="A330" s="5" t="s">
        <v>480</v>
      </c>
      <c r="B330" s="126"/>
      <c r="C330" s="126"/>
      <c r="D330" s="126"/>
      <c r="E330" s="126"/>
      <c r="F330" s="126"/>
      <c r="G330" s="126"/>
      <c r="H330" s="126"/>
      <c r="I330" s="126"/>
      <c r="J330" s="126"/>
      <c r="K330" s="126"/>
      <c r="L330" s="126"/>
      <c r="M330" s="127"/>
      <c r="N330" s="126"/>
      <c r="O330" s="126"/>
      <c r="P330" s="126"/>
      <c r="Q330" s="126"/>
      <c r="R330" s="126"/>
      <c r="S330" s="126"/>
      <c r="T330" s="126"/>
      <c r="U330" s="126"/>
      <c r="V330" s="126"/>
      <c r="W330" s="126"/>
      <c r="X330" s="126"/>
      <c r="Y330" s="127"/>
      <c r="Z330" s="126"/>
      <c r="AA330" s="126"/>
      <c r="AB330" s="126"/>
      <c r="AC330" s="126"/>
      <c r="AD330" s="126"/>
      <c r="AE330" s="126"/>
      <c r="AF330" s="126">
        <v>1.329</v>
      </c>
      <c r="AG330" s="126">
        <v>0.46856300000000001</v>
      </c>
      <c r="AH330" s="126">
        <v>1.3721239999999999</v>
      </c>
      <c r="AI330" s="126">
        <v>4.8967390000000002</v>
      </c>
      <c r="AJ330" s="126">
        <v>3.7107290000000002</v>
      </c>
      <c r="AK330" s="127">
        <v>4.9081260000000002</v>
      </c>
      <c r="AL330" s="126">
        <v>4.6043969999999996</v>
      </c>
      <c r="AM330" s="126">
        <v>3.2832699999999999</v>
      </c>
      <c r="AN330" s="126">
        <v>3.2488139999999999</v>
      </c>
      <c r="AO330" s="126">
        <v>3.3278110000000001</v>
      </c>
      <c r="AP330" s="126">
        <v>2.5975029799999998</v>
      </c>
      <c r="AQ330" s="126">
        <v>2.6532431999999999</v>
      </c>
      <c r="AR330" s="126">
        <v>1.798</v>
      </c>
      <c r="AS330" s="126">
        <v>1.144447</v>
      </c>
      <c r="AT330" s="126">
        <v>2.6978260000000001</v>
      </c>
      <c r="AU330" s="126">
        <v>4.8028339999999998</v>
      </c>
      <c r="AV330" s="126">
        <v>5.6327829999999999</v>
      </c>
      <c r="AW330" s="127">
        <v>6.0303709999999997</v>
      </c>
      <c r="AX330" s="126">
        <v>5.6901109999999999</v>
      </c>
      <c r="AY330" s="126">
        <v>4.6234609999999998</v>
      </c>
      <c r="AZ330" s="126">
        <v>4.5204490000000002</v>
      </c>
      <c r="BA330" s="126">
        <f t="shared" si="737"/>
        <v>3.783417</v>
      </c>
      <c r="BB330" s="126">
        <f t="shared" si="737"/>
        <v>1.8179989999999999</v>
      </c>
      <c r="BC330" s="126">
        <f t="shared" ref="BC330" si="741">BC276+BC303</f>
        <v>5.3386500000000003</v>
      </c>
      <c r="BD330" s="126"/>
      <c r="BE330" s="126"/>
      <c r="BF330" s="126"/>
      <c r="BG330" s="126"/>
      <c r="BH330" s="126"/>
      <c r="BI330" s="126"/>
      <c r="BJ330" s="126"/>
      <c r="BK330" s="126"/>
      <c r="BL330" s="126"/>
      <c r="BO330" s="268">
        <f t="shared" si="739"/>
        <v>1.2741848363279195E-2</v>
      </c>
    </row>
    <row r="331" spans="1:69">
      <c r="A331" s="5" t="s">
        <v>481</v>
      </c>
      <c r="B331" s="126"/>
      <c r="C331" s="126"/>
      <c r="D331" s="126"/>
      <c r="E331" s="126"/>
      <c r="F331" s="126"/>
      <c r="G331" s="126"/>
      <c r="H331" s="126"/>
      <c r="I331" s="126"/>
      <c r="J331" s="126"/>
      <c r="K331" s="126"/>
      <c r="L331" s="126"/>
      <c r="M331" s="127"/>
      <c r="N331" s="126"/>
      <c r="O331" s="126"/>
      <c r="P331" s="126"/>
      <c r="Q331" s="126"/>
      <c r="R331" s="126"/>
      <c r="S331" s="126"/>
      <c r="T331" s="126"/>
      <c r="U331" s="126"/>
      <c r="V331" s="126"/>
      <c r="W331" s="126"/>
      <c r="X331" s="126"/>
      <c r="Y331" s="127"/>
      <c r="Z331" s="126"/>
      <c r="AA331" s="126"/>
      <c r="AB331" s="126"/>
      <c r="AC331" s="126"/>
      <c r="AD331" s="126"/>
      <c r="AE331" s="126"/>
      <c r="AF331" s="126">
        <v>3.379</v>
      </c>
      <c r="AG331" s="126">
        <v>2.1821470000000001</v>
      </c>
      <c r="AH331" s="126">
        <v>2.0566040000000001</v>
      </c>
      <c r="AI331" s="126">
        <v>1.0352349999999999</v>
      </c>
      <c r="AJ331" s="126">
        <v>2.3543419999999999</v>
      </c>
      <c r="AK331" s="127">
        <v>3.6999999999999998E-5</v>
      </c>
      <c r="AL331" s="126">
        <v>0</v>
      </c>
      <c r="AM331" s="126">
        <v>0</v>
      </c>
      <c r="AN331" s="126">
        <v>0.76465799999999995</v>
      </c>
      <c r="AO331" s="126">
        <v>1.3670739999999999</v>
      </c>
      <c r="AP331" s="126">
        <v>3.4609340400000002</v>
      </c>
      <c r="AQ331" s="126">
        <v>2.6539674999999998</v>
      </c>
      <c r="AR331" s="126">
        <v>3.8980000000000001</v>
      </c>
      <c r="AS331" s="126">
        <v>0.89045300000000005</v>
      </c>
      <c r="AT331" s="126">
        <v>1.5695520000000001</v>
      </c>
      <c r="AU331" s="126">
        <v>1.3577159999999999</v>
      </c>
      <c r="AV331" s="126">
        <v>1.160555</v>
      </c>
      <c r="AW331" s="127">
        <v>0</v>
      </c>
      <c r="AX331" s="126">
        <v>0</v>
      </c>
      <c r="AY331" s="126">
        <v>0</v>
      </c>
      <c r="AZ331" s="126">
        <v>0.901729</v>
      </c>
      <c r="BA331" s="126">
        <f t="shared" si="737"/>
        <v>1.3022849999999999</v>
      </c>
      <c r="BB331" s="126">
        <f t="shared" si="737"/>
        <v>2.0806939999999998</v>
      </c>
      <c r="BC331" s="126">
        <f t="shared" ref="BC331" si="742">BC277+BC304</f>
        <v>2.1930320000000001</v>
      </c>
      <c r="BD331" s="126"/>
      <c r="BE331" s="126"/>
      <c r="BF331" s="126"/>
      <c r="BG331" s="126"/>
      <c r="BH331" s="126"/>
      <c r="BI331" s="126"/>
      <c r="BJ331" s="126"/>
      <c r="BK331" s="126"/>
      <c r="BL331" s="126"/>
      <c r="BO331" s="268">
        <f t="shared" si="739"/>
        <v>4.0859883399210588E-3</v>
      </c>
    </row>
    <row r="332" spans="1:69">
      <c r="A332" s="5" t="s">
        <v>482</v>
      </c>
      <c r="B332" s="126"/>
      <c r="C332" s="126"/>
      <c r="D332" s="126"/>
      <c r="E332" s="126"/>
      <c r="F332" s="126"/>
      <c r="G332" s="126"/>
      <c r="H332" s="126"/>
      <c r="I332" s="126"/>
      <c r="J332" s="126"/>
      <c r="K332" s="126"/>
      <c r="L332" s="126"/>
      <c r="M332" s="127"/>
      <c r="N332" s="126"/>
      <c r="O332" s="126"/>
      <c r="P332" s="126"/>
      <c r="Q332" s="126"/>
      <c r="R332" s="126"/>
      <c r="S332" s="126"/>
      <c r="T332" s="126"/>
      <c r="U332" s="126"/>
      <c r="V332" s="126"/>
      <c r="W332" s="126"/>
      <c r="X332" s="126"/>
      <c r="Y332" s="127"/>
      <c r="Z332" s="126"/>
      <c r="AA332" s="126"/>
      <c r="AB332" s="126"/>
      <c r="AC332" s="126"/>
      <c r="AD332" s="126"/>
      <c r="AE332" s="126"/>
      <c r="AF332" s="126">
        <v>3.415</v>
      </c>
      <c r="AG332" s="126">
        <v>1.4899800000000001</v>
      </c>
      <c r="AH332" s="126">
        <v>2.2849719999999998</v>
      </c>
      <c r="AI332" s="126">
        <v>1.856349</v>
      </c>
      <c r="AJ332" s="126">
        <v>0.71016199999999996</v>
      </c>
      <c r="AK332" s="127">
        <v>0</v>
      </c>
      <c r="AL332" s="126">
        <v>0</v>
      </c>
      <c r="AM332" s="126">
        <v>7.9866999999999994E-2</v>
      </c>
      <c r="AN332" s="126">
        <v>0.89839000000000002</v>
      </c>
      <c r="AO332" s="126">
        <v>1.2747660000000001</v>
      </c>
      <c r="AP332" s="126">
        <v>1.6284857399999999</v>
      </c>
      <c r="AQ332" s="126">
        <v>3.0289999999999999</v>
      </c>
      <c r="AR332" s="126">
        <v>3.464</v>
      </c>
      <c r="AS332" s="126">
        <v>1.2927740000000001</v>
      </c>
      <c r="AT332" s="126">
        <v>1.756791</v>
      </c>
      <c r="AU332" s="126">
        <v>1.2740499999999999</v>
      </c>
      <c r="AV332" s="126">
        <v>0.38250699999999999</v>
      </c>
      <c r="AW332" s="127">
        <v>0</v>
      </c>
      <c r="AX332" s="126">
        <v>0</v>
      </c>
      <c r="AY332" s="126">
        <v>2.5048000000000001E-2</v>
      </c>
      <c r="AZ332" s="126">
        <v>4.1452000000000003E-2</v>
      </c>
      <c r="BA332" s="126">
        <f t="shared" si="737"/>
        <v>1.1760489999999999</v>
      </c>
      <c r="BB332" s="126">
        <f t="shared" si="737"/>
        <v>1.4611290000000001</v>
      </c>
      <c r="BC332" s="126">
        <f t="shared" ref="BC332" si="743">BC278+BC305</f>
        <v>2.5821149999999999</v>
      </c>
      <c r="BD332" s="126"/>
      <c r="BE332" s="126"/>
      <c r="BF332" s="126"/>
      <c r="BG332" s="126"/>
      <c r="BH332" s="126"/>
      <c r="BI332" s="126"/>
      <c r="BJ332" s="126"/>
      <c r="BK332" s="126"/>
      <c r="BL332" s="126"/>
      <c r="BO332" s="268">
        <f t="shared" si="739"/>
        <v>3.5808684706964528E-3</v>
      </c>
    </row>
    <row r="333" spans="1:69">
      <c r="A333" s="5" t="s">
        <v>483</v>
      </c>
      <c r="B333" s="126"/>
      <c r="C333" s="126"/>
      <c r="D333" s="126"/>
      <c r="E333" s="126"/>
      <c r="F333" s="126"/>
      <c r="G333" s="126"/>
      <c r="H333" s="126"/>
      <c r="I333" s="126"/>
      <c r="J333" s="126"/>
      <c r="K333" s="126"/>
      <c r="L333" s="126"/>
      <c r="M333" s="127"/>
      <c r="N333" s="126"/>
      <c r="O333" s="126"/>
      <c r="P333" s="126"/>
      <c r="Q333" s="126"/>
      <c r="R333" s="126"/>
      <c r="S333" s="126"/>
      <c r="T333" s="126"/>
      <c r="U333" s="126"/>
      <c r="V333" s="126"/>
      <c r="W333" s="126"/>
      <c r="X333" s="126"/>
      <c r="Y333" s="127"/>
      <c r="Z333" s="126"/>
      <c r="AA333" s="126"/>
      <c r="AB333" s="126"/>
      <c r="AC333" s="126"/>
      <c r="AD333" s="126"/>
      <c r="AE333" s="126"/>
      <c r="AF333" s="126">
        <v>0</v>
      </c>
      <c r="AG333" s="126">
        <v>0</v>
      </c>
      <c r="AH333" s="126">
        <v>0</v>
      </c>
      <c r="AI333" s="126">
        <v>1.1838329999999999</v>
      </c>
      <c r="AJ333" s="126">
        <v>1.532117</v>
      </c>
      <c r="AK333" s="127">
        <v>2.0138509999999998</v>
      </c>
      <c r="AL333" s="126">
        <v>2.0017860000000001</v>
      </c>
      <c r="AM333" s="126">
        <v>1.393861</v>
      </c>
      <c r="AN333" s="126">
        <v>3.7524000000000002E-2</v>
      </c>
      <c r="AO333" s="126">
        <v>1.0099210000000001</v>
      </c>
      <c r="AP333" s="126">
        <v>0</v>
      </c>
      <c r="AQ333" s="126">
        <v>0</v>
      </c>
      <c r="AR333" s="126">
        <v>0</v>
      </c>
      <c r="AS333" s="126">
        <v>0</v>
      </c>
      <c r="AT333" s="126">
        <v>1.4366E-2</v>
      </c>
      <c r="AU333" s="126">
        <v>1.4692999999999999E-2</v>
      </c>
      <c r="AV333" s="126">
        <v>2.244014</v>
      </c>
      <c r="AW333" s="127">
        <v>2.8512689999999998</v>
      </c>
      <c r="AX333" s="126">
        <v>3.3839679999999999</v>
      </c>
      <c r="AY333" s="126">
        <v>2.3364229999999999</v>
      </c>
      <c r="AZ333" s="126">
        <v>2.581982</v>
      </c>
      <c r="BA333" s="126">
        <f t="shared" si="737"/>
        <v>0.79693499999999995</v>
      </c>
      <c r="BB333" s="126">
        <f t="shared" si="737"/>
        <v>0.80602799999999997</v>
      </c>
      <c r="BC333" s="126">
        <f t="shared" ref="BC333" si="744">BC279+BC306</f>
        <v>0.11251700000000001</v>
      </c>
      <c r="BD333" s="126"/>
      <c r="BE333" s="126"/>
      <c r="BF333" s="126"/>
      <c r="BG333" s="126"/>
      <c r="BH333" s="126"/>
      <c r="BI333" s="126"/>
      <c r="BJ333" s="126"/>
      <c r="BK333" s="126"/>
      <c r="BL333" s="126"/>
      <c r="BO333" s="268">
        <f t="shared" si="739"/>
        <v>4.0296188443994683E-3</v>
      </c>
    </row>
    <row r="334" spans="1:69">
      <c r="A334" s="5" t="s">
        <v>484</v>
      </c>
      <c r="B334" s="126"/>
      <c r="C334" s="126"/>
      <c r="D334" s="126"/>
      <c r="E334" s="126"/>
      <c r="F334" s="126"/>
      <c r="G334" s="126"/>
      <c r="H334" s="126"/>
      <c r="I334" s="126"/>
      <c r="J334" s="126"/>
      <c r="K334" s="126"/>
      <c r="L334" s="126"/>
      <c r="M334" s="127"/>
      <c r="N334" s="126"/>
      <c r="O334" s="126"/>
      <c r="P334" s="126"/>
      <c r="Q334" s="126"/>
      <c r="R334" s="126"/>
      <c r="S334" s="126"/>
      <c r="T334" s="126"/>
      <c r="U334" s="126"/>
      <c r="V334" s="126"/>
      <c r="W334" s="126"/>
      <c r="X334" s="126"/>
      <c r="Y334" s="127"/>
      <c r="Z334" s="126"/>
      <c r="AA334" s="126"/>
      <c r="AB334" s="126"/>
      <c r="AC334" s="126"/>
      <c r="AD334" s="126"/>
      <c r="AE334" s="126"/>
      <c r="AF334" s="126">
        <v>2.0379999999999998</v>
      </c>
      <c r="AG334" s="126">
        <v>1.348614</v>
      </c>
      <c r="AH334" s="126">
        <v>1.0594840000000001</v>
      </c>
      <c r="AI334" s="126">
        <v>0.27787200000000001</v>
      </c>
      <c r="AJ334" s="126">
        <v>1.3759E-2</v>
      </c>
      <c r="AK334" s="127">
        <v>0</v>
      </c>
      <c r="AL334" s="126">
        <v>0</v>
      </c>
      <c r="AM334" s="126">
        <v>0</v>
      </c>
      <c r="AN334" s="126">
        <v>1.6805E-2</v>
      </c>
      <c r="AO334" s="126">
        <v>0.86163100000000004</v>
      </c>
      <c r="AP334" s="126">
        <v>1.03060358</v>
      </c>
      <c r="AQ334" s="126">
        <v>1.4180193299999999</v>
      </c>
      <c r="AR334" s="126">
        <v>1.5249999999999999</v>
      </c>
      <c r="AS334" s="126">
        <v>0.97621800000000003</v>
      </c>
      <c r="AT334" s="126">
        <v>0.817689</v>
      </c>
      <c r="AU334" s="126">
        <v>0.255382</v>
      </c>
      <c r="AV334" s="126">
        <v>0</v>
      </c>
      <c r="AW334" s="127">
        <v>0</v>
      </c>
      <c r="AX334" s="126">
        <v>0</v>
      </c>
      <c r="AY334" s="126">
        <v>0</v>
      </c>
      <c r="AZ334" s="126">
        <v>0</v>
      </c>
      <c r="BA334" s="126">
        <f t="shared" si="737"/>
        <v>0.68167299999999997</v>
      </c>
      <c r="BB334" s="126">
        <f t="shared" si="737"/>
        <v>0.54615199999999997</v>
      </c>
      <c r="BC334" s="126">
        <f t="shared" ref="BC334" si="745">BC280+BC307</f>
        <v>1.744524</v>
      </c>
      <c r="BD334" s="126"/>
      <c r="BE334" s="126"/>
      <c r="BF334" s="126"/>
      <c r="BG334" s="126"/>
      <c r="BH334" s="126"/>
      <c r="BI334" s="126"/>
      <c r="BJ334" s="126"/>
      <c r="BK334" s="126"/>
      <c r="BL334" s="126"/>
      <c r="BO334" s="268">
        <f t="shared" si="739"/>
        <v>1.7421817545119219E-3</v>
      </c>
    </row>
    <row r="335" spans="1:69">
      <c r="A335" s="5" t="s">
        <v>485</v>
      </c>
      <c r="B335" s="126"/>
      <c r="C335" s="126"/>
      <c r="D335" s="126"/>
      <c r="E335" s="126"/>
      <c r="F335" s="126"/>
      <c r="G335" s="126"/>
      <c r="H335" s="126"/>
      <c r="I335" s="126"/>
      <c r="J335" s="126"/>
      <c r="K335" s="126"/>
      <c r="L335" s="126"/>
      <c r="M335" s="127"/>
      <c r="N335" s="126"/>
      <c r="O335" s="126"/>
      <c r="P335" s="126"/>
      <c r="Q335" s="126"/>
      <c r="R335" s="126"/>
      <c r="S335" s="126"/>
      <c r="T335" s="126"/>
      <c r="U335" s="126"/>
      <c r="V335" s="126"/>
      <c r="W335" s="126"/>
      <c r="X335" s="126"/>
      <c r="Y335" s="127"/>
      <c r="Z335" s="126"/>
      <c r="AA335" s="126"/>
      <c r="AB335" s="126"/>
      <c r="AC335" s="126"/>
      <c r="AD335" s="126"/>
      <c r="AE335" s="126"/>
      <c r="AF335" s="126">
        <v>1.8979999999999999</v>
      </c>
      <c r="AG335" s="126">
        <v>8.7482000000000004E-2</v>
      </c>
      <c r="AH335" s="126">
        <v>0.390567</v>
      </c>
      <c r="AI335" s="126">
        <v>0.30714999999999998</v>
      </c>
      <c r="AJ335" s="126">
        <v>0</v>
      </c>
      <c r="AK335" s="127">
        <v>0</v>
      </c>
      <c r="AL335" s="126">
        <v>0</v>
      </c>
      <c r="AM335" s="126">
        <v>0</v>
      </c>
      <c r="AN335" s="126">
        <v>0.100887</v>
      </c>
      <c r="AO335" s="126">
        <v>0.45375599999999999</v>
      </c>
      <c r="AP335" s="126">
        <v>1.6814890300000001</v>
      </c>
      <c r="AQ335" s="126">
        <v>0.31583107999999999</v>
      </c>
      <c r="AR335" s="126">
        <v>2.46</v>
      </c>
      <c r="AS335" s="126">
        <v>0.38150699999999999</v>
      </c>
      <c r="AT335" s="126">
        <v>0.57225800000000004</v>
      </c>
      <c r="AU335" s="126">
        <v>8.6567000000000005E-2</v>
      </c>
      <c r="AV335" s="126">
        <v>0</v>
      </c>
      <c r="AW335" s="127">
        <v>0</v>
      </c>
      <c r="AX335" s="126">
        <v>0</v>
      </c>
      <c r="AY335" s="126">
        <v>1.7059999999999999E-2</v>
      </c>
      <c r="AZ335" s="126">
        <v>0.50078299999999998</v>
      </c>
      <c r="BA335" s="126">
        <f t="shared" si="737"/>
        <v>0.501691</v>
      </c>
      <c r="BB335" s="126">
        <f t="shared" si="737"/>
        <v>1.8627180000000001</v>
      </c>
      <c r="BC335" s="126">
        <f t="shared" ref="BC335" si="746">BC281+BC308</f>
        <v>0.41596700000000003</v>
      </c>
      <c r="BD335" s="126"/>
      <c r="BE335" s="126"/>
      <c r="BF335" s="126"/>
      <c r="BG335" s="126"/>
      <c r="BH335" s="126"/>
      <c r="BI335" s="126"/>
      <c r="BJ335" s="126"/>
      <c r="BK335" s="126"/>
      <c r="BL335" s="126"/>
      <c r="BO335" s="268">
        <f t="shared" si="739"/>
        <v>1.80922047458845E-3</v>
      </c>
    </row>
    <row r="336" spans="1:69">
      <c r="A336" s="5" t="s">
        <v>486</v>
      </c>
      <c r="B336" s="126"/>
      <c r="C336" s="126"/>
      <c r="D336" s="126"/>
      <c r="E336" s="126"/>
      <c r="F336" s="126"/>
      <c r="G336" s="126"/>
      <c r="H336" s="126"/>
      <c r="I336" s="126"/>
      <c r="J336" s="126"/>
      <c r="K336" s="126"/>
      <c r="L336" s="126"/>
      <c r="M336" s="127"/>
      <c r="N336" s="126"/>
      <c r="O336" s="126"/>
      <c r="P336" s="126"/>
      <c r="Q336" s="126"/>
      <c r="R336" s="126"/>
      <c r="S336" s="126"/>
      <c r="T336" s="126"/>
      <c r="U336" s="126"/>
      <c r="V336" s="126"/>
      <c r="W336" s="126"/>
      <c r="X336" s="126"/>
      <c r="Y336" s="127"/>
      <c r="Z336" s="126"/>
      <c r="AA336" s="126"/>
      <c r="AB336" s="126"/>
      <c r="AC336" s="126"/>
      <c r="AD336" s="126"/>
      <c r="AE336" s="126"/>
      <c r="AF336" s="126">
        <v>0.121</v>
      </c>
      <c r="AG336" s="126">
        <v>0.122186</v>
      </c>
      <c r="AH336" s="126">
        <v>0.12117700000000001</v>
      </c>
      <c r="AI336" s="126">
        <v>0.32574900000000001</v>
      </c>
      <c r="AJ336" s="126">
        <v>0.42341400000000001</v>
      </c>
      <c r="AK336" s="127">
        <v>0.30293300000000001</v>
      </c>
      <c r="AL336" s="126">
        <v>0.41023900000000002</v>
      </c>
      <c r="AM336" s="126">
        <v>0.81293499999999996</v>
      </c>
      <c r="AN336" s="126">
        <v>0.71968500000000002</v>
      </c>
      <c r="AO336" s="126">
        <v>0.40340799999999999</v>
      </c>
      <c r="AP336" s="126">
        <v>0.32649170999999999</v>
      </c>
      <c r="AQ336" s="126">
        <v>0.11323184</v>
      </c>
      <c r="AR336" s="126">
        <v>7.0000000000000007E-2</v>
      </c>
      <c r="AS336" s="126">
        <v>0.201657</v>
      </c>
      <c r="AT336" s="126">
        <v>1.3748210000000001</v>
      </c>
      <c r="AU336" s="126">
        <v>1.1554720000000001</v>
      </c>
      <c r="AV336" s="126">
        <v>0.28659970000000001</v>
      </c>
      <c r="AW336" s="127">
        <v>0.54318500000000003</v>
      </c>
      <c r="AX336" s="126">
        <v>0.42381600000000003</v>
      </c>
      <c r="AY336" s="126">
        <v>0.77965600000000002</v>
      </c>
      <c r="AZ336" s="126">
        <v>0.86954699999999996</v>
      </c>
      <c r="BA336" s="126">
        <f t="shared" si="737"/>
        <v>0.41012499999999996</v>
      </c>
      <c r="BB336" s="126">
        <f t="shared" si="737"/>
        <v>0.37784299999999998</v>
      </c>
      <c r="BC336" s="126">
        <f t="shared" ref="BC336" si="747">BC282+BC309</f>
        <v>0.25214300000000001</v>
      </c>
      <c r="BD336" s="126"/>
      <c r="BE336" s="126"/>
      <c r="BF336" s="126"/>
      <c r="BG336" s="126"/>
      <c r="BH336" s="126"/>
      <c r="BI336" s="126"/>
      <c r="BJ336" s="126"/>
      <c r="BK336" s="126"/>
      <c r="BL336" s="126"/>
      <c r="BO336" s="268">
        <f t="shared" si="739"/>
        <v>1.7949335547484875E-3</v>
      </c>
    </row>
    <row r="337" spans="1:67">
      <c r="A337" s="5" t="s">
        <v>487</v>
      </c>
      <c r="B337" s="126"/>
      <c r="C337" s="126"/>
      <c r="D337" s="126"/>
      <c r="E337" s="126"/>
      <c r="F337" s="126"/>
      <c r="G337" s="126"/>
      <c r="H337" s="126"/>
      <c r="I337" s="126"/>
      <c r="J337" s="126"/>
      <c r="K337" s="126"/>
      <c r="L337" s="126"/>
      <c r="M337" s="127"/>
      <c r="N337" s="126"/>
      <c r="O337" s="126"/>
      <c r="P337" s="126"/>
      <c r="Q337" s="126"/>
      <c r="R337" s="126"/>
      <c r="S337" s="126"/>
      <c r="T337" s="126"/>
      <c r="U337" s="126"/>
      <c r="V337" s="126"/>
      <c r="W337" s="126"/>
      <c r="X337" s="126"/>
      <c r="Y337" s="127"/>
      <c r="Z337" s="126"/>
      <c r="AA337" s="126"/>
      <c r="AB337" s="126"/>
      <c r="AC337" s="126"/>
      <c r="AD337" s="126"/>
      <c r="AE337" s="126"/>
      <c r="AF337" s="126">
        <v>0</v>
      </c>
      <c r="AG337" s="126">
        <v>0</v>
      </c>
      <c r="AH337" s="126">
        <v>0</v>
      </c>
      <c r="AI337" s="126">
        <v>0.38329200000000002</v>
      </c>
      <c r="AJ337" s="126">
        <v>0.30349100000000001</v>
      </c>
      <c r="AK337" s="127">
        <v>0.45228499999999999</v>
      </c>
      <c r="AL337" s="126">
        <v>0.30355399999999999</v>
      </c>
      <c r="AM337" s="126">
        <v>8.6891999999999997E-2</v>
      </c>
      <c r="AN337" s="126">
        <v>0</v>
      </c>
      <c r="AO337" s="126">
        <v>0</v>
      </c>
      <c r="AP337" s="126">
        <v>0</v>
      </c>
      <c r="AQ337" s="126">
        <v>0</v>
      </c>
      <c r="AR337" s="126">
        <v>0</v>
      </c>
      <c r="AS337" s="126">
        <v>3.8911000000000001E-2</v>
      </c>
      <c r="AT337" s="126">
        <v>0.22961300000000001</v>
      </c>
      <c r="AU337" s="126">
        <v>0.44203700000000001</v>
      </c>
      <c r="AV337" s="126">
        <v>0.39582800000000001</v>
      </c>
      <c r="AW337" s="127">
        <v>0.464839</v>
      </c>
      <c r="AX337" s="126">
        <v>0.37482100000000002</v>
      </c>
      <c r="AY337" s="126">
        <v>0.16012199999999999</v>
      </c>
      <c r="AZ337" s="126">
        <v>1.2999999999999999E-5</v>
      </c>
      <c r="BA337" s="126">
        <f t="shared" si="737"/>
        <v>0</v>
      </c>
      <c r="BB337" s="126">
        <f t="shared" si="737"/>
        <v>0</v>
      </c>
      <c r="BC337" s="126">
        <f t="shared" ref="BC337" si="748">BC283+BC310</f>
        <v>0</v>
      </c>
      <c r="BD337" s="126"/>
      <c r="BE337" s="126"/>
      <c r="BF337" s="126"/>
      <c r="BG337" s="126"/>
      <c r="BH337" s="126"/>
      <c r="BI337" s="126"/>
      <c r="BJ337" s="126"/>
      <c r="BK337" s="126"/>
      <c r="BL337" s="126"/>
      <c r="BO337" s="268">
        <f t="shared" si="739"/>
        <v>5.6049461363908283E-4</v>
      </c>
    </row>
    <row r="338" spans="1:67">
      <c r="A338" s="5" t="s">
        <v>488</v>
      </c>
      <c r="B338" s="126"/>
      <c r="C338" s="126"/>
      <c r="D338" s="126"/>
      <c r="E338" s="126"/>
      <c r="F338" s="126"/>
      <c r="G338" s="126"/>
      <c r="H338" s="126"/>
      <c r="I338" s="126"/>
      <c r="J338" s="126"/>
      <c r="K338" s="126"/>
      <c r="L338" s="126"/>
      <c r="M338" s="127"/>
      <c r="N338" s="126"/>
      <c r="O338" s="126"/>
      <c r="P338" s="126"/>
      <c r="Q338" s="126"/>
      <c r="R338" s="126"/>
      <c r="S338" s="126"/>
      <c r="T338" s="126"/>
      <c r="U338" s="126"/>
      <c r="V338" s="126"/>
      <c r="W338" s="126"/>
      <c r="X338" s="126"/>
      <c r="Y338" s="127"/>
      <c r="Z338" s="126"/>
      <c r="AA338" s="126"/>
      <c r="AB338" s="126"/>
      <c r="AC338" s="126"/>
      <c r="AD338" s="126"/>
      <c r="AE338" s="126"/>
      <c r="AF338" s="126">
        <v>0.14399999999999999</v>
      </c>
      <c r="AG338" s="126">
        <v>4.0439000000000003E-2</v>
      </c>
      <c r="AH338" s="126">
        <v>0.50104000000000004</v>
      </c>
      <c r="AI338" s="126">
        <v>2.3182999999999999E-2</v>
      </c>
      <c r="AJ338" s="126">
        <v>2.1378999999999999E-2</v>
      </c>
      <c r="AK338" s="127">
        <v>1.0607999999999999E-2</v>
      </c>
      <c r="AL338" s="126">
        <v>2.162E-2</v>
      </c>
      <c r="AM338" s="126">
        <v>1.883E-2</v>
      </c>
      <c r="AN338" s="126">
        <v>7.6309999999999998E-3</v>
      </c>
      <c r="AO338" s="126">
        <v>1.8047000000000001E-2</v>
      </c>
      <c r="AP338" s="126">
        <v>0.18764049999999999</v>
      </c>
      <c r="AQ338" s="126">
        <v>0.19262768</v>
      </c>
      <c r="AR338" s="126">
        <v>0.88700000000000001</v>
      </c>
      <c r="AS338" s="126">
        <v>1.3190000000000001E-3</v>
      </c>
      <c r="AT338" s="126">
        <v>4.228E-3</v>
      </c>
      <c r="AU338" s="126">
        <v>4.5921999999999998E-2</v>
      </c>
      <c r="AV338" s="126">
        <v>5.2115000000000002E-2</v>
      </c>
      <c r="AW338" s="127">
        <v>2.6061000000000001E-2</v>
      </c>
      <c r="AX338" s="126">
        <v>0.830955</v>
      </c>
      <c r="AY338" s="126">
        <v>2.0454E-2</v>
      </c>
      <c r="AZ338" s="126">
        <v>2.1389999999999999E-2</v>
      </c>
      <c r="BA338" s="126">
        <f t="shared" si="737"/>
        <v>1.7349E-2</v>
      </c>
      <c r="BB338" s="126">
        <f t="shared" si="737"/>
        <v>2.2402999999999999E-2</v>
      </c>
      <c r="BC338" s="126">
        <f t="shared" ref="BC338" si="749">BC284+BC311</f>
        <v>2.9280999999999998E-2</v>
      </c>
      <c r="BD338" s="126"/>
      <c r="BE338" s="126"/>
      <c r="BF338" s="126"/>
      <c r="BG338" s="126"/>
      <c r="BH338" s="126"/>
      <c r="BI338" s="126"/>
      <c r="BJ338" s="126"/>
      <c r="BK338" s="126"/>
      <c r="BL338" s="126"/>
      <c r="BO338" s="268">
        <f t="shared" si="739"/>
        <v>5.2118704226982533E-4</v>
      </c>
    </row>
    <row r="339" spans="1:67">
      <c r="A339" s="5" t="s">
        <v>489</v>
      </c>
      <c r="B339" s="126"/>
      <c r="C339" s="126"/>
      <c r="D339" s="126"/>
      <c r="E339" s="126"/>
      <c r="F339" s="126"/>
      <c r="G339" s="126"/>
      <c r="H339" s="126"/>
      <c r="I339" s="126"/>
      <c r="J339" s="126"/>
      <c r="K339" s="126"/>
      <c r="L339" s="126"/>
      <c r="M339" s="127"/>
      <c r="N339" s="126"/>
      <c r="O339" s="126"/>
      <c r="P339" s="126"/>
      <c r="Q339" s="126"/>
      <c r="R339" s="126"/>
      <c r="S339" s="126"/>
      <c r="T339" s="126"/>
      <c r="U339" s="126"/>
      <c r="V339" s="126"/>
      <c r="W339" s="126"/>
      <c r="X339" s="126"/>
      <c r="Y339" s="127"/>
      <c r="Z339" s="126"/>
      <c r="AA339" s="126"/>
      <c r="AB339" s="126"/>
      <c r="AC339" s="126"/>
      <c r="AD339" s="126"/>
      <c r="AE339" s="126"/>
      <c r="AF339" s="126">
        <v>0</v>
      </c>
      <c r="AG339" s="126">
        <v>0</v>
      </c>
      <c r="AH339" s="126">
        <v>0</v>
      </c>
      <c r="AI339" s="126">
        <v>0</v>
      </c>
      <c r="AJ339" s="126">
        <v>0</v>
      </c>
      <c r="AK339" s="127">
        <v>0.15976399999999999</v>
      </c>
      <c r="AL339" s="126">
        <v>0.43214900000000001</v>
      </c>
      <c r="AM339" s="126">
        <v>0.360371</v>
      </c>
      <c r="AN339" s="126">
        <v>0.100887</v>
      </c>
      <c r="AO339" s="126">
        <v>0</v>
      </c>
      <c r="AP339" s="126">
        <v>0</v>
      </c>
      <c r="AQ339" s="126">
        <v>0</v>
      </c>
      <c r="AR339" s="126">
        <v>0</v>
      </c>
      <c r="AS339" s="126">
        <v>0</v>
      </c>
      <c r="AT339" s="126">
        <v>0</v>
      </c>
      <c r="AU339" s="126">
        <v>0</v>
      </c>
      <c r="AV339" s="126">
        <v>1.3672999999999999E-2</v>
      </c>
      <c r="AW339" s="127">
        <v>0.191694</v>
      </c>
      <c r="AX339" s="126">
        <v>0.34082200000000001</v>
      </c>
      <c r="AY339" s="126">
        <v>0.13556599999999999</v>
      </c>
      <c r="AZ339" s="126">
        <v>0.134599</v>
      </c>
      <c r="BA339" s="126">
        <f t="shared" si="737"/>
        <v>0</v>
      </c>
      <c r="BB339" s="126">
        <f t="shared" si="737"/>
        <v>0</v>
      </c>
      <c r="BC339" s="126">
        <f t="shared" ref="BC339" si="750">BC285+BC312</f>
        <v>0</v>
      </c>
      <c r="BD339" s="126"/>
      <c r="BE339" s="126"/>
      <c r="BF339" s="126"/>
      <c r="BG339" s="126"/>
      <c r="BH339" s="126"/>
      <c r="BI339" s="126"/>
      <c r="BJ339" s="126"/>
      <c r="BK339" s="126"/>
      <c r="BL339" s="126"/>
      <c r="BO339" s="268">
        <f t="shared" si="739"/>
        <v>2.1724693560615777E-4</v>
      </c>
    </row>
    <row r="340" spans="1:67">
      <c r="A340" s="5" t="s">
        <v>490</v>
      </c>
      <c r="B340" s="126"/>
      <c r="C340" s="126"/>
      <c r="D340" s="126"/>
      <c r="E340" s="126"/>
      <c r="F340" s="126"/>
      <c r="G340" s="126"/>
      <c r="H340" s="126"/>
      <c r="I340" s="126"/>
      <c r="J340" s="126"/>
      <c r="K340" s="126"/>
      <c r="L340" s="126"/>
      <c r="M340" s="127"/>
      <c r="N340" s="126"/>
      <c r="O340" s="126"/>
      <c r="P340" s="126"/>
      <c r="Q340" s="126"/>
      <c r="R340" s="126"/>
      <c r="S340" s="126"/>
      <c r="T340" s="126"/>
      <c r="U340" s="126"/>
      <c r="V340" s="126"/>
      <c r="W340" s="126"/>
      <c r="X340" s="126"/>
      <c r="Y340" s="127"/>
      <c r="Z340" s="126"/>
      <c r="AA340" s="126"/>
      <c r="AB340" s="126"/>
      <c r="AC340" s="126"/>
      <c r="AD340" s="126"/>
      <c r="AE340" s="126"/>
      <c r="AF340" s="126">
        <v>2.1999999999999999E-2</v>
      </c>
      <c r="AG340" s="126">
        <v>1.9642E-2</v>
      </c>
      <c r="AH340" s="126">
        <v>2.2922999999999999E-2</v>
      </c>
      <c r="AI340" s="126">
        <v>3.0171E-2</v>
      </c>
      <c r="AJ340" s="126">
        <v>0.115562</v>
      </c>
      <c r="AK340" s="127">
        <v>0.122789</v>
      </c>
      <c r="AL340" s="126">
        <v>5.5051999999999997E-2</v>
      </c>
      <c r="AM340" s="126">
        <v>3.3780999999999999E-2</v>
      </c>
      <c r="AN340" s="126">
        <v>4.0113000000000003E-2</v>
      </c>
      <c r="AO340" s="126">
        <v>3.6493999999999999E-2</v>
      </c>
      <c r="AP340" s="126">
        <v>0.28044449999999999</v>
      </c>
      <c r="AQ340" s="126">
        <v>3.0488000000000001E-2</v>
      </c>
      <c r="AR340" s="126">
        <v>3.3000000000000002E-2</v>
      </c>
      <c r="AS340" s="126">
        <v>2.7886999999999999E-2</v>
      </c>
      <c r="AT340" s="126">
        <v>2.2880000000000001E-2</v>
      </c>
      <c r="AU340" s="126">
        <v>4.6018000000000003E-2</v>
      </c>
      <c r="AV340" s="126">
        <v>4.3039000000000001E-2</v>
      </c>
      <c r="AW340" s="127">
        <v>2.0195999999999999E-2</v>
      </c>
      <c r="AX340" s="126">
        <v>1.4956000000000001E-2</v>
      </c>
      <c r="AY340" s="126">
        <v>1.1006E-2</v>
      </c>
      <c r="AZ340" s="126">
        <v>1.6625000000000001E-2</v>
      </c>
      <c r="BA340" s="126">
        <f t="shared" si="737"/>
        <v>1.1257E-2</v>
      </c>
      <c r="BB340" s="126">
        <f t="shared" si="737"/>
        <v>4.2902999999999997E-2</v>
      </c>
      <c r="BC340" s="126">
        <f t="shared" ref="BC340" si="751">BC286+BC313</f>
        <v>6.3449000000000005E-2</v>
      </c>
      <c r="BD340" s="126"/>
      <c r="BE340" s="126"/>
      <c r="BF340" s="126"/>
      <c r="BG340" s="126"/>
      <c r="BH340" s="126"/>
      <c r="BI340" s="126"/>
      <c r="BJ340" s="126"/>
      <c r="BK340" s="126"/>
      <c r="BL340" s="126"/>
      <c r="BO340" s="268">
        <f t="shared" si="739"/>
        <v>9.3997326658612094E-5</v>
      </c>
    </row>
    <row r="341" spans="1:67">
      <c r="A341" s="5" t="s">
        <v>491</v>
      </c>
      <c r="B341" s="126"/>
      <c r="C341" s="126"/>
      <c r="D341" s="126"/>
      <c r="E341" s="126"/>
      <c r="F341" s="126"/>
      <c r="G341" s="126"/>
      <c r="H341" s="126"/>
      <c r="I341" s="126"/>
      <c r="J341" s="126"/>
      <c r="K341" s="126"/>
      <c r="L341" s="126"/>
      <c r="M341" s="127"/>
      <c r="N341" s="126"/>
      <c r="O341" s="126"/>
      <c r="P341" s="126"/>
      <c r="Q341" s="126"/>
      <c r="R341" s="126"/>
      <c r="S341" s="126"/>
      <c r="T341" s="126"/>
      <c r="U341" s="126"/>
      <c r="V341" s="126"/>
      <c r="W341" s="126"/>
      <c r="X341" s="126"/>
      <c r="Y341" s="127"/>
      <c r="Z341" s="126"/>
      <c r="AA341" s="126"/>
      <c r="AB341" s="126"/>
      <c r="AC341" s="126"/>
      <c r="AD341" s="126"/>
      <c r="AE341" s="126"/>
      <c r="AF341" s="126">
        <v>0.23200000000000001</v>
      </c>
      <c r="AG341" s="126">
        <v>9.0774999999999995E-2</v>
      </c>
      <c r="AH341" s="126">
        <v>0</v>
      </c>
      <c r="AI341" s="126">
        <v>0</v>
      </c>
      <c r="AJ341" s="126">
        <v>0</v>
      </c>
      <c r="AK341" s="127">
        <v>0</v>
      </c>
      <c r="AL341" s="126">
        <v>0</v>
      </c>
      <c r="AM341" s="126">
        <v>0</v>
      </c>
      <c r="AN341" s="126">
        <v>0</v>
      </c>
      <c r="AO341" s="126">
        <v>0</v>
      </c>
      <c r="AP341" s="126">
        <v>0.30235380000000001</v>
      </c>
      <c r="AQ341" s="126">
        <v>5.0000000000000001E-3</v>
      </c>
      <c r="AR341" s="126">
        <v>4.0000000000000001E-3</v>
      </c>
      <c r="AS341" s="126">
        <v>7.3397000000000004E-2</v>
      </c>
      <c r="AT341" s="126">
        <v>0.15049599999999999</v>
      </c>
      <c r="AU341" s="126">
        <v>0</v>
      </c>
      <c r="AV341" s="126">
        <v>0</v>
      </c>
      <c r="AW341" s="127">
        <v>0</v>
      </c>
      <c r="AX341" s="126">
        <v>0</v>
      </c>
      <c r="AY341" s="126">
        <v>0</v>
      </c>
      <c r="AZ341" s="126">
        <v>0</v>
      </c>
      <c r="BA341" s="126">
        <f t="shared" si="737"/>
        <v>0</v>
      </c>
      <c r="BB341" s="126">
        <f t="shared" si="737"/>
        <v>1.6729000000000001E-2</v>
      </c>
      <c r="BC341" s="126">
        <f t="shared" ref="BC341" si="752">BC287+BC314</f>
        <v>2.7515000000000001E-2</v>
      </c>
      <c r="BD341" s="126"/>
      <c r="BE341" s="126"/>
      <c r="BF341" s="126"/>
      <c r="BG341" s="126"/>
      <c r="BH341" s="126"/>
      <c r="BI341" s="126"/>
      <c r="BJ341" s="126"/>
      <c r="BK341" s="126"/>
      <c r="BL341" s="126"/>
      <c r="BO341" s="268">
        <f t="shared" si="739"/>
        <v>7.2420701454335929E-5</v>
      </c>
    </row>
    <row r="342" spans="1:67">
      <c r="A342" s="5" t="s">
        <v>492</v>
      </c>
      <c r="B342" s="126"/>
      <c r="C342" s="126"/>
      <c r="D342" s="126"/>
      <c r="E342" s="126"/>
      <c r="F342" s="126"/>
      <c r="G342" s="126"/>
      <c r="H342" s="126"/>
      <c r="I342" s="126"/>
      <c r="J342" s="126"/>
      <c r="K342" s="126"/>
      <c r="L342" s="126"/>
      <c r="M342" s="127"/>
      <c r="N342" s="126"/>
      <c r="O342" s="126"/>
      <c r="P342" s="126"/>
      <c r="Q342" s="126"/>
      <c r="R342" s="126"/>
      <c r="S342" s="126"/>
      <c r="T342" s="126"/>
      <c r="U342" s="126"/>
      <c r="V342" s="126"/>
      <c r="W342" s="126"/>
      <c r="X342" s="126"/>
      <c r="Y342" s="127"/>
      <c r="Z342" s="126"/>
      <c r="AA342" s="126"/>
      <c r="AB342" s="126"/>
      <c r="AC342" s="126"/>
      <c r="AD342" s="126"/>
      <c r="AE342" s="126"/>
      <c r="AF342" s="126">
        <v>0</v>
      </c>
      <c r="AG342" s="126">
        <v>0.30742599999999998</v>
      </c>
      <c r="AH342" s="126">
        <v>0</v>
      </c>
      <c r="AI342" s="126">
        <v>0</v>
      </c>
      <c r="AJ342" s="126">
        <v>0</v>
      </c>
      <c r="AK342" s="127">
        <v>0</v>
      </c>
      <c r="AL342" s="126">
        <v>0</v>
      </c>
      <c r="AM342" s="126">
        <v>0</v>
      </c>
      <c r="AN342" s="126">
        <v>0</v>
      </c>
      <c r="AO342" s="126">
        <v>0</v>
      </c>
      <c r="AP342" s="126">
        <v>0</v>
      </c>
      <c r="AQ342" s="126">
        <v>0</v>
      </c>
      <c r="AR342" s="126">
        <v>0.44500000000000001</v>
      </c>
      <c r="AS342" s="126">
        <v>1.4E-5</v>
      </c>
      <c r="AT342" s="126">
        <v>0</v>
      </c>
      <c r="AU342" s="126">
        <v>0</v>
      </c>
      <c r="AV342" s="126">
        <v>0</v>
      </c>
      <c r="AW342" s="127">
        <v>0</v>
      </c>
      <c r="AX342" s="126">
        <v>0</v>
      </c>
      <c r="AY342" s="126">
        <v>0</v>
      </c>
      <c r="AZ342" s="126">
        <v>0</v>
      </c>
      <c r="BA342" s="126">
        <f t="shared" si="737"/>
        <v>0</v>
      </c>
      <c r="BB342" s="126">
        <f t="shared" si="737"/>
        <v>4.2902999999999997E-2</v>
      </c>
      <c r="BC342" s="126">
        <f t="shared" ref="BC342" si="753">BC288+BC315</f>
        <v>0</v>
      </c>
      <c r="BD342" s="126"/>
      <c r="BE342" s="126"/>
      <c r="BF342" s="126"/>
      <c r="BG342" s="126"/>
      <c r="BH342" s="126"/>
      <c r="BI342" s="126"/>
      <c r="BJ342" s="126"/>
      <c r="BK342" s="126"/>
      <c r="BL342" s="126"/>
      <c r="BO342" s="268">
        <f t="shared" si="739"/>
        <v>1.2984376028064992E-4</v>
      </c>
    </row>
    <row r="343" spans="1:67">
      <c r="A343" s="5" t="s">
        <v>493</v>
      </c>
      <c r="B343" s="126"/>
      <c r="C343" s="126"/>
      <c r="D343" s="126"/>
      <c r="E343" s="126"/>
      <c r="F343" s="126"/>
      <c r="G343" s="126"/>
      <c r="H343" s="126"/>
      <c r="I343" s="126"/>
      <c r="J343" s="126"/>
      <c r="K343" s="126"/>
      <c r="L343" s="126"/>
      <c r="M343" s="127"/>
      <c r="N343" s="126"/>
      <c r="O343" s="126"/>
      <c r="P343" s="126"/>
      <c r="Q343" s="126"/>
      <c r="R343" s="126"/>
      <c r="S343" s="126"/>
      <c r="T343" s="126"/>
      <c r="U343" s="126"/>
      <c r="V343" s="126"/>
      <c r="W343" s="126"/>
      <c r="X343" s="126"/>
      <c r="Y343" s="127"/>
      <c r="Z343" s="126"/>
      <c r="AA343" s="126"/>
      <c r="AB343" s="126"/>
      <c r="AC343" s="126"/>
      <c r="AD343" s="126"/>
      <c r="AE343" s="126"/>
      <c r="AF343" s="126">
        <v>1.0999999999999999E-2</v>
      </c>
      <c r="AG343" s="126">
        <v>1.0683E-2</v>
      </c>
      <c r="AH343" s="126">
        <v>8.371E-3</v>
      </c>
      <c r="AI343" s="126">
        <v>1.277E-2</v>
      </c>
      <c r="AJ343" s="126">
        <v>1.2775E-2</v>
      </c>
      <c r="AK343" s="127">
        <v>4.8310000000000002E-3</v>
      </c>
      <c r="AL343" s="126">
        <v>5.7869999999999996E-3</v>
      </c>
      <c r="AM343" s="126">
        <v>1.0928999999999999E-2</v>
      </c>
      <c r="AN343" s="126">
        <v>6.5970000000000004E-3</v>
      </c>
      <c r="AO343" s="126">
        <v>1.4442999999999999E-2</v>
      </c>
      <c r="AP343" s="126">
        <v>1.019454E-2</v>
      </c>
      <c r="AQ343" s="126">
        <v>1.6379000000000001E-2</v>
      </c>
      <c r="AR343" s="126">
        <v>1.2E-2</v>
      </c>
      <c r="AS343" s="126">
        <v>8.1939999999999999E-3</v>
      </c>
      <c r="AT343" s="126">
        <v>5.3200000000000001E-3</v>
      </c>
      <c r="AU343" s="126">
        <v>5.1700000000000001E-3</v>
      </c>
      <c r="AV343" s="126">
        <v>6.1970000000000003E-3</v>
      </c>
      <c r="AW343" s="127">
        <v>8.9890000000000005E-3</v>
      </c>
      <c r="AX343" s="126">
        <v>6.3290000000000004E-3</v>
      </c>
      <c r="AY343" s="126">
        <v>0</v>
      </c>
      <c r="AZ343" s="126">
        <v>1.2544E-2</v>
      </c>
      <c r="BA343" s="126">
        <f t="shared" si="737"/>
        <v>2.3485000000000002E-2</v>
      </c>
      <c r="BB343" s="126">
        <f t="shared" si="737"/>
        <v>1.3325999999999999E-2</v>
      </c>
      <c r="BC343" s="126">
        <f t="shared" ref="BC343" si="754">BC289+BC316</f>
        <v>1.4548000000000002E-2</v>
      </c>
      <c r="BD343" s="126"/>
      <c r="BE343" s="126"/>
      <c r="BF343" s="126"/>
      <c r="BG343" s="126"/>
      <c r="BH343" s="126"/>
      <c r="BI343" s="126"/>
      <c r="BJ343" s="126"/>
      <c r="BK343" s="126"/>
      <c r="BL343" s="126"/>
      <c r="BO343" s="268">
        <f t="shared" si="739"/>
        <v>3.0896894873726516E-5</v>
      </c>
    </row>
    <row r="344" spans="1:67">
      <c r="A344" s="5" t="s">
        <v>494</v>
      </c>
      <c r="B344" s="126"/>
      <c r="C344" s="126"/>
      <c r="D344" s="126"/>
      <c r="E344" s="126"/>
      <c r="F344" s="126"/>
      <c r="G344" s="126"/>
      <c r="H344" s="126"/>
      <c r="I344" s="126"/>
      <c r="J344" s="126"/>
      <c r="K344" s="126"/>
      <c r="L344" s="126"/>
      <c r="M344" s="127"/>
      <c r="N344" s="126"/>
      <c r="O344" s="126"/>
      <c r="P344" s="126"/>
      <c r="Q344" s="126"/>
      <c r="R344" s="126"/>
      <c r="S344" s="126"/>
      <c r="T344" s="126"/>
      <c r="U344" s="126"/>
      <c r="V344" s="126"/>
      <c r="W344" s="126"/>
      <c r="X344" s="126"/>
      <c r="Y344" s="127"/>
      <c r="Z344" s="126"/>
      <c r="AA344" s="126"/>
      <c r="AB344" s="126"/>
      <c r="AC344" s="126"/>
      <c r="AD344" s="126"/>
      <c r="AE344" s="126"/>
      <c r="AF344" s="126">
        <f>214.218-SUM(AF327:AF343)</f>
        <v>8.0000000000097771E-3</v>
      </c>
      <c r="AG344" s="126">
        <f>220.678-SUM(AG327:AG343)</f>
        <v>-2.3699999997006671E-4</v>
      </c>
      <c r="AH344" s="126">
        <v>0.5</v>
      </c>
      <c r="AI344" s="126">
        <f>427.91641-SUM(AI327:AI342)</f>
        <v>5.2453000000070915E-2</v>
      </c>
      <c r="AJ344" s="126">
        <f>449.808-SUM(AJ327:AJ342)</f>
        <v>9.5801999999935106E-2</v>
      </c>
      <c r="AK344" s="127">
        <f>353.350535-SUM(AK327:AK343)</f>
        <v>3.5334999999975025E-2</v>
      </c>
      <c r="AL344" s="126">
        <f>437.687394-SUM(AL327:AL343)</f>
        <v>0.43961000000001604</v>
      </c>
      <c r="AM344" s="126">
        <f>430.02821-(SUM(AM327:AM343))</f>
        <v>0.37276900000011892</v>
      </c>
      <c r="AN344" s="126">
        <f>350.416279-SUM(AN327:AN343)</f>
        <v>1.984160999999915</v>
      </c>
      <c r="AO344" s="126">
        <f t="shared" ref="AO344:AU344" si="755">AO261-SUM(AO327:AO343)</f>
        <v>1.5035999999895466E-2</v>
      </c>
      <c r="AP344" s="126">
        <f t="shared" si="755"/>
        <v>3.4054429999969216E-2</v>
      </c>
      <c r="AQ344" s="126">
        <f t="shared" si="755"/>
        <v>0.54448844000006602</v>
      </c>
      <c r="AR344" s="126">
        <f t="shared" si="755"/>
        <v>1.0800000000045884E-2</v>
      </c>
      <c r="AS344" s="126">
        <f t="shared" si="755"/>
        <v>2.269699999999375E-2</v>
      </c>
      <c r="AT344" s="126">
        <f t="shared" si="755"/>
        <v>-0.16318539999991799</v>
      </c>
      <c r="AU344" s="126">
        <f t="shared" si="755"/>
        <v>1.5974169999999503</v>
      </c>
      <c r="AV344" s="126">
        <f t="shared" ref="AV344:BA344" si="756">AV261-SUM(AV327:AV343)</f>
        <v>7.763130000006413E-2</v>
      </c>
      <c r="AW344" s="552">
        <f t="shared" si="756"/>
        <v>0.11309100000005401</v>
      </c>
      <c r="AX344" s="126">
        <f t="shared" si="756"/>
        <v>6.8163600000104907E-2</v>
      </c>
      <c r="AY344" s="126">
        <f t="shared" si="756"/>
        <v>0.53578399999997828</v>
      </c>
      <c r="AZ344" s="126">
        <f t="shared" si="756"/>
        <v>3.4105999999951564E-2</v>
      </c>
      <c r="BA344" s="126">
        <f t="shared" si="756"/>
        <v>1.9757000000026892E-2</v>
      </c>
      <c r="BB344" s="126">
        <f t="shared" ref="BB344:BC344" si="757">BB261-SUM(BB327:BB343)</f>
        <v>0.81528599999990092</v>
      </c>
      <c r="BC344" s="126">
        <f t="shared" si="757"/>
        <v>3.7659999999902993E-2</v>
      </c>
      <c r="BD344" s="126"/>
      <c r="BE344" s="126"/>
      <c r="BF344" s="126"/>
      <c r="BG344" s="126"/>
      <c r="BH344" s="126"/>
      <c r="BI344" s="126"/>
      <c r="BJ344" s="126"/>
      <c r="BK344" s="126"/>
      <c r="BL344" s="126"/>
      <c r="BO344" s="268">
        <f t="shared" si="739"/>
        <v>8.4338487675085115E-4</v>
      </c>
    </row>
    <row r="345" spans="1:67">
      <c r="A345" s="161" t="s">
        <v>256</v>
      </c>
      <c r="B345" s="162"/>
      <c r="C345" s="162"/>
      <c r="D345" s="162"/>
      <c r="E345" s="162"/>
      <c r="F345" s="162"/>
      <c r="G345" s="162"/>
      <c r="H345" s="163"/>
      <c r="I345" s="163"/>
      <c r="J345" s="163"/>
      <c r="K345" s="163"/>
      <c r="L345" s="163"/>
      <c r="M345" s="261"/>
      <c r="N345" s="164"/>
      <c r="O345" s="164"/>
      <c r="P345" s="164"/>
      <c r="Q345" s="164"/>
      <c r="R345" s="164"/>
      <c r="S345" s="164"/>
      <c r="T345" s="164"/>
      <c r="U345" s="164"/>
      <c r="V345" s="164"/>
      <c r="W345" s="164"/>
      <c r="X345" s="164"/>
      <c r="Y345" s="262"/>
      <c r="Z345" s="164"/>
      <c r="AA345" s="164"/>
      <c r="AB345" s="164"/>
      <c r="AC345" s="164"/>
      <c r="AD345" s="164"/>
      <c r="AE345" s="164"/>
      <c r="AF345" s="164">
        <f t="shared" ref="AF345:AR345" si="758">SUM(AF327:AF344)</f>
        <v>214.21799999999999</v>
      </c>
      <c r="AG345" s="164">
        <f t="shared" si="758"/>
        <v>220.678</v>
      </c>
      <c r="AH345" s="164">
        <f t="shared" si="758"/>
        <v>339.88814799999994</v>
      </c>
      <c r="AI345" s="164">
        <f t="shared" si="758"/>
        <v>427.92917999999997</v>
      </c>
      <c r="AJ345" s="164">
        <f t="shared" si="758"/>
        <v>449.82077499999997</v>
      </c>
      <c r="AK345" s="262">
        <f t="shared" si="758"/>
        <v>353.35053499999998</v>
      </c>
      <c r="AL345" s="164">
        <f t="shared" si="758"/>
        <v>437.68739399999998</v>
      </c>
      <c r="AM345" s="164">
        <f t="shared" si="758"/>
        <v>430.02821</v>
      </c>
      <c r="AN345" s="164">
        <f t="shared" si="758"/>
        <v>350.41627899999997</v>
      </c>
      <c r="AO345" s="164">
        <f t="shared" si="758"/>
        <v>364.517967</v>
      </c>
      <c r="AP345" s="164">
        <f t="shared" si="758"/>
        <v>337.91232924999997</v>
      </c>
      <c r="AQ345" s="164">
        <f t="shared" si="758"/>
        <v>164.68177270000001</v>
      </c>
      <c r="AR345" s="164">
        <f t="shared" si="758"/>
        <v>158.92780000000005</v>
      </c>
      <c r="AS345" s="164">
        <f>SUM(AS327:AS344)</f>
        <v>192.85607900000002</v>
      </c>
      <c r="AT345" s="164">
        <f>SUM(AT327:AT344)</f>
        <v>341.13899759999998</v>
      </c>
      <c r="AU345" s="164">
        <f>SUM(AU327:AU344)</f>
        <v>402.06846000000002</v>
      </c>
      <c r="AV345" s="164">
        <f t="shared" ref="AV345:AW345" si="759">SUM(AV327:AV344)</f>
        <v>347.55455900000004</v>
      </c>
      <c r="AW345" s="262">
        <f t="shared" si="759"/>
        <v>321.12065000000001</v>
      </c>
      <c r="AX345" s="164">
        <f t="shared" ref="AX345:AZ345" si="760">SUM(AX327:AX344)</f>
        <v>347.31802360000006</v>
      </c>
      <c r="AY345" s="164">
        <f t="shared" si="760"/>
        <v>340.71964200000002</v>
      </c>
      <c r="AZ345" s="164">
        <f t="shared" si="760"/>
        <v>376.25071199999991</v>
      </c>
      <c r="BA345" s="164">
        <f t="shared" ref="BA345:BB345" si="761">SUM(BA327:BA344)</f>
        <v>369.35689599999995</v>
      </c>
      <c r="BB345" s="164">
        <f t="shared" si="761"/>
        <v>299.83267799999999</v>
      </c>
      <c r="BC345" s="164">
        <f t="shared" ref="BC345" si="762">SUM(BC327:BC344)</f>
        <v>260.57939299999992</v>
      </c>
      <c r="BD345" s="126"/>
      <c r="BE345" s="126"/>
      <c r="BF345" s="126"/>
      <c r="BG345" s="126"/>
      <c r="BH345" s="126"/>
      <c r="BI345" s="126"/>
      <c r="BJ345" s="126"/>
      <c r="BK345" s="126"/>
      <c r="BL345" s="126"/>
      <c r="BO345" s="269">
        <f t="shared" si="739"/>
        <v>1</v>
      </c>
    </row>
    <row r="346" spans="1:67">
      <c r="A346" s="5"/>
      <c r="M346" s="115"/>
      <c r="Y346" s="115"/>
      <c r="AK346" s="115"/>
      <c r="AW346" s="115"/>
      <c r="BD346" s="126"/>
      <c r="BE346" s="126"/>
      <c r="BF346" s="126"/>
      <c r="BG346" s="126"/>
      <c r="BH346" s="126"/>
      <c r="BI346" s="126"/>
      <c r="BJ346" s="126"/>
      <c r="BK346" s="126"/>
      <c r="BL346" s="126"/>
      <c r="BO346" s="268"/>
    </row>
    <row r="347" spans="1:67">
      <c r="A347" s="214" t="s">
        <v>234</v>
      </c>
      <c r="B347" s="129"/>
      <c r="C347" s="129"/>
      <c r="D347" s="129"/>
      <c r="E347" s="129"/>
      <c r="F347" s="129"/>
      <c r="G347" s="129"/>
      <c r="H347" s="129"/>
      <c r="I347" s="129"/>
      <c r="J347" s="129"/>
      <c r="K347" s="129"/>
      <c r="L347" s="129"/>
      <c r="M347" s="263"/>
      <c r="N347" s="129"/>
      <c r="O347" s="129"/>
      <c r="P347" s="129"/>
      <c r="Q347" s="129"/>
      <c r="R347" s="129"/>
      <c r="S347" s="129"/>
      <c r="T347" s="129"/>
      <c r="U347" s="215"/>
      <c r="V347" s="129"/>
      <c r="W347" s="129"/>
      <c r="X347" s="129"/>
      <c r="Y347" s="263"/>
      <c r="Z347" s="129"/>
      <c r="AA347" s="129"/>
      <c r="AB347" s="129"/>
      <c r="AC347" s="129"/>
      <c r="AD347" s="129"/>
      <c r="AE347" s="129"/>
      <c r="AF347" s="215">
        <f>AF327/AF345</f>
        <v>0.88118645491975467</v>
      </c>
      <c r="AG347" s="215">
        <f t="shared" ref="AG347:AM347" si="763">AG327/AG345</f>
        <v>0.91380065072186623</v>
      </c>
      <c r="AH347" s="215">
        <f t="shared" si="763"/>
        <v>0.93886393473184615</v>
      </c>
      <c r="AI347" s="215">
        <f t="shared" si="763"/>
        <v>0.93600603726065135</v>
      </c>
      <c r="AJ347" s="215">
        <f t="shared" si="763"/>
        <v>0.93015304373169516</v>
      </c>
      <c r="AK347" s="264">
        <f t="shared" si="763"/>
        <v>0.91094424124757589</v>
      </c>
      <c r="AL347" s="215">
        <f t="shared" si="763"/>
        <v>0.89848816847578661</v>
      </c>
      <c r="AM347" s="215">
        <f t="shared" si="763"/>
        <v>0.92073261891353586</v>
      </c>
      <c r="AN347" s="215">
        <f t="shared" ref="AN347:AS347" si="764">AN327/AN345</f>
        <v>0.90193826297664681</v>
      </c>
      <c r="AO347" s="215">
        <f t="shared" si="764"/>
        <v>0.91310054683806585</v>
      </c>
      <c r="AP347" s="215">
        <f t="shared" si="764"/>
        <v>0.85342231089959575</v>
      </c>
      <c r="AQ347" s="215">
        <f t="shared" si="764"/>
        <v>0.70948473564737136</v>
      </c>
      <c r="AR347" s="215">
        <f t="shared" si="764"/>
        <v>0.81960487718322395</v>
      </c>
      <c r="AS347" s="215">
        <f t="shared" si="764"/>
        <v>0.90479170221022687</v>
      </c>
      <c r="AT347" s="215">
        <f>AT327/AT345</f>
        <v>0.9273127910486656</v>
      </c>
      <c r="AU347" s="215">
        <f>AU327/AU345</f>
        <v>0.91410615246965654</v>
      </c>
      <c r="AV347" s="215">
        <f t="shared" ref="AV347:AW347" si="765">AV327/AV345</f>
        <v>0.89040856460179529</v>
      </c>
      <c r="AW347" s="264">
        <f t="shared" si="765"/>
        <v>0.90642878307576913</v>
      </c>
      <c r="AX347" s="215">
        <f t="shared" ref="AX347:AZ347" si="766">AX327/AX345</f>
        <v>0.86756436615862376</v>
      </c>
      <c r="AY347" s="215">
        <f t="shared" si="766"/>
        <v>0.88351958000707209</v>
      </c>
      <c r="AZ347" s="215">
        <f t="shared" si="766"/>
        <v>0.90765683654041851</v>
      </c>
      <c r="BA347" s="215">
        <f t="shared" ref="BA347:BB347" si="767">BA327/BA345</f>
        <v>0.90727150522729116</v>
      </c>
      <c r="BB347" s="215">
        <f t="shared" si="767"/>
        <v>0.81629817547772432</v>
      </c>
      <c r="BC347" s="215">
        <f t="shared" ref="BC347" si="768">BC327/BC345</f>
        <v>0.77992811196701217</v>
      </c>
      <c r="BD347" s="126"/>
      <c r="BE347" s="126"/>
      <c r="BF347" s="126"/>
      <c r="BG347" s="126"/>
      <c r="BH347" s="126"/>
      <c r="BI347" s="126"/>
      <c r="BJ347" s="126"/>
      <c r="BK347" s="126"/>
      <c r="BL347" s="126"/>
      <c r="BO347" s="270">
        <f>BO327</f>
        <v>0.88248094801438537</v>
      </c>
    </row>
    <row r="348" spans="1:67" ht="16" thickBot="1">
      <c r="A348" s="217"/>
      <c r="B348" s="218"/>
      <c r="C348" s="218"/>
      <c r="D348" s="218"/>
      <c r="E348" s="218"/>
      <c r="F348" s="218"/>
      <c r="G348" s="218"/>
      <c r="H348" s="218"/>
      <c r="I348" s="218"/>
      <c r="J348" s="218"/>
      <c r="K348" s="218"/>
      <c r="L348" s="218"/>
      <c r="M348" s="219"/>
      <c r="N348" s="218"/>
      <c r="O348" s="218"/>
      <c r="P348" s="218"/>
      <c r="Q348" s="218"/>
      <c r="R348" s="218"/>
      <c r="S348" s="218"/>
      <c r="T348" s="218"/>
      <c r="U348" s="218"/>
      <c r="V348" s="218"/>
      <c r="W348" s="218"/>
      <c r="X348" s="218"/>
      <c r="Y348" s="219"/>
      <c r="Z348" s="218"/>
      <c r="AA348" s="218"/>
      <c r="AB348" s="218"/>
      <c r="AC348" s="218"/>
      <c r="AD348" s="218"/>
      <c r="AE348" s="218"/>
      <c r="AF348" s="218"/>
      <c r="AG348" s="218"/>
      <c r="AH348" s="218"/>
      <c r="AI348" s="218"/>
      <c r="AJ348" s="218"/>
      <c r="AK348" s="219"/>
      <c r="AL348" s="218"/>
      <c r="AM348" s="218"/>
      <c r="AN348" s="218"/>
      <c r="AO348" s="218"/>
      <c r="AP348" s="218"/>
      <c r="AQ348" s="218"/>
      <c r="AR348" s="218"/>
      <c r="AS348" s="218"/>
      <c r="AT348" s="218"/>
      <c r="AU348" s="218"/>
      <c r="AV348" s="218"/>
      <c r="AW348" s="219"/>
      <c r="AX348" s="218"/>
      <c r="AY348" s="218"/>
      <c r="AZ348" s="218"/>
      <c r="BA348" s="218"/>
      <c r="BB348" s="218"/>
      <c r="BC348" s="218"/>
      <c r="BD348" s="126"/>
      <c r="BE348" s="126"/>
      <c r="BF348" s="126"/>
      <c r="BG348" s="126"/>
      <c r="BH348" s="126"/>
      <c r="BI348" s="126"/>
      <c r="BJ348" s="126"/>
      <c r="BK348" s="126"/>
      <c r="BL348" s="126"/>
      <c r="BO348" s="355"/>
    </row>
    <row r="349" spans="1:67">
      <c r="BD349" s="126"/>
      <c r="BE349" s="126"/>
      <c r="BF349" s="126"/>
      <c r="BG349" s="126"/>
      <c r="BH349" s="126"/>
      <c r="BI349" s="126"/>
      <c r="BJ349" s="126"/>
      <c r="BK349" s="126"/>
      <c r="BL349" s="126"/>
    </row>
    <row r="350" spans="1:67">
      <c r="BH350" s="126"/>
      <c r="BI350" s="126"/>
      <c r="BJ350" s="126"/>
      <c r="BK350" s="126"/>
      <c r="BL350" s="126"/>
    </row>
    <row r="351" spans="1:67">
      <c r="A351" s="98" t="s">
        <v>117</v>
      </c>
      <c r="BH351" s="126"/>
      <c r="BI351" s="126"/>
      <c r="BJ351" s="126"/>
      <c r="BK351" s="126"/>
      <c r="BL351" s="126"/>
    </row>
    <row r="352" spans="1:67" ht="16" thickBot="1">
      <c r="BH352" s="126"/>
      <c r="BI352" s="126"/>
      <c r="BJ352" s="126"/>
      <c r="BK352" s="126"/>
      <c r="BL352" s="126"/>
    </row>
    <row r="353" spans="1:67" ht="16">
      <c r="A353" s="100" t="s">
        <v>286</v>
      </c>
      <c r="B353" s="101">
        <v>39448</v>
      </c>
      <c r="C353" s="101">
        <v>39479</v>
      </c>
      <c r="D353" s="101">
        <v>39508</v>
      </c>
      <c r="E353" s="101">
        <v>39539</v>
      </c>
      <c r="F353" s="101">
        <v>39569</v>
      </c>
      <c r="G353" s="101">
        <v>39600</v>
      </c>
      <c r="H353" s="101">
        <v>39630</v>
      </c>
      <c r="I353" s="101">
        <v>39661</v>
      </c>
      <c r="J353" s="101">
        <v>39692</v>
      </c>
      <c r="K353" s="101">
        <v>39722</v>
      </c>
      <c r="L353" s="101">
        <v>39753</v>
      </c>
      <c r="M353" s="102">
        <v>39783</v>
      </c>
      <c r="N353" s="101">
        <v>39814</v>
      </c>
      <c r="O353" s="101">
        <v>39845</v>
      </c>
      <c r="P353" s="101">
        <v>39873</v>
      </c>
      <c r="Q353" s="101">
        <v>39904</v>
      </c>
      <c r="R353" s="101">
        <v>39934</v>
      </c>
      <c r="S353" s="101">
        <v>39965</v>
      </c>
      <c r="T353" s="101">
        <v>39995</v>
      </c>
      <c r="U353" s="101">
        <v>40026</v>
      </c>
      <c r="V353" s="101">
        <v>40057</v>
      </c>
      <c r="W353" s="101">
        <v>40087</v>
      </c>
      <c r="X353" s="101">
        <v>40118</v>
      </c>
      <c r="Y353" s="102">
        <v>40148</v>
      </c>
      <c r="Z353" s="101">
        <v>40179</v>
      </c>
      <c r="AA353" s="101">
        <v>40210</v>
      </c>
      <c r="AB353" s="101">
        <v>40238</v>
      </c>
      <c r="AC353" s="101">
        <v>40269</v>
      </c>
      <c r="AD353" s="101">
        <v>40299</v>
      </c>
      <c r="AE353" s="101">
        <v>40330</v>
      </c>
      <c r="AF353" s="101">
        <v>40360</v>
      </c>
      <c r="AG353" s="101">
        <v>40391</v>
      </c>
      <c r="AH353" s="101">
        <v>40422</v>
      </c>
      <c r="AI353" s="101">
        <v>40452</v>
      </c>
      <c r="AJ353" s="101">
        <v>40483</v>
      </c>
      <c r="AK353" s="102">
        <v>40513</v>
      </c>
      <c r="AL353" s="101">
        <v>40544</v>
      </c>
      <c r="AM353" s="101">
        <v>40575</v>
      </c>
      <c r="AN353" s="101">
        <v>40603</v>
      </c>
      <c r="AO353" s="101">
        <v>40634</v>
      </c>
      <c r="AP353" s="101">
        <v>40664</v>
      </c>
      <c r="AQ353" s="101">
        <v>40695</v>
      </c>
      <c r="AR353" s="101">
        <v>40725</v>
      </c>
      <c r="AS353" s="101">
        <v>40756</v>
      </c>
      <c r="AT353" s="101">
        <v>40787</v>
      </c>
      <c r="AU353" s="101">
        <v>40817</v>
      </c>
      <c r="AV353" s="101">
        <v>40848</v>
      </c>
      <c r="AW353" s="102">
        <v>40878</v>
      </c>
      <c r="AX353" s="101">
        <v>40909</v>
      </c>
      <c r="AY353" s="101">
        <v>40940</v>
      </c>
      <c r="AZ353" s="101">
        <v>40969</v>
      </c>
      <c r="BA353" s="101">
        <v>41000</v>
      </c>
      <c r="BB353" s="101">
        <v>41030</v>
      </c>
      <c r="BC353" s="101">
        <v>41061</v>
      </c>
      <c r="BD353" s="101">
        <v>41091</v>
      </c>
      <c r="BE353" s="101">
        <v>41122</v>
      </c>
      <c r="BF353" s="101">
        <v>41153</v>
      </c>
      <c r="BG353" s="101">
        <v>41183</v>
      </c>
      <c r="BH353" s="126"/>
      <c r="BI353" s="126"/>
      <c r="BJ353" s="126"/>
      <c r="BK353" s="126"/>
      <c r="BL353" s="126"/>
      <c r="BO353" s="362" t="s">
        <v>371</v>
      </c>
    </row>
    <row r="354" spans="1:67">
      <c r="A354" s="75"/>
      <c r="M354" s="115"/>
      <c r="Y354" s="115"/>
      <c r="AK354" s="115"/>
      <c r="AW354" s="115"/>
      <c r="BH354" s="126"/>
      <c r="BI354" s="126"/>
      <c r="BJ354" s="126"/>
      <c r="BK354" s="126"/>
      <c r="BL354" s="126"/>
      <c r="BO354" s="267"/>
    </row>
    <row r="355" spans="1:67">
      <c r="A355" s="5" t="s">
        <v>172</v>
      </c>
      <c r="B355" s="126"/>
      <c r="C355" s="126"/>
      <c r="D355" s="126"/>
      <c r="E355" s="126"/>
      <c r="F355" s="126"/>
      <c r="G355" s="126"/>
      <c r="H355" s="126"/>
      <c r="I355" s="126"/>
      <c r="J355" s="126"/>
      <c r="K355" s="126"/>
      <c r="L355" s="126"/>
      <c r="M355" s="127"/>
      <c r="N355" s="126"/>
      <c r="O355" s="126"/>
      <c r="P355" s="126"/>
      <c r="Q355" s="126"/>
      <c r="R355" s="126"/>
      <c r="S355" s="126"/>
      <c r="T355" s="126"/>
      <c r="U355" s="126"/>
      <c r="V355" s="126"/>
      <c r="W355" s="126"/>
      <c r="X355" s="126"/>
      <c r="Y355" s="127"/>
      <c r="Z355" s="126"/>
      <c r="AA355" s="126"/>
      <c r="AB355" s="126"/>
      <c r="AC355" s="126"/>
      <c r="AD355" s="126"/>
      <c r="AE355" s="126"/>
      <c r="AF355" s="126"/>
      <c r="AG355" s="126"/>
      <c r="AH355" s="126"/>
      <c r="AI355" s="126"/>
      <c r="AJ355" s="126"/>
      <c r="AK355" s="127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>
        <f>314.7551*0.3056</f>
        <v>96.18915856000001</v>
      </c>
      <c r="AW355" s="127">
        <f>294.106417*0.3098</f>
        <v>91.114167986600009</v>
      </c>
      <c r="AX355" s="126">
        <f>316.3599706*0.31</f>
        <v>98.071590885999996</v>
      </c>
      <c r="AY355" s="126"/>
      <c r="AZ355" s="126">
        <f>AZ$372*0.3196</f>
        <v>108.51269592679996</v>
      </c>
      <c r="BA355" s="126">
        <f>BA$372*0.3168</f>
        <v>104.74180041599999</v>
      </c>
      <c r="BB355" s="126">
        <f>BB$372*0.3061</f>
        <v>80.6617890622</v>
      </c>
      <c r="BC355" s="126">
        <f>BC$372*0.3141</f>
        <v>65.888854371000008</v>
      </c>
      <c r="BD355" s="126"/>
      <c r="BE355" s="126"/>
      <c r="BF355" s="126"/>
      <c r="BG355" s="126"/>
      <c r="BH355" s="126"/>
      <c r="BI355" s="126"/>
      <c r="BJ355" s="126"/>
      <c r="BK355" s="126"/>
      <c r="BL355" s="126"/>
      <c r="BO355" s="268">
        <f t="shared" ref="BO355:BO365" si="769">SUM(AR355:BC355)/SUM(AR$372:BC$372)</f>
        <v>0.27161876994472717</v>
      </c>
    </row>
    <row r="356" spans="1:67">
      <c r="A356" s="5" t="s">
        <v>247</v>
      </c>
      <c r="B356" s="126"/>
      <c r="C356" s="126"/>
      <c r="D356" s="126"/>
      <c r="E356" s="126"/>
      <c r="F356" s="126"/>
      <c r="G356" s="126"/>
      <c r="H356" s="126"/>
      <c r="I356" s="126"/>
      <c r="J356" s="126"/>
      <c r="K356" s="126"/>
      <c r="L356" s="126"/>
      <c r="M356" s="127"/>
      <c r="N356" s="126"/>
      <c r="O356" s="126"/>
      <c r="P356" s="126"/>
      <c r="Q356" s="126"/>
      <c r="R356" s="126"/>
      <c r="S356" s="126"/>
      <c r="T356" s="126"/>
      <c r="U356" s="126"/>
      <c r="V356" s="126"/>
      <c r="W356" s="126"/>
      <c r="X356" s="126"/>
      <c r="Y356" s="127"/>
      <c r="Z356" s="126"/>
      <c r="AA356" s="126"/>
      <c r="AB356" s="126"/>
      <c r="AC356" s="126"/>
      <c r="AD356" s="126"/>
      <c r="AE356" s="126"/>
      <c r="AF356" s="126"/>
      <c r="AG356" s="126"/>
      <c r="AH356" s="126"/>
      <c r="AI356" s="126"/>
      <c r="AJ356" s="126"/>
      <c r="AK356" s="127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>
        <f>314.7551*0.2245</f>
        <v>70.662519950000004</v>
      </c>
      <c r="AW356" s="127">
        <f>294.106417*0.2183</f>
        <v>64.203430831100007</v>
      </c>
      <c r="AX356" s="126">
        <f>316.3599706*0.2182</f>
        <v>69.029745584920008</v>
      </c>
      <c r="AY356" s="126"/>
      <c r="AZ356" s="126">
        <f>AZ$372*0.2103</f>
        <v>71.402440404899977</v>
      </c>
      <c r="BA356" s="126">
        <f>BA$372*0.2072</f>
        <v>68.505369463999983</v>
      </c>
      <c r="BB356" s="126">
        <f>BB$372*0.2081</f>
        <v>54.837367866199997</v>
      </c>
      <c r="BC356" s="126">
        <f>BC$372*0.2046</f>
        <v>42.919005426000005</v>
      </c>
      <c r="BD356" s="126"/>
      <c r="BE356" s="126"/>
      <c r="BF356" s="126"/>
      <c r="BG356" s="126"/>
      <c r="BH356" s="126"/>
      <c r="BI356" s="126"/>
      <c r="BJ356" s="126"/>
      <c r="BK356" s="126"/>
      <c r="BL356" s="126"/>
      <c r="BO356" s="268">
        <f t="shared" si="769"/>
        <v>0.18589531711969903</v>
      </c>
    </row>
    <row r="357" spans="1:67">
      <c r="A357" s="5" t="s">
        <v>118</v>
      </c>
      <c r="B357" s="126"/>
      <c r="C357" s="126"/>
      <c r="D357" s="126"/>
      <c r="E357" s="126"/>
      <c r="F357" s="126"/>
      <c r="G357" s="126"/>
      <c r="H357" s="126"/>
      <c r="I357" s="126"/>
      <c r="J357" s="126"/>
      <c r="K357" s="126"/>
      <c r="L357" s="126"/>
      <c r="M357" s="127"/>
      <c r="N357" s="126"/>
      <c r="O357" s="126"/>
      <c r="P357" s="126"/>
      <c r="Q357" s="126"/>
      <c r="R357" s="126"/>
      <c r="S357" s="126"/>
      <c r="T357" s="126"/>
      <c r="U357" s="126"/>
      <c r="V357" s="126"/>
      <c r="W357" s="126"/>
      <c r="X357" s="126"/>
      <c r="Y357" s="127"/>
      <c r="Z357" s="126"/>
      <c r="AA357" s="126"/>
      <c r="AB357" s="126"/>
      <c r="AC357" s="126"/>
      <c r="AD357" s="126"/>
      <c r="AE357" s="126"/>
      <c r="AF357" s="126"/>
      <c r="AG357" s="126"/>
      <c r="AH357" s="126"/>
      <c r="AI357" s="126"/>
      <c r="AJ357" s="126"/>
      <c r="AK357" s="127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>
        <f>314.7551*0.1274</f>
        <v>40.099799740000009</v>
      </c>
      <c r="AW357" s="127">
        <f>294.106417*0.1282</f>
        <v>37.704442659400009</v>
      </c>
      <c r="AX357" s="126">
        <f>316.3599706*0.1274</f>
        <v>40.304260254440003</v>
      </c>
      <c r="AY357" s="126"/>
      <c r="AZ357" s="126">
        <f>AZ$372*0.13</f>
        <v>44.138455789999988</v>
      </c>
      <c r="BA357" s="126">
        <f>BA$372*0.1364</f>
        <v>45.097164067999991</v>
      </c>
      <c r="BB357" s="126">
        <f>BB$372*0.1321</f>
        <v>34.8102657142</v>
      </c>
      <c r="BC357" s="126">
        <f>BC$372*0.1292</f>
        <v>27.102324052000004</v>
      </c>
      <c r="BD357" s="126"/>
      <c r="BE357" s="126"/>
      <c r="BF357" s="126"/>
      <c r="BG357" s="126"/>
      <c r="BH357" s="126"/>
      <c r="BI357" s="126"/>
      <c r="BJ357" s="126"/>
      <c r="BK357" s="126"/>
      <c r="BL357" s="126"/>
      <c r="BO357" s="268">
        <f t="shared" si="769"/>
        <v>0.11335622694964431</v>
      </c>
    </row>
    <row r="358" spans="1:67">
      <c r="A358" s="5" t="s">
        <v>215</v>
      </c>
      <c r="B358" s="126"/>
      <c r="C358" s="126"/>
      <c r="D358" s="126"/>
      <c r="E358" s="126"/>
      <c r="F358" s="126"/>
      <c r="G358" s="126"/>
      <c r="H358" s="126"/>
      <c r="I358" s="126"/>
      <c r="J358" s="126"/>
      <c r="K358" s="126"/>
      <c r="L358" s="126"/>
      <c r="M358" s="127"/>
      <c r="N358" s="126"/>
      <c r="O358" s="126"/>
      <c r="P358" s="126"/>
      <c r="Q358" s="126"/>
      <c r="R358" s="126"/>
      <c r="S358" s="126"/>
      <c r="T358" s="126"/>
      <c r="U358" s="126"/>
      <c r="V358" s="126"/>
      <c r="W358" s="126"/>
      <c r="X358" s="126"/>
      <c r="Y358" s="127"/>
      <c r="Z358" s="126"/>
      <c r="AA358" s="126"/>
      <c r="AB358" s="126"/>
      <c r="AC358" s="126"/>
      <c r="AD358" s="126"/>
      <c r="AE358" s="126"/>
      <c r="AF358" s="126"/>
      <c r="AG358" s="126"/>
      <c r="AH358" s="126"/>
      <c r="AI358" s="126"/>
      <c r="AJ358" s="126"/>
      <c r="AK358" s="127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>
        <f>314.7551*0.0697</f>
        <v>21.93843047</v>
      </c>
      <c r="AW358" s="127">
        <f>294.106417*0.0696</f>
        <v>20.4698066232</v>
      </c>
      <c r="AX358" s="126">
        <f>316.3599706*0.0684</f>
        <v>21.63902198904</v>
      </c>
      <c r="AY358" s="126"/>
      <c r="AZ358" s="126">
        <f>AZ$372*0.0702</f>
        <v>23.834766126599991</v>
      </c>
      <c r="BA358" s="126">
        <f>BA$372*0.0698</f>
        <v>23.077581025999997</v>
      </c>
      <c r="BB358" s="126">
        <f>BB$372*0.0642</f>
        <v>16.917631028399999</v>
      </c>
      <c r="BC358" s="126">
        <f>BC$372*0.0654</f>
        <v>13.718978274000001</v>
      </c>
      <c r="BD358" s="126"/>
      <c r="BE358" s="126"/>
      <c r="BF358" s="126"/>
      <c r="BG358" s="126"/>
      <c r="BH358" s="126"/>
      <c r="BI358" s="126"/>
      <c r="BJ358" s="126"/>
      <c r="BK358" s="126"/>
      <c r="BL358" s="126"/>
      <c r="BO358" s="268">
        <f t="shared" si="769"/>
        <v>5.9611560313028431E-2</v>
      </c>
    </row>
    <row r="359" spans="1:67">
      <c r="A359" s="5" t="s">
        <v>170</v>
      </c>
      <c r="B359" s="126"/>
      <c r="C359" s="126"/>
      <c r="D359" s="126"/>
      <c r="E359" s="126"/>
      <c r="F359" s="126"/>
      <c r="G359" s="126"/>
      <c r="H359" s="126"/>
      <c r="I359" s="126"/>
      <c r="J359" s="126"/>
      <c r="K359" s="126"/>
      <c r="L359" s="126"/>
      <c r="M359" s="127"/>
      <c r="N359" s="126"/>
      <c r="O359" s="126"/>
      <c r="P359" s="126"/>
      <c r="Q359" s="126"/>
      <c r="R359" s="126"/>
      <c r="S359" s="126"/>
      <c r="T359" s="126"/>
      <c r="U359" s="126"/>
      <c r="V359" s="126"/>
      <c r="W359" s="126"/>
      <c r="X359" s="126"/>
      <c r="Y359" s="127"/>
      <c r="Z359" s="126"/>
      <c r="AA359" s="126"/>
      <c r="AB359" s="126"/>
      <c r="AC359" s="126"/>
      <c r="AD359" s="126"/>
      <c r="AE359" s="126"/>
      <c r="AF359" s="126"/>
      <c r="AG359" s="126"/>
      <c r="AH359" s="126"/>
      <c r="AI359" s="126"/>
      <c r="AJ359" s="126"/>
      <c r="AK359" s="127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>
        <f>314.7551*0.0659</f>
        <v>20.742361090000003</v>
      </c>
      <c r="AW359" s="127">
        <f>294.106417*0.0649</f>
        <v>19.087506463300002</v>
      </c>
      <c r="AX359" s="126">
        <f>316.3599706*0.0561</f>
        <v>17.747794350659998</v>
      </c>
      <c r="AY359" s="126"/>
      <c r="AZ359" s="126">
        <f>AZ$372*0.0562</f>
        <v>19.081393964599993</v>
      </c>
      <c r="BA359" s="126">
        <f>BA$372*0.057</f>
        <v>18.845589089999997</v>
      </c>
      <c r="BB359" s="126">
        <f>BB$372*0.051</f>
        <v>13.439239601999999</v>
      </c>
      <c r="BC359" s="126">
        <f>BC$372*0.0355</f>
        <v>7.4468460050000003</v>
      </c>
      <c r="BD359" s="126"/>
      <c r="BE359" s="126"/>
      <c r="BF359" s="126"/>
      <c r="BG359" s="126"/>
      <c r="BH359" s="126"/>
      <c r="BI359" s="126"/>
      <c r="BJ359" s="126"/>
      <c r="BK359" s="126"/>
      <c r="BL359" s="126"/>
      <c r="BO359" s="268">
        <f t="shared" si="769"/>
        <v>4.9000130608445235E-2</v>
      </c>
    </row>
    <row r="360" spans="1:67">
      <c r="A360" s="5" t="s">
        <v>370</v>
      </c>
      <c r="B360" s="126"/>
      <c r="C360" s="126"/>
      <c r="D360" s="126"/>
      <c r="E360" s="126"/>
      <c r="F360" s="126"/>
      <c r="G360" s="126"/>
      <c r="H360" s="126"/>
      <c r="I360" s="126"/>
      <c r="J360" s="126"/>
      <c r="K360" s="126"/>
      <c r="L360" s="126"/>
      <c r="M360" s="127"/>
      <c r="N360" s="126"/>
      <c r="O360" s="126"/>
      <c r="P360" s="126"/>
      <c r="Q360" s="126"/>
      <c r="R360" s="126"/>
      <c r="S360" s="126"/>
      <c r="T360" s="126"/>
      <c r="U360" s="126"/>
      <c r="V360" s="126"/>
      <c r="W360" s="126"/>
      <c r="X360" s="126"/>
      <c r="Y360" s="127"/>
      <c r="Z360" s="126"/>
      <c r="AA360" s="126"/>
      <c r="AB360" s="126"/>
      <c r="AC360" s="126"/>
      <c r="AD360" s="126"/>
      <c r="AE360" s="126"/>
      <c r="AF360" s="126"/>
      <c r="AG360" s="126"/>
      <c r="AH360" s="126"/>
      <c r="AI360" s="126"/>
      <c r="AJ360" s="126"/>
      <c r="AK360" s="127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>
        <f>314.7551*0.0615</f>
        <v>19.357438650000002</v>
      </c>
      <c r="AW360" s="127">
        <f>294.106417*0.0626</f>
        <v>18.411061704200002</v>
      </c>
      <c r="AX360" s="126">
        <f>316.3599706*0.0652</f>
        <v>20.626670083119997</v>
      </c>
      <c r="AY360" s="126"/>
      <c r="AZ360" s="126">
        <f>AZ$372*0.0655</f>
        <v>22.238991186499995</v>
      </c>
      <c r="BA360" s="126">
        <f>BA$372*0.0687</f>
        <v>22.713894218999997</v>
      </c>
      <c r="BB360" s="126">
        <f>BB$372*0.0702</f>
        <v>18.4987180404</v>
      </c>
      <c r="BC360" s="126">
        <f>BC$372*0.0637</f>
        <v>13.362368747000003</v>
      </c>
      <c r="BD360" s="126"/>
      <c r="BE360" s="126"/>
      <c r="BF360" s="126"/>
      <c r="BG360" s="126"/>
      <c r="BH360" s="126"/>
      <c r="BI360" s="126"/>
      <c r="BJ360" s="126"/>
      <c r="BK360" s="126"/>
      <c r="BL360" s="126"/>
      <c r="BO360" s="268">
        <f t="shared" si="769"/>
        <v>5.6922622756498925E-2</v>
      </c>
    </row>
    <row r="361" spans="1:67">
      <c r="A361" s="5" t="s">
        <v>200</v>
      </c>
      <c r="B361" s="126"/>
      <c r="C361" s="126"/>
      <c r="D361" s="126"/>
      <c r="E361" s="126"/>
      <c r="F361" s="126"/>
      <c r="G361" s="126"/>
      <c r="H361" s="126"/>
      <c r="I361" s="126"/>
      <c r="J361" s="126"/>
      <c r="K361" s="126"/>
      <c r="L361" s="126"/>
      <c r="M361" s="127"/>
      <c r="N361" s="126"/>
      <c r="O361" s="126"/>
      <c r="P361" s="126"/>
      <c r="Q361" s="126"/>
      <c r="R361" s="126"/>
      <c r="S361" s="126"/>
      <c r="T361" s="126"/>
      <c r="U361" s="126"/>
      <c r="V361" s="126"/>
      <c r="W361" s="126"/>
      <c r="X361" s="126"/>
      <c r="Y361" s="127"/>
      <c r="Z361" s="126"/>
      <c r="AA361" s="126"/>
      <c r="AB361" s="126"/>
      <c r="AC361" s="126"/>
      <c r="AD361" s="126"/>
      <c r="AE361" s="126"/>
      <c r="AF361" s="126"/>
      <c r="AG361" s="126"/>
      <c r="AH361" s="126"/>
      <c r="AI361" s="126"/>
      <c r="AJ361" s="126"/>
      <c r="AK361" s="127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>
        <f>314.7551*0.0488</f>
        <v>15.360048880000003</v>
      </c>
      <c r="AW361" s="127">
        <f>294.106417*0.0492</f>
        <v>14.470035716400002</v>
      </c>
      <c r="AX361" s="126">
        <f>316.3599706*0.0498</f>
        <v>15.75472653588</v>
      </c>
      <c r="AY361" s="126"/>
      <c r="AZ361" s="126">
        <f>AZ$372*0.0407</f>
        <v>13.818731928099997</v>
      </c>
      <c r="BA361" s="126">
        <f>BA$372*0.0344</f>
        <v>11.373478327999997</v>
      </c>
      <c r="BB361" s="126">
        <f>BB$372*0.0351</f>
        <v>9.2493590202</v>
      </c>
      <c r="BC361" s="126">
        <f>BC$372*0.0355</f>
        <v>7.4468460050000003</v>
      </c>
      <c r="BD361" s="126"/>
      <c r="BE361" s="126"/>
      <c r="BF361" s="126"/>
      <c r="BG361" s="126"/>
      <c r="BH361" s="126"/>
      <c r="BI361" s="126"/>
      <c r="BJ361" s="126"/>
      <c r="BK361" s="126"/>
      <c r="BL361" s="126"/>
      <c r="BO361" s="268">
        <f t="shared" si="769"/>
        <v>3.6825952532304224E-2</v>
      </c>
    </row>
    <row r="362" spans="1:67">
      <c r="A362" s="5" t="s">
        <v>119</v>
      </c>
      <c r="B362" s="126"/>
      <c r="C362" s="126"/>
      <c r="D362" s="126"/>
      <c r="E362" s="126"/>
      <c r="F362" s="126"/>
      <c r="G362" s="126"/>
      <c r="H362" s="126"/>
      <c r="I362" s="126"/>
      <c r="J362" s="126"/>
      <c r="K362" s="126"/>
      <c r="L362" s="126"/>
      <c r="M362" s="127"/>
      <c r="N362" s="126"/>
      <c r="O362" s="126"/>
      <c r="P362" s="126"/>
      <c r="Q362" s="126"/>
      <c r="R362" s="126"/>
      <c r="S362" s="126"/>
      <c r="T362" s="126"/>
      <c r="U362" s="126"/>
      <c r="V362" s="126"/>
      <c r="W362" s="126"/>
      <c r="X362" s="126"/>
      <c r="Y362" s="127"/>
      <c r="Z362" s="126"/>
      <c r="AA362" s="126"/>
      <c r="AB362" s="126"/>
      <c r="AC362" s="126"/>
      <c r="AD362" s="126"/>
      <c r="AE362" s="126"/>
      <c r="AF362" s="126"/>
      <c r="AG362" s="126"/>
      <c r="AH362" s="126"/>
      <c r="AI362" s="126"/>
      <c r="AJ362" s="126"/>
      <c r="AK362" s="127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>
        <f>314.7551*0.0372</f>
        <v>11.70888972</v>
      </c>
      <c r="AW362" s="127">
        <f>294.106417*0.0367</f>
        <v>10.793705503900002</v>
      </c>
      <c r="AX362" s="126">
        <f>316.3599706*0.0332</f>
        <v>10.503151023919999</v>
      </c>
      <c r="AY362" s="126"/>
      <c r="AZ362" s="126">
        <f>AZ$372*0.0371</f>
        <v>12.596436229299997</v>
      </c>
      <c r="BA362" s="126">
        <f>BA$372*0.0391</f>
        <v>12.927412866999999</v>
      </c>
      <c r="BB362" s="126">
        <f>BB$372*0.0391</f>
        <v>10.3034170282</v>
      </c>
      <c r="BC362" s="126">
        <f>BC$372*(0.0373+0.0093)</f>
        <v>9.7752964460000022</v>
      </c>
      <c r="BD362" s="126"/>
      <c r="BE362" s="126"/>
      <c r="BF362" s="126"/>
      <c r="BG362" s="126"/>
      <c r="BH362" s="126"/>
      <c r="BI362" s="126"/>
      <c r="BJ362" s="126"/>
      <c r="BK362" s="126"/>
      <c r="BL362" s="126"/>
      <c r="BO362" s="268">
        <f t="shared" si="769"/>
        <v>3.309385017423741E-2</v>
      </c>
    </row>
    <row r="363" spans="1:67">
      <c r="A363" s="5" t="s">
        <v>120</v>
      </c>
      <c r="B363" s="126"/>
      <c r="C363" s="126"/>
      <c r="D363" s="126"/>
      <c r="E363" s="126"/>
      <c r="F363" s="126"/>
      <c r="G363" s="126"/>
      <c r="H363" s="126"/>
      <c r="I363" s="126"/>
      <c r="J363" s="126"/>
      <c r="K363" s="126"/>
      <c r="L363" s="126"/>
      <c r="M363" s="127"/>
      <c r="N363" s="126"/>
      <c r="O363" s="126"/>
      <c r="P363" s="126"/>
      <c r="Q363" s="126"/>
      <c r="R363" s="126"/>
      <c r="S363" s="126"/>
      <c r="T363" s="126"/>
      <c r="U363" s="126"/>
      <c r="V363" s="126"/>
      <c r="W363" s="126"/>
      <c r="X363" s="126"/>
      <c r="Y363" s="127"/>
      <c r="Z363" s="126"/>
      <c r="AA363" s="126"/>
      <c r="AB363" s="126"/>
      <c r="AC363" s="126"/>
      <c r="AD363" s="126"/>
      <c r="AE363" s="126"/>
      <c r="AF363" s="126"/>
      <c r="AG363" s="126"/>
      <c r="AH363" s="126"/>
      <c r="AI363" s="126"/>
      <c r="AJ363" s="126"/>
      <c r="AK363" s="127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>
        <f>314.7551*0.0141</f>
        <v>4.4380469100000006</v>
      </c>
      <c r="AW363" s="127">
        <f>294.106417*0.0143</f>
        <v>4.2057217631000006</v>
      </c>
      <c r="AX363" s="126">
        <f>316.3599706*0.0138</f>
        <v>4.3657675942800003</v>
      </c>
      <c r="AY363" s="126"/>
      <c r="AZ363" s="126">
        <f>AZ$372*0.0151</f>
        <v>5.126851403299999</v>
      </c>
      <c r="BA363" s="126">
        <f>BA$372*0.0145</f>
        <v>4.794053364999999</v>
      </c>
      <c r="BB363" s="126">
        <f>BB$372*0.013</f>
        <v>3.4256885259999996</v>
      </c>
      <c r="BC363" s="126">
        <f>BC$372*0.0095</f>
        <v>1.9928179450000001</v>
      </c>
      <c r="BD363" s="126"/>
      <c r="BE363" s="126"/>
      <c r="BF363" s="126"/>
      <c r="BG363" s="126"/>
      <c r="BH363" s="126"/>
      <c r="BI363" s="126"/>
      <c r="BJ363" s="126"/>
      <c r="BK363" s="126"/>
      <c r="BL363" s="126"/>
      <c r="BO363" s="268">
        <f t="shared" si="769"/>
        <v>1.1934817521029576E-2</v>
      </c>
    </row>
    <row r="364" spans="1:67">
      <c r="A364" s="5" t="s">
        <v>121</v>
      </c>
      <c r="B364" s="126"/>
      <c r="C364" s="126"/>
      <c r="D364" s="126"/>
      <c r="E364" s="126"/>
      <c r="F364" s="126"/>
      <c r="G364" s="126"/>
      <c r="H364" s="126"/>
      <c r="I364" s="126"/>
      <c r="J364" s="126"/>
      <c r="K364" s="126"/>
      <c r="L364" s="126"/>
      <c r="M364" s="127"/>
      <c r="N364" s="126"/>
      <c r="O364" s="126"/>
      <c r="P364" s="126"/>
      <c r="Q364" s="126"/>
      <c r="R364" s="126"/>
      <c r="S364" s="126"/>
      <c r="T364" s="126"/>
      <c r="U364" s="126"/>
      <c r="V364" s="126"/>
      <c r="W364" s="126"/>
      <c r="X364" s="126"/>
      <c r="Y364" s="127"/>
      <c r="Z364" s="126"/>
      <c r="AA364" s="126"/>
      <c r="AB364" s="126"/>
      <c r="AC364" s="126"/>
      <c r="AD364" s="126"/>
      <c r="AE364" s="126"/>
      <c r="AF364" s="126"/>
      <c r="AG364" s="126"/>
      <c r="AH364" s="126"/>
      <c r="AI364" s="126"/>
      <c r="AJ364" s="126"/>
      <c r="AK364" s="127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>
        <f>314.7551*0.014</f>
        <v>4.4065714000000007</v>
      </c>
      <c r="AW364" s="127">
        <f>294.106417*0.0143</f>
        <v>4.2057217631000006</v>
      </c>
      <c r="AX364" s="126">
        <f>316.3599706*0.0021</f>
        <v>0.66435593825999995</v>
      </c>
      <c r="AY364" s="126"/>
      <c r="AZ364" s="126">
        <f>AZ$372*0.0152</f>
        <v>5.1608040615999986</v>
      </c>
      <c r="BA364" s="126">
        <f>BA$372*0.0144</f>
        <v>4.7609909279999991</v>
      </c>
      <c r="BB364" s="126">
        <f>BB$372*0.013</f>
        <v>3.4256885259999996</v>
      </c>
      <c r="BC364" s="126">
        <f>BC$372*0.0109</f>
        <v>2.2864963790000004</v>
      </c>
      <c r="BD364" s="126"/>
      <c r="BE364" s="126"/>
      <c r="BF364" s="126"/>
      <c r="BG364" s="126"/>
      <c r="BH364" s="126"/>
      <c r="BI364" s="126"/>
      <c r="BJ364" s="126"/>
      <c r="BK364" s="126"/>
      <c r="BL364" s="126"/>
      <c r="BO364" s="268">
        <f t="shared" si="769"/>
        <v>1.0487296268434502E-2</v>
      </c>
    </row>
    <row r="365" spans="1:67">
      <c r="A365" s="5" t="s">
        <v>122</v>
      </c>
      <c r="B365" s="126"/>
      <c r="C365" s="126"/>
      <c r="D365" s="126"/>
      <c r="E365" s="126"/>
      <c r="F365" s="126"/>
      <c r="G365" s="126"/>
      <c r="H365" s="126"/>
      <c r="I365" s="126"/>
      <c r="J365" s="126"/>
      <c r="K365" s="126"/>
      <c r="L365" s="126"/>
      <c r="M365" s="127"/>
      <c r="N365" s="126"/>
      <c r="O365" s="126"/>
      <c r="P365" s="126"/>
      <c r="Q365" s="126"/>
      <c r="R365" s="126"/>
      <c r="S365" s="126"/>
      <c r="T365" s="126"/>
      <c r="U365" s="126"/>
      <c r="V365" s="126"/>
      <c r="W365" s="126"/>
      <c r="X365" s="126"/>
      <c r="Y365" s="127"/>
      <c r="Z365" s="126"/>
      <c r="AA365" s="126"/>
      <c r="AB365" s="126"/>
      <c r="AC365" s="126"/>
      <c r="AD365" s="126"/>
      <c r="AE365" s="126"/>
      <c r="AF365" s="126"/>
      <c r="AG365" s="126"/>
      <c r="AH365" s="126"/>
      <c r="AI365" s="126"/>
      <c r="AJ365" s="126"/>
      <c r="AK365" s="127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>
        <f>314.7551*0.0124</f>
        <v>3.9029632400000001</v>
      </c>
      <c r="AW365" s="127">
        <f>294.106417*0.0138</f>
        <v>4.0586685546000005</v>
      </c>
      <c r="AX365" s="126">
        <f>316.3599706*0.0161</f>
        <v>5.0933955266600002</v>
      </c>
      <c r="AY365" s="126"/>
      <c r="AZ365" s="126">
        <f>AZ$372*0.0165</f>
        <v>5.6021886194999988</v>
      </c>
      <c r="BA365" s="126">
        <f>BA$372*0.017</f>
        <v>5.6206142899999998</v>
      </c>
      <c r="BB365" s="126">
        <f>BB$372*0.016</f>
        <v>4.2162320319999997</v>
      </c>
      <c r="BC365" s="126">
        <f>BC$372*0.016</f>
        <v>3.3563249600000002</v>
      </c>
      <c r="BD365" s="126"/>
      <c r="BE365" s="126"/>
      <c r="BF365" s="126"/>
      <c r="BG365" s="126"/>
      <c r="BH365" s="126"/>
      <c r="BI365" s="126"/>
      <c r="BJ365" s="126"/>
      <c r="BK365" s="126"/>
      <c r="BL365" s="126"/>
      <c r="BO365" s="268">
        <f t="shared" si="769"/>
        <v>1.3408912602071065E-2</v>
      </c>
    </row>
    <row r="366" spans="1:67">
      <c r="A366" s="5" t="s">
        <v>374</v>
      </c>
      <c r="B366" s="126"/>
      <c r="C366" s="126"/>
      <c r="D366" s="126"/>
      <c r="E366" s="126"/>
      <c r="F366" s="126"/>
      <c r="G366" s="126"/>
      <c r="H366" s="126"/>
      <c r="I366" s="126"/>
      <c r="J366" s="126"/>
      <c r="K366" s="126"/>
      <c r="L366" s="126"/>
      <c r="M366" s="127"/>
      <c r="N366" s="126"/>
      <c r="O366" s="126"/>
      <c r="P366" s="126"/>
      <c r="Q366" s="126"/>
      <c r="R366" s="126"/>
      <c r="S366" s="126"/>
      <c r="T366" s="126"/>
      <c r="U366" s="126"/>
      <c r="V366" s="126"/>
      <c r="W366" s="126"/>
      <c r="X366" s="126"/>
      <c r="Y366" s="127"/>
      <c r="Z366" s="126"/>
      <c r="AA366" s="126"/>
      <c r="AB366" s="126"/>
      <c r="AC366" s="126"/>
      <c r="AD366" s="126"/>
      <c r="AE366" s="126"/>
      <c r="AF366" s="126"/>
      <c r="AG366" s="126"/>
      <c r="AH366" s="126"/>
      <c r="AI366" s="126"/>
      <c r="AJ366" s="126"/>
      <c r="AK366" s="127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559"/>
      <c r="AW366" s="560"/>
      <c r="AX366" s="559"/>
      <c r="AY366" s="559"/>
      <c r="AZ366" s="559"/>
      <c r="BA366" s="559"/>
      <c r="BB366" s="126">
        <f>BB$372*0.028</f>
        <v>7.3784060560000002</v>
      </c>
      <c r="BC366" s="126">
        <f>BC$372*0.0311</f>
        <v>6.523856641000001</v>
      </c>
      <c r="BD366" s="126"/>
      <c r="BE366" s="126"/>
      <c r="BF366" s="126"/>
      <c r="BG366" s="126"/>
      <c r="BH366" s="126"/>
      <c r="BI366" s="126"/>
      <c r="BJ366" s="126"/>
      <c r="BK366" s="126"/>
      <c r="BL366" s="126"/>
      <c r="BO366" s="268">
        <f t="shared" ref="BO366:BO368" si="770">SUM(AR366:BC366)/SUM(AR$372:BC$372)</f>
        <v>5.8528087640295897E-3</v>
      </c>
    </row>
    <row r="367" spans="1:67">
      <c r="A367" s="5" t="s">
        <v>375</v>
      </c>
      <c r="B367" s="126"/>
      <c r="C367" s="126"/>
      <c r="D367" s="126"/>
      <c r="E367" s="126"/>
      <c r="F367" s="126"/>
      <c r="G367" s="126"/>
      <c r="H367" s="126"/>
      <c r="I367" s="126"/>
      <c r="J367" s="126"/>
      <c r="K367" s="126"/>
      <c r="L367" s="126"/>
      <c r="M367" s="127"/>
      <c r="N367" s="126"/>
      <c r="O367" s="126"/>
      <c r="P367" s="126"/>
      <c r="Q367" s="126"/>
      <c r="R367" s="126"/>
      <c r="S367" s="126"/>
      <c r="T367" s="126"/>
      <c r="U367" s="126"/>
      <c r="V367" s="126"/>
      <c r="W367" s="126"/>
      <c r="X367" s="126"/>
      <c r="Y367" s="127"/>
      <c r="Z367" s="126"/>
      <c r="AA367" s="126"/>
      <c r="AB367" s="126"/>
      <c r="AC367" s="126"/>
      <c r="AD367" s="126"/>
      <c r="AE367" s="126"/>
      <c r="AF367" s="126"/>
      <c r="AG367" s="126"/>
      <c r="AH367" s="126"/>
      <c r="AI367" s="126"/>
      <c r="AJ367" s="126"/>
      <c r="AK367" s="127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559"/>
      <c r="AW367" s="560"/>
      <c r="AX367" s="559"/>
      <c r="AY367" s="559"/>
      <c r="AZ367" s="559"/>
      <c r="BA367" s="559"/>
      <c r="BB367" s="126">
        <f>BB$372*0.002</f>
        <v>0.52702900399999997</v>
      </c>
      <c r="BC367" s="126">
        <f>BC$372*0.0131</f>
        <v>2.7479910610000005</v>
      </c>
      <c r="BD367" s="126"/>
      <c r="BE367" s="126"/>
      <c r="BF367" s="126"/>
      <c r="BG367" s="126"/>
      <c r="BH367" s="126"/>
      <c r="BI367" s="126"/>
      <c r="BJ367" s="126"/>
      <c r="BK367" s="126"/>
      <c r="BL367" s="126"/>
      <c r="BO367" s="268">
        <f t="shared" si="770"/>
        <v>1.378773121798445E-3</v>
      </c>
    </row>
    <row r="368" spans="1:67">
      <c r="A368" s="5" t="s">
        <v>91</v>
      </c>
      <c r="B368" s="126"/>
      <c r="C368" s="126"/>
      <c r="D368" s="126"/>
      <c r="E368" s="126"/>
      <c r="F368" s="126"/>
      <c r="G368" s="126"/>
      <c r="H368" s="126"/>
      <c r="I368" s="126"/>
      <c r="J368" s="126"/>
      <c r="K368" s="126"/>
      <c r="L368" s="126"/>
      <c r="M368" s="127"/>
      <c r="N368" s="126"/>
      <c r="O368" s="126"/>
      <c r="P368" s="126"/>
      <c r="Q368" s="126"/>
      <c r="R368" s="126"/>
      <c r="S368" s="126"/>
      <c r="T368" s="126"/>
      <c r="U368" s="126"/>
      <c r="V368" s="126"/>
      <c r="W368" s="126"/>
      <c r="X368" s="126"/>
      <c r="Y368" s="127"/>
      <c r="Z368" s="126"/>
      <c r="AA368" s="126"/>
      <c r="AB368" s="126"/>
      <c r="AC368" s="126"/>
      <c r="AD368" s="126"/>
      <c r="AE368" s="126"/>
      <c r="AF368" s="126"/>
      <c r="AG368" s="126"/>
      <c r="AH368" s="126"/>
      <c r="AI368" s="126"/>
      <c r="AJ368" s="126"/>
      <c r="AK368" s="127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559"/>
      <c r="AW368" s="560"/>
      <c r="AX368" s="559"/>
      <c r="AY368" s="559"/>
      <c r="AZ368" s="559"/>
      <c r="BA368" s="559"/>
      <c r="BB368" s="126">
        <f>BB$372*0.001</f>
        <v>0.26351450199999998</v>
      </c>
      <c r="BC368" s="126">
        <f>BC$372*0.005</f>
        <v>1.0488515500000002</v>
      </c>
      <c r="BD368" s="126"/>
      <c r="BE368" s="126"/>
      <c r="BF368" s="126"/>
      <c r="BG368" s="126"/>
      <c r="BH368" s="126"/>
      <c r="BI368" s="126"/>
      <c r="BJ368" s="126"/>
      <c r="BK368" s="126"/>
      <c r="BL368" s="126"/>
      <c r="BO368" s="268">
        <f t="shared" si="770"/>
        <v>5.5250197023093363E-4</v>
      </c>
    </row>
    <row r="369" spans="1:69">
      <c r="A369" s="5" t="s">
        <v>123</v>
      </c>
      <c r="B369" s="126"/>
      <c r="C369" s="126"/>
      <c r="D369" s="126"/>
      <c r="E369" s="126"/>
      <c r="F369" s="126"/>
      <c r="G369" s="126"/>
      <c r="H369" s="126"/>
      <c r="I369" s="126"/>
      <c r="J369" s="126"/>
      <c r="K369" s="126"/>
      <c r="L369" s="126"/>
      <c r="M369" s="127"/>
      <c r="N369" s="126"/>
      <c r="O369" s="126"/>
      <c r="P369" s="126"/>
      <c r="Q369" s="126"/>
      <c r="R369" s="126"/>
      <c r="S369" s="126"/>
      <c r="T369" s="126"/>
      <c r="U369" s="126"/>
      <c r="V369" s="126"/>
      <c r="W369" s="126"/>
      <c r="X369" s="126"/>
      <c r="Y369" s="127"/>
      <c r="Z369" s="126"/>
      <c r="AA369" s="126"/>
      <c r="AB369" s="126"/>
      <c r="AC369" s="126"/>
      <c r="AD369" s="126"/>
      <c r="AE369" s="126"/>
      <c r="AF369" s="126"/>
      <c r="AG369" s="126"/>
      <c r="AH369" s="126"/>
      <c r="AI369" s="126"/>
      <c r="AJ369" s="126"/>
      <c r="AK369" s="127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>
        <f>314.7551*0.0052</f>
        <v>1.6367265200000001</v>
      </c>
      <c r="AW369" s="127">
        <f>294.106417*0.0052</f>
        <v>1.5293533684</v>
      </c>
      <c r="AX369" s="126">
        <f>316.3599706*0.0051</f>
        <v>1.6134358500600001</v>
      </c>
      <c r="AY369" s="126"/>
      <c r="AZ369" s="126">
        <f>AZ$372*0.0045</f>
        <v>1.5278696234999996</v>
      </c>
      <c r="BA369" s="126">
        <f>BA$372*0.0043</f>
        <v>1.4216847909999997</v>
      </c>
      <c r="BB369" s="126">
        <f>BB$372*0.004</f>
        <v>1.0540580079999999</v>
      </c>
      <c r="BC369" s="126">
        <f>BC$372*0.0031</f>
        <v>0.65028796100000008</v>
      </c>
      <c r="BD369" s="126"/>
      <c r="BE369" s="126"/>
      <c r="BF369" s="126"/>
      <c r="BG369" s="126"/>
      <c r="BH369" s="126"/>
      <c r="BI369" s="126"/>
      <c r="BJ369" s="126"/>
      <c r="BK369" s="126"/>
      <c r="BL369" s="126"/>
      <c r="BO369" s="268">
        <f>SUM(AR369:BC369)/SUM(AR$372:BC$372)</f>
        <v>3.9714384454308882E-3</v>
      </c>
    </row>
    <row r="370" spans="1:69">
      <c r="A370" s="5" t="s">
        <v>124</v>
      </c>
      <c r="B370" s="126"/>
      <c r="C370" s="126"/>
      <c r="D370" s="126"/>
      <c r="E370" s="126"/>
      <c r="F370" s="126"/>
      <c r="G370" s="126"/>
      <c r="H370" s="126"/>
      <c r="I370" s="126"/>
      <c r="J370" s="126"/>
      <c r="K370" s="126"/>
      <c r="L370" s="126"/>
      <c r="M370" s="127"/>
      <c r="N370" s="126"/>
      <c r="O370" s="126"/>
      <c r="P370" s="126"/>
      <c r="Q370" s="126"/>
      <c r="R370" s="126"/>
      <c r="S370" s="126"/>
      <c r="T370" s="126"/>
      <c r="U370" s="126"/>
      <c r="V370" s="126"/>
      <c r="W370" s="126"/>
      <c r="X370" s="126"/>
      <c r="Y370" s="127"/>
      <c r="Z370" s="126"/>
      <c r="AA370" s="126"/>
      <c r="AB370" s="126"/>
      <c r="AC370" s="126"/>
      <c r="AD370" s="126"/>
      <c r="AE370" s="126"/>
      <c r="AF370" s="126"/>
      <c r="AG370" s="126"/>
      <c r="AH370" s="126"/>
      <c r="AI370" s="126"/>
      <c r="AJ370" s="126"/>
      <c r="AK370" s="127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>
        <f>314.7551*0.0046</f>
        <v>1.4478734600000001</v>
      </c>
      <c r="AW370" s="127">
        <f>294.106417*0.0049</f>
        <v>1.4411214433000001</v>
      </c>
      <c r="AX370" s="126">
        <f>316.3599706*0.0042</f>
        <v>1.3287118765199999</v>
      </c>
      <c r="AY370" s="126"/>
      <c r="AZ370" s="126">
        <f>AZ$372*0.0042</f>
        <v>1.4260116485999994</v>
      </c>
      <c r="BA370" s="126">
        <f>BA$372*0.0041</f>
        <v>1.3555599169999999</v>
      </c>
      <c r="BB370" s="126">
        <f>BB$372*0.003</f>
        <v>0.79054350600000001</v>
      </c>
      <c r="BC370" s="126">
        <f>BC$372*0.0028</f>
        <v>0.58735686800000009</v>
      </c>
      <c r="BD370" s="126"/>
      <c r="BE370" s="126"/>
      <c r="BF370" s="126"/>
      <c r="BG370" s="126"/>
      <c r="BH370" s="126"/>
      <c r="BI370" s="126"/>
      <c r="BJ370" s="126"/>
      <c r="BK370" s="126"/>
      <c r="BL370" s="126"/>
      <c r="BO370" s="268">
        <f>SUM(AR370:BC370)/SUM(AR$372:BC$372)</f>
        <v>3.5267658290936946E-3</v>
      </c>
    </row>
    <row r="371" spans="1:69">
      <c r="A371" s="5" t="s">
        <v>203</v>
      </c>
      <c r="B371" s="126"/>
      <c r="C371" s="126"/>
      <c r="D371" s="126"/>
      <c r="E371" s="126"/>
      <c r="F371" s="126"/>
      <c r="G371" s="126"/>
      <c r="H371" s="126"/>
      <c r="I371" s="126"/>
      <c r="J371" s="126"/>
      <c r="K371" s="126"/>
      <c r="L371" s="126"/>
      <c r="M371" s="127"/>
      <c r="N371" s="126"/>
      <c r="O371" s="126"/>
      <c r="P371" s="126"/>
      <c r="Q371" s="126"/>
      <c r="R371" s="126"/>
      <c r="S371" s="126"/>
      <c r="T371" s="126"/>
      <c r="U371" s="126"/>
      <c r="V371" s="126"/>
      <c r="W371" s="126"/>
      <c r="X371" s="126"/>
      <c r="Y371" s="127"/>
      <c r="Z371" s="126"/>
      <c r="AA371" s="126"/>
      <c r="AB371" s="126"/>
      <c r="AC371" s="126"/>
      <c r="AD371" s="126"/>
      <c r="AE371" s="126"/>
      <c r="AF371" s="126"/>
      <c r="AG371" s="126"/>
      <c r="AH371" s="126"/>
      <c r="AI371" s="126"/>
      <c r="AJ371" s="126"/>
      <c r="AK371" s="127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>
        <f>314.7551-SUM(AV355:AV370)</f>
        <v>2.864271409999958</v>
      </c>
      <c r="AW371" s="127">
        <f>294.106417-SUM(AW355:AW370)</f>
        <v>2.4116726194000648</v>
      </c>
      <c r="AX371" s="126">
        <f>316.3599706-SUM(AX355:AX370)</f>
        <v>9.6173431062400141</v>
      </c>
      <c r="AY371" s="126"/>
      <c r="AZ371" s="126">
        <f>AZ$372-SUM(AZ355:AZ370)</f>
        <v>5.0589460866999048</v>
      </c>
      <c r="BA371" s="126">
        <f>BA$372-SUM(BA355:BA370)</f>
        <v>5.3891772310000192</v>
      </c>
      <c r="BB371" s="126">
        <f>BB$372-SUM(BB355:BB370)</f>
        <v>3.7155544782000334</v>
      </c>
      <c r="BC371" s="126">
        <f>BC$372-SUM(BC355:BC370)</f>
        <v>2.9158073090000016</v>
      </c>
      <c r="BD371" s="126"/>
      <c r="BE371" s="126"/>
      <c r="BF371" s="126"/>
      <c r="BG371" s="126"/>
      <c r="BH371" s="126"/>
      <c r="BI371" s="126"/>
      <c r="BJ371" s="126"/>
      <c r="BK371" s="126"/>
      <c r="BL371" s="126"/>
      <c r="BO371" s="268">
        <f>SUM(AR371:BC371)/SUM(AR$372:BC$372)</f>
        <v>1.3460436308697848E-2</v>
      </c>
    </row>
    <row r="372" spans="1:69">
      <c r="A372" s="161" t="s">
        <v>256</v>
      </c>
      <c r="B372" s="162"/>
      <c r="C372" s="162"/>
      <c r="D372" s="162"/>
      <c r="E372" s="162"/>
      <c r="F372" s="162"/>
      <c r="G372" s="162"/>
      <c r="H372" s="163"/>
      <c r="I372" s="163"/>
      <c r="J372" s="163"/>
      <c r="K372" s="163"/>
      <c r="L372" s="163"/>
      <c r="M372" s="261"/>
      <c r="N372" s="164"/>
      <c r="O372" s="164"/>
      <c r="P372" s="164"/>
      <c r="Q372" s="164"/>
      <c r="R372" s="164"/>
      <c r="S372" s="164"/>
      <c r="T372" s="164"/>
      <c r="U372" s="164"/>
      <c r="V372" s="164"/>
      <c r="W372" s="164"/>
      <c r="X372" s="164"/>
      <c r="Y372" s="262"/>
      <c r="Z372" s="164"/>
      <c r="AA372" s="164"/>
      <c r="AB372" s="164"/>
      <c r="AC372" s="164"/>
      <c r="AD372" s="164"/>
      <c r="AE372" s="164"/>
      <c r="AF372" s="164"/>
      <c r="AG372" s="164"/>
      <c r="AH372" s="164"/>
      <c r="AI372" s="164"/>
      <c r="AJ372" s="164"/>
      <c r="AK372" s="262"/>
      <c r="AL372" s="164"/>
      <c r="AM372" s="164"/>
      <c r="AN372" s="164"/>
      <c r="AO372" s="164"/>
      <c r="AP372" s="164"/>
      <c r="AQ372" s="164"/>
      <c r="AR372" s="164"/>
      <c r="AS372" s="164"/>
      <c r="AT372" s="164"/>
      <c r="AU372" s="164"/>
      <c r="AV372" s="164">
        <f>SUM(AV355:AV371)</f>
        <v>314.75510000000003</v>
      </c>
      <c r="AW372" s="262">
        <f>SUM(AW355:AW371)</f>
        <v>294.10641700000002</v>
      </c>
      <c r="AX372" s="164">
        <f>SUM(AX355:AX371)</f>
        <v>316.3599706</v>
      </c>
      <c r="AY372" s="164">
        <f>AY9-AY65</f>
        <v>306.65744800000004</v>
      </c>
      <c r="AZ372" s="164">
        <f>(AZ9-36.724129)</f>
        <v>339.5265829999999</v>
      </c>
      <c r="BA372" s="164">
        <f>(BA9-38.732526)</f>
        <v>330.62436999999994</v>
      </c>
      <c r="BB372" s="164">
        <f>(BB9-36.318182)</f>
        <v>263.51450199999999</v>
      </c>
      <c r="BC372" s="164">
        <f>(BC9-BC65)</f>
        <v>209.77031000000002</v>
      </c>
      <c r="BD372" s="164">
        <f>(BD9-36.318182)</f>
        <v>131.3431454</v>
      </c>
      <c r="BE372" s="164">
        <f>(BE9-BE65)</f>
        <v>208.91955799999999</v>
      </c>
      <c r="BF372" s="164">
        <f t="shared" ref="BF372:BG372" si="771">(BF9-BF65)</f>
        <v>383.03990299999998</v>
      </c>
      <c r="BG372" s="164">
        <f t="shared" si="771"/>
        <v>403.961321</v>
      </c>
      <c r="BH372" s="126"/>
      <c r="BI372" s="126"/>
      <c r="BJ372" s="126"/>
      <c r="BK372" s="126"/>
      <c r="BL372" s="126"/>
      <c r="BO372" s="269">
        <f>SUM(AR372:BC372)/SUM(AR$372:BC$372)</f>
        <v>1</v>
      </c>
    </row>
    <row r="373" spans="1:69" ht="16" thickBot="1">
      <c r="A373" s="217"/>
      <c r="B373" s="218"/>
      <c r="C373" s="218"/>
      <c r="D373" s="218"/>
      <c r="E373" s="218"/>
      <c r="F373" s="218"/>
      <c r="G373" s="218"/>
      <c r="H373" s="218"/>
      <c r="I373" s="218"/>
      <c r="J373" s="218"/>
      <c r="K373" s="218"/>
      <c r="L373" s="218"/>
      <c r="M373" s="219"/>
      <c r="N373" s="218"/>
      <c r="O373" s="218"/>
      <c r="P373" s="218"/>
      <c r="Q373" s="218"/>
      <c r="R373" s="218"/>
      <c r="S373" s="218"/>
      <c r="T373" s="218"/>
      <c r="U373" s="218"/>
      <c r="V373" s="218"/>
      <c r="W373" s="218"/>
      <c r="X373" s="218"/>
      <c r="Y373" s="219"/>
      <c r="Z373" s="218"/>
      <c r="AA373" s="218"/>
      <c r="AB373" s="218"/>
      <c r="AC373" s="218"/>
      <c r="AD373" s="218"/>
      <c r="AE373" s="218"/>
      <c r="AF373" s="218"/>
      <c r="AG373" s="218"/>
      <c r="AH373" s="218"/>
      <c r="AI373" s="218"/>
      <c r="AJ373" s="218"/>
      <c r="AK373" s="219"/>
      <c r="AL373" s="218"/>
      <c r="AM373" s="218"/>
      <c r="AN373" s="218"/>
      <c r="AO373" s="218"/>
      <c r="AP373" s="218"/>
      <c r="AQ373" s="218"/>
      <c r="AR373" s="218"/>
      <c r="AS373" s="218"/>
      <c r="AT373" s="218"/>
      <c r="AU373" s="218"/>
      <c r="AV373" s="218"/>
      <c r="AW373" s="219"/>
      <c r="AX373" s="218"/>
      <c r="AY373" s="218"/>
      <c r="AZ373" s="218"/>
      <c r="BA373" s="218"/>
      <c r="BB373" s="218"/>
      <c r="BC373" s="218"/>
      <c r="BD373" s="218"/>
      <c r="BE373" s="218"/>
      <c r="BF373" s="218"/>
      <c r="BG373" s="218"/>
      <c r="BH373" s="126"/>
      <c r="BI373" s="126"/>
      <c r="BJ373" s="126"/>
      <c r="BK373" s="126"/>
      <c r="BL373" s="126"/>
      <c r="BO373" s="355"/>
    </row>
    <row r="374" spans="1:69">
      <c r="BH374" s="126"/>
      <c r="BI374" s="126"/>
      <c r="BJ374" s="126"/>
      <c r="BK374" s="126"/>
      <c r="BL374" s="126"/>
    </row>
    <row r="375" spans="1:69">
      <c r="AV375" s="522"/>
      <c r="BH375" s="126"/>
      <c r="BI375" s="126"/>
      <c r="BJ375" s="126"/>
      <c r="BK375" s="126"/>
      <c r="BL375" s="126"/>
    </row>
    <row r="376" spans="1:69">
      <c r="A376" s="98" t="s">
        <v>125</v>
      </c>
      <c r="BH376" s="126"/>
      <c r="BI376" s="126"/>
      <c r="BJ376" s="126"/>
      <c r="BK376" s="126"/>
      <c r="BL376" s="126"/>
    </row>
    <row r="377" spans="1:69" ht="16" thickBot="1">
      <c r="BH377" s="126"/>
      <c r="BI377" s="126"/>
      <c r="BJ377" s="126"/>
      <c r="BK377" s="126"/>
      <c r="BL377" s="126"/>
    </row>
    <row r="378" spans="1:69" ht="32">
      <c r="A378" s="100" t="s">
        <v>286</v>
      </c>
      <c r="B378" s="101">
        <v>39448</v>
      </c>
      <c r="C378" s="101">
        <v>39479</v>
      </c>
      <c r="D378" s="101">
        <v>39508</v>
      </c>
      <c r="E378" s="101">
        <v>39539</v>
      </c>
      <c r="F378" s="101">
        <v>39569</v>
      </c>
      <c r="G378" s="101">
        <v>39600</v>
      </c>
      <c r="H378" s="101">
        <v>39630</v>
      </c>
      <c r="I378" s="101">
        <v>39661</v>
      </c>
      <c r="J378" s="101">
        <v>39692</v>
      </c>
      <c r="K378" s="101">
        <v>39722</v>
      </c>
      <c r="L378" s="101">
        <v>39753</v>
      </c>
      <c r="M378" s="102">
        <v>39783</v>
      </c>
      <c r="N378" s="101">
        <v>39814</v>
      </c>
      <c r="O378" s="101">
        <v>39845</v>
      </c>
      <c r="P378" s="101">
        <v>39873</v>
      </c>
      <c r="Q378" s="101">
        <v>39904</v>
      </c>
      <c r="R378" s="101">
        <v>39934</v>
      </c>
      <c r="S378" s="101">
        <v>39965</v>
      </c>
      <c r="T378" s="101">
        <v>39995</v>
      </c>
      <c r="U378" s="101">
        <v>40026</v>
      </c>
      <c r="V378" s="101">
        <v>40057</v>
      </c>
      <c r="W378" s="101">
        <v>40087</v>
      </c>
      <c r="X378" s="101">
        <v>40118</v>
      </c>
      <c r="Y378" s="102">
        <v>40148</v>
      </c>
      <c r="Z378" s="101">
        <v>40179</v>
      </c>
      <c r="AA378" s="101">
        <v>40210</v>
      </c>
      <c r="AB378" s="101">
        <v>40238</v>
      </c>
      <c r="AC378" s="101">
        <v>40269</v>
      </c>
      <c r="AD378" s="101">
        <v>40299</v>
      </c>
      <c r="AE378" s="101">
        <v>40330</v>
      </c>
      <c r="AF378" s="101">
        <v>40360</v>
      </c>
      <c r="AG378" s="101">
        <v>40391</v>
      </c>
      <c r="AH378" s="101">
        <v>40422</v>
      </c>
      <c r="AI378" s="101">
        <v>40452</v>
      </c>
      <c r="AJ378" s="101">
        <v>40483</v>
      </c>
      <c r="AK378" s="102">
        <v>40513</v>
      </c>
      <c r="AL378" s="101">
        <v>40544</v>
      </c>
      <c r="AM378" s="101">
        <v>40575</v>
      </c>
      <c r="AN378" s="101">
        <v>40603</v>
      </c>
      <c r="AO378" s="101">
        <v>40634</v>
      </c>
      <c r="AP378" s="101">
        <v>40664</v>
      </c>
      <c r="AQ378" s="101">
        <v>40695</v>
      </c>
      <c r="AR378" s="101">
        <v>40725</v>
      </c>
      <c r="AS378" s="101">
        <v>40756</v>
      </c>
      <c r="AT378" s="101">
        <v>40787</v>
      </c>
      <c r="AU378" s="101">
        <v>40817</v>
      </c>
      <c r="AV378" s="101">
        <v>40848</v>
      </c>
      <c r="AW378" s="102">
        <v>40878</v>
      </c>
      <c r="AX378" s="101">
        <v>40909</v>
      </c>
      <c r="AY378" s="101">
        <v>40940</v>
      </c>
      <c r="AZ378" s="101">
        <v>40969</v>
      </c>
      <c r="BA378" s="101">
        <v>41000</v>
      </c>
      <c r="BB378" s="101">
        <v>41030</v>
      </c>
      <c r="BC378" s="101">
        <v>41061</v>
      </c>
      <c r="BD378" s="101">
        <v>41091</v>
      </c>
      <c r="BE378" s="101">
        <v>41122</v>
      </c>
      <c r="BF378" s="101">
        <v>41153</v>
      </c>
      <c r="BG378" s="101">
        <v>41183</v>
      </c>
      <c r="BH378" s="126"/>
      <c r="BI378" s="126"/>
      <c r="BJ378" s="126"/>
      <c r="BK378" s="126"/>
      <c r="BL378" s="126"/>
      <c r="BO378" s="362" t="s">
        <v>371</v>
      </c>
      <c r="BQ378" s="362" t="s">
        <v>373</v>
      </c>
    </row>
    <row r="379" spans="1:69">
      <c r="A379" s="75"/>
      <c r="M379" s="115"/>
      <c r="Y379" s="115"/>
      <c r="AK379" s="115"/>
      <c r="AW379" s="115"/>
      <c r="BH379" s="126"/>
      <c r="BI379" s="126"/>
      <c r="BJ379" s="126"/>
      <c r="BK379" s="126"/>
      <c r="BL379" s="126"/>
      <c r="BO379" s="267"/>
      <c r="BQ379" s="267"/>
    </row>
    <row r="380" spans="1:69">
      <c r="A380" s="5" t="s">
        <v>172</v>
      </c>
      <c r="B380" s="126"/>
      <c r="C380" s="126"/>
      <c r="D380" s="126"/>
      <c r="E380" s="126"/>
      <c r="F380" s="126"/>
      <c r="G380" s="126"/>
      <c r="H380" s="126"/>
      <c r="I380" s="126"/>
      <c r="J380" s="126"/>
      <c r="K380" s="126"/>
      <c r="L380" s="126"/>
      <c r="M380" s="127"/>
      <c r="N380" s="126"/>
      <c r="O380" s="126"/>
      <c r="P380" s="126"/>
      <c r="Q380" s="126"/>
      <c r="R380" s="126"/>
      <c r="S380" s="126"/>
      <c r="T380" s="126"/>
      <c r="U380" s="126"/>
      <c r="V380" s="126"/>
      <c r="W380" s="126"/>
      <c r="X380" s="126"/>
      <c r="Y380" s="127"/>
      <c r="Z380" s="126"/>
      <c r="AA380" s="126"/>
      <c r="AB380" s="126"/>
      <c r="AC380" s="126"/>
      <c r="AD380" s="126"/>
      <c r="AE380" s="126"/>
      <c r="AF380" s="126"/>
      <c r="AG380" s="126"/>
      <c r="AH380" s="126"/>
      <c r="AI380" s="126"/>
      <c r="AJ380" s="126"/>
      <c r="AK380" s="127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>
        <f>32.799493*0.1898</f>
        <v>6.2253437713999995</v>
      </c>
      <c r="AW380" s="127">
        <f>27.014239*0.2047</f>
        <v>5.5298147232999995</v>
      </c>
      <c r="AX380" s="126">
        <f>37.958053*0.2149</f>
        <v>8.157185589700001</v>
      </c>
      <c r="AY380" s="126">
        <f>7.253423</f>
        <v>7.2534229999999997</v>
      </c>
      <c r="AZ380" s="126">
        <f>AZ$397*0.2339</f>
        <v>8.589773773100001</v>
      </c>
      <c r="BA380" s="126">
        <f>BA$397*0.2091</f>
        <v>8.0989711866000018</v>
      </c>
      <c r="BB380" s="126">
        <f>BB$397*0.1868</f>
        <v>6.7842363975999955</v>
      </c>
      <c r="BC380" s="126">
        <f>BC$397*0.2103</f>
        <v>10.685151626999998</v>
      </c>
      <c r="BD380" s="126"/>
      <c r="BE380" s="126"/>
      <c r="BF380" s="126"/>
      <c r="BG380" s="126"/>
      <c r="BH380" s="126"/>
      <c r="BI380" s="126"/>
      <c r="BJ380" s="126"/>
      <c r="BK380" s="126"/>
      <c r="BL380" s="126"/>
      <c r="BO380" s="268">
        <f t="shared" ref="BO380:BO397" si="772">SUM(AR380:BC380)/SUM(AR$397:BC$397)</f>
        <v>0.20828862246136615</v>
      </c>
      <c r="BQ380" s="268">
        <f t="shared" ref="BQ380:BQ390" si="773">SUM(AZ380:BC380)/SUM(AZ405:BC405)</f>
        <v>8.6703851211742053E-2</v>
      </c>
    </row>
    <row r="381" spans="1:69">
      <c r="A381" s="5" t="s">
        <v>247</v>
      </c>
      <c r="B381" s="126"/>
      <c r="C381" s="126"/>
      <c r="D381" s="126"/>
      <c r="E381" s="126"/>
      <c r="F381" s="126"/>
      <c r="G381" s="126"/>
      <c r="H381" s="126"/>
      <c r="I381" s="126"/>
      <c r="J381" s="126"/>
      <c r="K381" s="126"/>
      <c r="L381" s="126"/>
      <c r="M381" s="127"/>
      <c r="N381" s="126"/>
      <c r="O381" s="126"/>
      <c r="P381" s="126"/>
      <c r="Q381" s="126"/>
      <c r="R381" s="126"/>
      <c r="S381" s="126"/>
      <c r="T381" s="126"/>
      <c r="U381" s="126"/>
      <c r="V381" s="126"/>
      <c r="W381" s="126"/>
      <c r="X381" s="126"/>
      <c r="Y381" s="127"/>
      <c r="Z381" s="126"/>
      <c r="AA381" s="126"/>
      <c r="AB381" s="126"/>
      <c r="AC381" s="126"/>
      <c r="AD381" s="126"/>
      <c r="AE381" s="126"/>
      <c r="AF381" s="126"/>
      <c r="AG381" s="126"/>
      <c r="AH381" s="126"/>
      <c r="AI381" s="126"/>
      <c r="AJ381" s="126"/>
      <c r="AK381" s="127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>
        <f>32.799493*0.3652</f>
        <v>11.978374843600001</v>
      </c>
      <c r="AW381" s="127">
        <f>27.014239*0.349</f>
        <v>9.4279694109999994</v>
      </c>
      <c r="AX381" s="126">
        <f>37.958053*0.3262</f>
        <v>12.381916888599999</v>
      </c>
      <c r="AY381" s="126">
        <v>10.991465</v>
      </c>
      <c r="AZ381" s="126">
        <f>AZ$397*0.3112</f>
        <v>11.428548944800001</v>
      </c>
      <c r="BA381" s="126">
        <f>BA$397*0.3095</f>
        <v>11.987716797000003</v>
      </c>
      <c r="BB381" s="126">
        <f>BB$397*0.3039</f>
        <v>11.037095509799993</v>
      </c>
      <c r="BC381" s="126">
        <f>BC$397*0.2642</f>
        <v>13.423761577999999</v>
      </c>
      <c r="BD381" s="126"/>
      <c r="BE381" s="126"/>
      <c r="BF381" s="126"/>
      <c r="BG381" s="126"/>
      <c r="BH381" s="126"/>
      <c r="BI381" s="126"/>
      <c r="BJ381" s="126"/>
      <c r="BK381" s="126"/>
      <c r="BL381" s="126"/>
      <c r="BO381" s="268">
        <f t="shared" si="772"/>
        <v>0.31471200319181669</v>
      </c>
      <c r="BQ381" s="268">
        <f t="shared" si="773"/>
        <v>0.16767144306315998</v>
      </c>
    </row>
    <row r="382" spans="1:69">
      <c r="A382" s="5" t="s">
        <v>118</v>
      </c>
      <c r="B382" s="126"/>
      <c r="C382" s="126"/>
      <c r="D382" s="126"/>
      <c r="E382" s="126"/>
      <c r="F382" s="126"/>
      <c r="G382" s="126"/>
      <c r="H382" s="126"/>
      <c r="I382" s="126"/>
      <c r="J382" s="126"/>
      <c r="K382" s="126"/>
      <c r="L382" s="126"/>
      <c r="M382" s="127"/>
      <c r="N382" s="126"/>
      <c r="O382" s="126"/>
      <c r="P382" s="126"/>
      <c r="Q382" s="126"/>
      <c r="R382" s="126"/>
      <c r="S382" s="126"/>
      <c r="T382" s="126"/>
      <c r="U382" s="126"/>
      <c r="V382" s="126"/>
      <c r="W382" s="126"/>
      <c r="X382" s="126"/>
      <c r="Y382" s="127"/>
      <c r="Z382" s="126"/>
      <c r="AA382" s="126"/>
      <c r="AB382" s="126"/>
      <c r="AC382" s="126"/>
      <c r="AD382" s="126"/>
      <c r="AE382" s="126"/>
      <c r="AF382" s="126"/>
      <c r="AG382" s="126"/>
      <c r="AH382" s="126"/>
      <c r="AI382" s="126"/>
      <c r="AJ382" s="126"/>
      <c r="AK382" s="127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>
        <f>32.799493*0.1058</f>
        <v>3.4701863594</v>
      </c>
      <c r="AW382" s="127">
        <f>27.014239*0.0974</f>
        <v>2.6311868785999999</v>
      </c>
      <c r="AX382" s="126">
        <f>37.958053*0.1011</f>
        <v>3.8375591582999999</v>
      </c>
      <c r="AY382" s="126">
        <v>3.431435</v>
      </c>
      <c r="AZ382" s="126">
        <f>AZ$397*0.1058</f>
        <v>3.8854128482000005</v>
      </c>
      <c r="BA382" s="126">
        <f>BA$397*0.1211</f>
        <v>4.690508898600001</v>
      </c>
      <c r="BB382" s="126">
        <f>BB$397*0.1148</f>
        <v>4.1693272935999977</v>
      </c>
      <c r="BC382" s="126">
        <f>BC$397*0.1172</f>
        <v>5.954825348</v>
      </c>
      <c r="BD382" s="126"/>
      <c r="BE382" s="126"/>
      <c r="BF382" s="126"/>
      <c r="BG382" s="126"/>
      <c r="BH382" s="126"/>
      <c r="BI382" s="126"/>
      <c r="BJ382" s="126"/>
      <c r="BK382" s="126"/>
      <c r="BL382" s="126"/>
      <c r="BO382" s="268">
        <f t="shared" si="772"/>
        <v>0.10892829930221704</v>
      </c>
      <c r="BQ382" s="268">
        <f t="shared" si="773"/>
        <v>0.11009869482704202</v>
      </c>
    </row>
    <row r="383" spans="1:69">
      <c r="A383" s="5" t="s">
        <v>215</v>
      </c>
      <c r="B383" s="126"/>
      <c r="C383" s="126"/>
      <c r="D383" s="126"/>
      <c r="E383" s="126"/>
      <c r="F383" s="126"/>
      <c r="G383" s="126"/>
      <c r="H383" s="126"/>
      <c r="I383" s="126"/>
      <c r="J383" s="126"/>
      <c r="K383" s="126"/>
      <c r="L383" s="126"/>
      <c r="M383" s="127"/>
      <c r="N383" s="126"/>
      <c r="O383" s="126"/>
      <c r="P383" s="126"/>
      <c r="Q383" s="126"/>
      <c r="R383" s="126"/>
      <c r="S383" s="126"/>
      <c r="T383" s="126"/>
      <c r="U383" s="126"/>
      <c r="V383" s="126"/>
      <c r="W383" s="126"/>
      <c r="X383" s="126"/>
      <c r="Y383" s="127"/>
      <c r="Z383" s="126"/>
      <c r="AA383" s="126"/>
      <c r="AB383" s="126"/>
      <c r="AC383" s="126"/>
      <c r="AD383" s="126"/>
      <c r="AE383" s="126"/>
      <c r="AF383" s="126"/>
      <c r="AG383" s="126"/>
      <c r="AH383" s="126"/>
      <c r="AI383" s="126"/>
      <c r="AJ383" s="126"/>
      <c r="AK383" s="127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>
        <f>32.799493*0.033</f>
        <v>1.0823832689999999</v>
      </c>
      <c r="AW383" s="127">
        <f>27.014239*0.0407</f>
        <v>1.0994795273</v>
      </c>
      <c r="AX383" s="126">
        <f>37.958053*0.0451</f>
        <v>1.7119081903</v>
      </c>
      <c r="AY383" s="126">
        <v>1.5429980000000001</v>
      </c>
      <c r="AZ383" s="126">
        <f>AZ$397*0.0518</f>
        <v>1.9023098822000002</v>
      </c>
      <c r="BA383" s="126">
        <f>BA$397*0.0466</f>
        <v>1.8049357116000004</v>
      </c>
      <c r="BB383" s="126">
        <f>BB$397*0.0315</f>
        <v>1.1440227329999992</v>
      </c>
      <c r="BC383" s="126">
        <f>BC$397*0.0522</f>
        <v>2.6522344979999999</v>
      </c>
      <c r="BD383" s="126"/>
      <c r="BE383" s="126"/>
      <c r="BF383" s="126"/>
      <c r="BG383" s="126"/>
      <c r="BH383" s="126"/>
      <c r="BI383" s="126"/>
      <c r="BJ383" s="126"/>
      <c r="BK383" s="126"/>
      <c r="BL383" s="126"/>
      <c r="BO383" s="268">
        <f t="shared" si="772"/>
        <v>4.3952054367916063E-2</v>
      </c>
      <c r="BQ383" s="268">
        <f t="shared" si="773"/>
        <v>8.8222055991531878E-2</v>
      </c>
    </row>
    <row r="384" spans="1:69">
      <c r="A384" s="5" t="s">
        <v>170</v>
      </c>
      <c r="B384" s="126"/>
      <c r="C384" s="126"/>
      <c r="D384" s="126"/>
      <c r="E384" s="126"/>
      <c r="F384" s="126"/>
      <c r="G384" s="126"/>
      <c r="H384" s="126"/>
      <c r="I384" s="126"/>
      <c r="J384" s="126"/>
      <c r="K384" s="126"/>
      <c r="L384" s="126"/>
      <c r="M384" s="127"/>
      <c r="N384" s="126"/>
      <c r="O384" s="126"/>
      <c r="P384" s="126"/>
      <c r="Q384" s="126"/>
      <c r="R384" s="126"/>
      <c r="S384" s="126"/>
      <c r="T384" s="126"/>
      <c r="U384" s="126"/>
      <c r="V384" s="126"/>
      <c r="W384" s="126"/>
      <c r="X384" s="126"/>
      <c r="Y384" s="127"/>
      <c r="Z384" s="126"/>
      <c r="AA384" s="126"/>
      <c r="AB384" s="126"/>
      <c r="AC384" s="126"/>
      <c r="AD384" s="126"/>
      <c r="AE384" s="126"/>
      <c r="AF384" s="126"/>
      <c r="AG384" s="126"/>
      <c r="AH384" s="126"/>
      <c r="AI384" s="126"/>
      <c r="AJ384" s="126"/>
      <c r="AK384" s="127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>
        <f>32.799493*0.0197</f>
        <v>0.64615001209999989</v>
      </c>
      <c r="AW384" s="127">
        <f>27.014239*0.0219</f>
        <v>0.59161183409999996</v>
      </c>
      <c r="AX384" s="126">
        <f>37.958053*0.0168</f>
        <v>0.63769529039999995</v>
      </c>
      <c r="AY384" s="126">
        <v>0.52276100000000003</v>
      </c>
      <c r="AZ384" s="126">
        <f>AZ$397*0.0177</f>
        <v>0.65001708330000008</v>
      </c>
      <c r="BA384" s="126">
        <f>BA$397*0.0187</f>
        <v>0.72429823620000022</v>
      </c>
      <c r="BB384" s="126">
        <f>BB$397*0.011</f>
        <v>0.39950000199999974</v>
      </c>
      <c r="BC384" s="126">
        <f>BC$397*0.0103</f>
        <v>0.52333362699999997</v>
      </c>
      <c r="BD384" s="126"/>
      <c r="BE384" s="126"/>
      <c r="BF384" s="126"/>
      <c r="BG384" s="126"/>
      <c r="BH384" s="126"/>
      <c r="BI384" s="126"/>
      <c r="BJ384" s="126"/>
      <c r="BK384" s="126"/>
      <c r="BL384" s="126"/>
      <c r="BO384" s="268">
        <f t="shared" si="772"/>
        <v>1.5947967122285012E-2</v>
      </c>
      <c r="BQ384" s="268">
        <f t="shared" si="773"/>
        <v>3.7590259670754952E-2</v>
      </c>
    </row>
    <row r="385" spans="1:69">
      <c r="A385" s="5" t="s">
        <v>370</v>
      </c>
      <c r="B385" s="126"/>
      <c r="C385" s="126"/>
      <c r="D385" s="126"/>
      <c r="E385" s="126"/>
      <c r="F385" s="126"/>
      <c r="G385" s="126"/>
      <c r="H385" s="126"/>
      <c r="I385" s="126"/>
      <c r="J385" s="126"/>
      <c r="K385" s="126"/>
      <c r="L385" s="126"/>
      <c r="M385" s="127"/>
      <c r="N385" s="126"/>
      <c r="O385" s="126"/>
      <c r="P385" s="126"/>
      <c r="Q385" s="126"/>
      <c r="R385" s="126"/>
      <c r="S385" s="126"/>
      <c r="T385" s="126"/>
      <c r="U385" s="126"/>
      <c r="V385" s="126"/>
      <c r="W385" s="126"/>
      <c r="X385" s="126"/>
      <c r="Y385" s="127"/>
      <c r="Z385" s="126"/>
      <c r="AA385" s="126"/>
      <c r="AB385" s="126"/>
      <c r="AC385" s="126"/>
      <c r="AD385" s="126"/>
      <c r="AE385" s="126"/>
      <c r="AF385" s="126"/>
      <c r="AG385" s="126"/>
      <c r="AH385" s="126"/>
      <c r="AI385" s="126"/>
      <c r="AJ385" s="126"/>
      <c r="AK385" s="127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>
        <f>32.799493*0.0581</f>
        <v>1.9056505432999999</v>
      </c>
      <c r="AW385" s="127">
        <f>27.014239*0.0627</f>
        <v>1.6937927853000001</v>
      </c>
      <c r="AX385" s="126">
        <f>37.958053*0.0686</f>
        <v>2.6039224357999999</v>
      </c>
      <c r="AY385" s="126">
        <v>2.5473189999999999</v>
      </c>
      <c r="AZ385" s="126">
        <f>AZ$397*0.07</f>
        <v>2.5706890300000005</v>
      </c>
      <c r="BA385" s="126">
        <f>BA$397*0.0745</f>
        <v>2.8855731870000003</v>
      </c>
      <c r="BB385" s="126">
        <f>BB$397*0.0778</f>
        <v>2.8255545595999982</v>
      </c>
      <c r="BC385" s="126">
        <f>BC$397*0.0674</f>
        <v>3.4245326659999997</v>
      </c>
      <c r="BD385" s="126"/>
      <c r="BE385" s="126"/>
      <c r="BF385" s="126"/>
      <c r="BG385" s="126"/>
      <c r="BH385" s="126"/>
      <c r="BI385" s="126"/>
      <c r="BJ385" s="126"/>
      <c r="BK385" s="126"/>
      <c r="BL385" s="126"/>
      <c r="BO385" s="268">
        <f t="shared" si="772"/>
        <v>6.9482982488843589E-2</v>
      </c>
      <c r="BQ385" s="268">
        <f t="shared" si="773"/>
        <v>0.13224476850415456</v>
      </c>
    </row>
    <row r="386" spans="1:69">
      <c r="A386" s="5" t="s">
        <v>200</v>
      </c>
      <c r="B386" s="126"/>
      <c r="C386" s="126"/>
      <c r="D386" s="126"/>
      <c r="E386" s="126"/>
      <c r="F386" s="126"/>
      <c r="G386" s="126"/>
      <c r="H386" s="126"/>
      <c r="I386" s="126"/>
      <c r="J386" s="126"/>
      <c r="K386" s="126"/>
      <c r="L386" s="126"/>
      <c r="M386" s="127"/>
      <c r="N386" s="126"/>
      <c r="O386" s="126"/>
      <c r="P386" s="126"/>
      <c r="Q386" s="126"/>
      <c r="R386" s="126"/>
      <c r="S386" s="126"/>
      <c r="T386" s="126"/>
      <c r="U386" s="126"/>
      <c r="V386" s="126"/>
      <c r="W386" s="126"/>
      <c r="X386" s="126"/>
      <c r="Y386" s="127"/>
      <c r="Z386" s="126"/>
      <c r="AA386" s="126"/>
      <c r="AB386" s="126"/>
      <c r="AC386" s="126"/>
      <c r="AD386" s="126"/>
      <c r="AE386" s="126"/>
      <c r="AF386" s="126"/>
      <c r="AG386" s="126"/>
      <c r="AH386" s="126"/>
      <c r="AI386" s="126"/>
      <c r="AJ386" s="126"/>
      <c r="AK386" s="127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>
        <f>32.799493*0.0502</f>
        <v>1.6465345486</v>
      </c>
      <c r="AW386" s="127">
        <f>27.014239*0.0476</f>
        <v>1.2858777764</v>
      </c>
      <c r="AX386" s="126">
        <f>37.958053*0.0407</f>
        <v>1.5448927571</v>
      </c>
      <c r="AY386" s="126">
        <v>1.7208289999999999</v>
      </c>
      <c r="AZ386" s="126">
        <f>AZ$397*0.0352</f>
        <v>1.2926893408000002</v>
      </c>
      <c r="BA386" s="126">
        <f>BA$397*0.0316</f>
        <v>1.2239478216000004</v>
      </c>
      <c r="BB386" s="126">
        <f>BB$397*0.0388</f>
        <v>1.4091454615999992</v>
      </c>
      <c r="BC386" s="126">
        <f>BC$397*0.0308</f>
        <v>1.564919972</v>
      </c>
      <c r="BD386" s="126"/>
      <c r="BE386" s="126"/>
      <c r="BF386" s="126"/>
      <c r="BG386" s="126"/>
      <c r="BH386" s="126"/>
      <c r="BI386" s="126"/>
      <c r="BJ386" s="126"/>
      <c r="BK386" s="126"/>
      <c r="BL386" s="126"/>
      <c r="BO386" s="268">
        <f t="shared" si="772"/>
        <v>3.9701514207834895E-2</v>
      </c>
      <c r="BQ386" s="268">
        <f t="shared" si="773"/>
        <v>0.11588866238961096</v>
      </c>
    </row>
    <row r="387" spans="1:69">
      <c r="A387" s="5" t="s">
        <v>119</v>
      </c>
      <c r="B387" s="126"/>
      <c r="C387" s="126"/>
      <c r="D387" s="126"/>
      <c r="E387" s="126"/>
      <c r="F387" s="126"/>
      <c r="G387" s="126"/>
      <c r="H387" s="126"/>
      <c r="I387" s="126"/>
      <c r="J387" s="126"/>
      <c r="K387" s="126"/>
      <c r="L387" s="126"/>
      <c r="M387" s="127"/>
      <c r="N387" s="126"/>
      <c r="O387" s="126"/>
      <c r="P387" s="126"/>
      <c r="Q387" s="126"/>
      <c r="R387" s="126"/>
      <c r="S387" s="126"/>
      <c r="T387" s="126"/>
      <c r="U387" s="126"/>
      <c r="V387" s="126"/>
      <c r="W387" s="126"/>
      <c r="X387" s="126"/>
      <c r="Y387" s="127"/>
      <c r="Z387" s="126"/>
      <c r="AA387" s="126"/>
      <c r="AB387" s="126"/>
      <c r="AC387" s="126"/>
      <c r="AD387" s="126"/>
      <c r="AE387" s="126"/>
      <c r="AF387" s="126"/>
      <c r="AG387" s="126"/>
      <c r="AH387" s="126"/>
      <c r="AI387" s="126"/>
      <c r="AJ387" s="126"/>
      <c r="AK387" s="127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>
        <f>32.799493*0.1598</f>
        <v>5.2413589813999995</v>
      </c>
      <c r="AW387" s="127">
        <f>27.014239*0.154</f>
        <v>4.1601928059999995</v>
      </c>
      <c r="AX387" s="126">
        <f>37.958053*0.133</f>
        <v>5.0484210489999999</v>
      </c>
      <c r="AY387" s="126">
        <v>4.4279820000000001</v>
      </c>
      <c r="AZ387" s="126">
        <f>AZ$397*0.1476</f>
        <v>5.4204814404000015</v>
      </c>
      <c r="BA387" s="126">
        <f>BA$397*0.1564</f>
        <v>6.0577670664000012</v>
      </c>
      <c r="BB387" s="126">
        <f>BB$397*0.1446</f>
        <v>5.2516091171999975</v>
      </c>
      <c r="BC387" s="126">
        <f>BC$397*(0.1089+0.0211)</f>
        <v>6.6051817000000002</v>
      </c>
      <c r="BD387" s="126"/>
      <c r="BE387" s="126"/>
      <c r="BF387" s="126"/>
      <c r="BG387" s="126"/>
      <c r="BH387" s="126"/>
      <c r="BI387" s="126"/>
      <c r="BJ387" s="126"/>
      <c r="BK387" s="126"/>
      <c r="BL387" s="126"/>
      <c r="BO387" s="268">
        <f t="shared" si="772"/>
        <v>0.14337780855081553</v>
      </c>
      <c r="BQ387" s="268">
        <f t="shared" si="773"/>
        <v>0.33849508370934095</v>
      </c>
    </row>
    <row r="388" spans="1:69">
      <c r="A388" s="5" t="s">
        <v>120</v>
      </c>
      <c r="B388" s="126"/>
      <c r="C388" s="126"/>
      <c r="D388" s="126"/>
      <c r="E388" s="126"/>
      <c r="F388" s="126"/>
      <c r="G388" s="126"/>
      <c r="H388" s="126"/>
      <c r="I388" s="126"/>
      <c r="J388" s="126"/>
      <c r="K388" s="126"/>
      <c r="L388" s="126"/>
      <c r="M388" s="127"/>
      <c r="N388" s="126"/>
      <c r="O388" s="126"/>
      <c r="P388" s="126"/>
      <c r="Q388" s="126"/>
      <c r="R388" s="126"/>
      <c r="S388" s="126"/>
      <c r="T388" s="126"/>
      <c r="U388" s="126"/>
      <c r="V388" s="126"/>
      <c r="W388" s="126"/>
      <c r="X388" s="126"/>
      <c r="Y388" s="127"/>
      <c r="Z388" s="126"/>
      <c r="AA388" s="126"/>
      <c r="AB388" s="126"/>
      <c r="AC388" s="126"/>
      <c r="AD388" s="126"/>
      <c r="AE388" s="126"/>
      <c r="AF388" s="126"/>
      <c r="AG388" s="126"/>
      <c r="AH388" s="126"/>
      <c r="AI388" s="126"/>
      <c r="AJ388" s="126"/>
      <c r="AK388" s="127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>
        <f>32.799493*0.0006</f>
        <v>1.9679695799999997E-2</v>
      </c>
      <c r="AW388" s="127">
        <f>27.014239*0.0008</f>
        <v>2.16113912E-2</v>
      </c>
      <c r="AX388" s="126">
        <f>37.958053*0.0008</f>
        <v>3.0366442400000002E-2</v>
      </c>
      <c r="AY388" s="126">
        <v>1.4483E-3</v>
      </c>
      <c r="AZ388" s="126">
        <f>AZ$397*0.0008</f>
        <v>2.9379303200000005E-2</v>
      </c>
      <c r="BA388" s="126">
        <f>BA$397*0.0013</f>
        <v>5.0352283800000008E-2</v>
      </c>
      <c r="BB388" s="126">
        <f>BB$397*0.0006</f>
        <v>2.1790909199999986E-2</v>
      </c>
      <c r="BC388" s="126">
        <f>BC$397*0.0008</f>
        <v>4.0647271999999998E-2</v>
      </c>
      <c r="BD388" s="126"/>
      <c r="BE388" s="126"/>
      <c r="BF388" s="126"/>
      <c r="BG388" s="126"/>
      <c r="BH388" s="126"/>
      <c r="BI388" s="126"/>
      <c r="BJ388" s="126"/>
      <c r="BK388" s="126"/>
      <c r="BL388" s="126"/>
      <c r="BO388" s="268">
        <f t="shared" si="772"/>
        <v>7.3119057371462989E-4</v>
      </c>
      <c r="BQ388" s="268">
        <f t="shared" si="773"/>
        <v>9.1831556564621105E-3</v>
      </c>
    </row>
    <row r="389" spans="1:69">
      <c r="A389" s="5" t="s">
        <v>121</v>
      </c>
      <c r="B389" s="126"/>
      <c r="C389" s="126"/>
      <c r="D389" s="126"/>
      <c r="E389" s="126"/>
      <c r="F389" s="126"/>
      <c r="G389" s="126"/>
      <c r="H389" s="126"/>
      <c r="I389" s="126"/>
      <c r="J389" s="126"/>
      <c r="K389" s="126"/>
      <c r="L389" s="126"/>
      <c r="M389" s="127"/>
      <c r="N389" s="126"/>
      <c r="O389" s="126"/>
      <c r="P389" s="126"/>
      <c r="Q389" s="126"/>
      <c r="R389" s="126"/>
      <c r="S389" s="126"/>
      <c r="T389" s="126"/>
      <c r="U389" s="126"/>
      <c r="V389" s="126"/>
      <c r="W389" s="126"/>
      <c r="X389" s="126"/>
      <c r="Y389" s="127"/>
      <c r="Z389" s="126"/>
      <c r="AA389" s="126"/>
      <c r="AB389" s="126"/>
      <c r="AC389" s="126"/>
      <c r="AD389" s="126"/>
      <c r="AE389" s="126"/>
      <c r="AF389" s="126"/>
      <c r="AG389" s="126"/>
      <c r="AH389" s="126"/>
      <c r="AI389" s="126"/>
      <c r="AJ389" s="126"/>
      <c r="AK389" s="127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>
        <f>32.799493*0.0027</f>
        <v>8.8558631099999993E-2</v>
      </c>
      <c r="AW389" s="127">
        <f>27.014239*0.0025</f>
        <v>6.7535597500000003E-2</v>
      </c>
      <c r="AX389" s="126">
        <f>37.958053*0.0021</f>
        <v>7.9711911299999993E-2</v>
      </c>
      <c r="AY389" s="126">
        <v>6.0331999999999998E-3</v>
      </c>
      <c r="AZ389" s="126">
        <f>AZ$397*0.0019</f>
        <v>6.9775845100000011E-2</v>
      </c>
      <c r="BA389" s="126">
        <f>BA$397*0.002</f>
        <v>7.746505200000002E-2</v>
      </c>
      <c r="BB389" s="126">
        <f>BB$397*0.0011</f>
        <v>3.9950000199999981E-2</v>
      </c>
      <c r="BC389" s="126">
        <f>BC$397*0.0012</f>
        <v>6.097090799999999E-2</v>
      </c>
      <c r="BD389" s="126"/>
      <c r="BE389" s="126"/>
      <c r="BF389" s="126"/>
      <c r="BG389" s="126"/>
      <c r="BH389" s="126"/>
      <c r="BI389" s="126"/>
      <c r="BJ389" s="126"/>
      <c r="BK389" s="126"/>
      <c r="BL389" s="126"/>
      <c r="BO389" s="268">
        <f t="shared" si="772"/>
        <v>1.6643048374917794E-3</v>
      </c>
      <c r="BQ389" s="268">
        <f t="shared" si="773"/>
        <v>1.5625210377109441E-2</v>
      </c>
    </row>
    <row r="390" spans="1:69">
      <c r="A390" s="5" t="s">
        <v>122</v>
      </c>
      <c r="B390" s="126"/>
      <c r="C390" s="126"/>
      <c r="D390" s="126"/>
      <c r="E390" s="126"/>
      <c r="F390" s="126"/>
      <c r="G390" s="126"/>
      <c r="H390" s="126"/>
      <c r="I390" s="126"/>
      <c r="J390" s="126"/>
      <c r="K390" s="126"/>
      <c r="L390" s="126"/>
      <c r="M390" s="127"/>
      <c r="N390" s="126"/>
      <c r="O390" s="126"/>
      <c r="P390" s="126"/>
      <c r="Q390" s="126"/>
      <c r="R390" s="126"/>
      <c r="S390" s="126"/>
      <c r="T390" s="126"/>
      <c r="U390" s="126"/>
      <c r="V390" s="126"/>
      <c r="W390" s="126"/>
      <c r="X390" s="126"/>
      <c r="Y390" s="127"/>
      <c r="Z390" s="126"/>
      <c r="AA390" s="126"/>
      <c r="AB390" s="126"/>
      <c r="AC390" s="126"/>
      <c r="AD390" s="126"/>
      <c r="AE390" s="126"/>
      <c r="AF390" s="126"/>
      <c r="AG390" s="126"/>
      <c r="AH390" s="126"/>
      <c r="AI390" s="126"/>
      <c r="AJ390" s="126"/>
      <c r="AK390" s="127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>
        <f>32.799493*0.0132</f>
        <v>0.43295330759999995</v>
      </c>
      <c r="AW390" s="127">
        <f>27.014239*0.0173</f>
        <v>0.46734633469999998</v>
      </c>
      <c r="AX390" s="126">
        <f>37.958053*0.00171</f>
        <v>6.4908270630000001E-2</v>
      </c>
      <c r="AY390" s="126">
        <v>0.51553300000000002</v>
      </c>
      <c r="AZ390" s="126">
        <f>AZ$397*0.0179</f>
        <v>0.65736190910000003</v>
      </c>
      <c r="BA390" s="126">
        <f>BA$397*0.0188</f>
        <v>0.72817148880000016</v>
      </c>
      <c r="BB390" s="126">
        <f>BB$397*0.011</f>
        <v>0.39950000199999974</v>
      </c>
      <c r="BC390" s="126">
        <f>BC$397*0.0114</f>
        <v>0.57922362599999999</v>
      </c>
      <c r="BD390" s="126"/>
      <c r="BE390" s="126"/>
      <c r="BF390" s="126"/>
      <c r="BG390" s="126"/>
      <c r="BH390" s="126"/>
      <c r="BI390" s="126"/>
      <c r="BJ390" s="126"/>
      <c r="BK390" s="126"/>
      <c r="BL390" s="126"/>
      <c r="BO390" s="268">
        <f t="shared" si="772"/>
        <v>1.305966064044352E-2</v>
      </c>
      <c r="BQ390" s="268">
        <f t="shared" si="773"/>
        <v>0.11173439642182167</v>
      </c>
    </row>
    <row r="391" spans="1:69">
      <c r="A391" s="5" t="s">
        <v>374</v>
      </c>
      <c r="B391" s="126"/>
      <c r="C391" s="126"/>
      <c r="D391" s="126"/>
      <c r="E391" s="126"/>
      <c r="F391" s="126"/>
      <c r="G391" s="126"/>
      <c r="H391" s="126"/>
      <c r="I391" s="126"/>
      <c r="J391" s="126"/>
      <c r="K391" s="126"/>
      <c r="L391" s="126"/>
      <c r="M391" s="127"/>
      <c r="N391" s="126"/>
      <c r="O391" s="126"/>
      <c r="P391" s="126"/>
      <c r="Q391" s="126"/>
      <c r="R391" s="126"/>
      <c r="S391" s="126"/>
      <c r="T391" s="126"/>
      <c r="U391" s="126"/>
      <c r="V391" s="126"/>
      <c r="W391" s="126"/>
      <c r="X391" s="126"/>
      <c r="Y391" s="127"/>
      <c r="Z391" s="126"/>
      <c r="AA391" s="126"/>
      <c r="AB391" s="126"/>
      <c r="AC391" s="126"/>
      <c r="AD391" s="126"/>
      <c r="AE391" s="126"/>
      <c r="AF391" s="126"/>
      <c r="AG391" s="126"/>
      <c r="AH391" s="126"/>
      <c r="AI391" s="126"/>
      <c r="AJ391" s="126"/>
      <c r="AK391" s="127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559"/>
      <c r="AW391" s="560"/>
      <c r="AX391" s="559"/>
      <c r="AY391" s="559"/>
      <c r="AZ391" s="559"/>
      <c r="BA391" s="559"/>
      <c r="BB391" s="126">
        <f>BB$397*0.0657</f>
        <v>2.3861045573999986</v>
      </c>
      <c r="BC391" s="126">
        <f>BC$397*0.0617</f>
        <v>3.1349208529999997</v>
      </c>
      <c r="BD391" s="126"/>
      <c r="BE391" s="126"/>
      <c r="BF391" s="126"/>
      <c r="BG391" s="126"/>
      <c r="BH391" s="126"/>
      <c r="BI391" s="126"/>
      <c r="BJ391" s="126"/>
      <c r="BK391" s="126"/>
      <c r="BL391" s="126"/>
      <c r="BO391" s="268">
        <f t="shared" si="772"/>
        <v>1.8752342496451278E-2</v>
      </c>
      <c r="BQ391" s="268">
        <f t="shared" ref="BQ391:BQ393" si="774">SUM(AZ391:BC391)/SUM(AZ416:BC416)</f>
        <v>0.28424772262408887</v>
      </c>
    </row>
    <row r="392" spans="1:69">
      <c r="A392" s="5" t="s">
        <v>375</v>
      </c>
      <c r="B392" s="126"/>
      <c r="C392" s="126"/>
      <c r="D392" s="126"/>
      <c r="E392" s="126"/>
      <c r="F392" s="126"/>
      <c r="G392" s="126"/>
      <c r="H392" s="126"/>
      <c r="I392" s="126"/>
      <c r="J392" s="126"/>
      <c r="K392" s="126"/>
      <c r="L392" s="126"/>
      <c r="M392" s="127"/>
      <c r="N392" s="126"/>
      <c r="O392" s="126"/>
      <c r="P392" s="126"/>
      <c r="Q392" s="126"/>
      <c r="R392" s="126"/>
      <c r="S392" s="126"/>
      <c r="T392" s="126"/>
      <c r="U392" s="126"/>
      <c r="V392" s="126"/>
      <c r="W392" s="126"/>
      <c r="X392" s="126"/>
      <c r="Y392" s="127"/>
      <c r="Z392" s="126"/>
      <c r="AA392" s="126"/>
      <c r="AB392" s="126"/>
      <c r="AC392" s="126"/>
      <c r="AD392" s="126"/>
      <c r="AE392" s="126"/>
      <c r="AF392" s="126"/>
      <c r="AG392" s="126"/>
      <c r="AH392" s="126"/>
      <c r="AI392" s="126"/>
      <c r="AJ392" s="126"/>
      <c r="AK392" s="127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559"/>
      <c r="AW392" s="560"/>
      <c r="AX392" s="559"/>
      <c r="AY392" s="559"/>
      <c r="AZ392" s="559"/>
      <c r="BA392" s="559"/>
      <c r="BB392" s="126">
        <f>BB$397*0.005</f>
        <v>0.18159090999999991</v>
      </c>
      <c r="BC392" s="126">
        <f>BC$397*0.0277</f>
        <v>1.4074117929999999</v>
      </c>
      <c r="BD392" s="126"/>
      <c r="BE392" s="126"/>
      <c r="BF392" s="126"/>
      <c r="BG392" s="126"/>
      <c r="BH392" s="126"/>
      <c r="BI392" s="126"/>
      <c r="BJ392" s="126"/>
      <c r="BK392" s="126"/>
      <c r="BL392" s="126"/>
      <c r="BO392" s="268">
        <f t="shared" si="772"/>
        <v>5.3970993972085367E-3</v>
      </c>
      <c r="BQ392" s="268">
        <f t="shared" si="774"/>
        <v>0.32668488179247762</v>
      </c>
    </row>
    <row r="393" spans="1:69">
      <c r="A393" s="5" t="s">
        <v>91</v>
      </c>
      <c r="B393" s="126"/>
      <c r="C393" s="126"/>
      <c r="D393" s="126"/>
      <c r="E393" s="126"/>
      <c r="F393" s="126"/>
      <c r="G393" s="126"/>
      <c r="H393" s="126"/>
      <c r="I393" s="126"/>
      <c r="J393" s="126"/>
      <c r="K393" s="126"/>
      <c r="L393" s="126"/>
      <c r="M393" s="127"/>
      <c r="N393" s="126"/>
      <c r="O393" s="126"/>
      <c r="P393" s="126"/>
      <c r="Q393" s="126"/>
      <c r="R393" s="126"/>
      <c r="S393" s="126"/>
      <c r="T393" s="126"/>
      <c r="U393" s="126"/>
      <c r="V393" s="126"/>
      <c r="W393" s="126"/>
      <c r="X393" s="126"/>
      <c r="Y393" s="127"/>
      <c r="Z393" s="126"/>
      <c r="AA393" s="126"/>
      <c r="AB393" s="126"/>
      <c r="AC393" s="126"/>
      <c r="AD393" s="126"/>
      <c r="AE393" s="126"/>
      <c r="AF393" s="126"/>
      <c r="AG393" s="126"/>
      <c r="AH393" s="126"/>
      <c r="AI393" s="126"/>
      <c r="AJ393" s="126"/>
      <c r="AK393" s="127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559"/>
      <c r="AW393" s="560"/>
      <c r="AX393" s="559"/>
      <c r="AY393" s="559"/>
      <c r="AZ393" s="559"/>
      <c r="BA393" s="559"/>
      <c r="BB393" s="126">
        <f>BB$397*0.0012</f>
        <v>4.3581818399999972E-2</v>
      </c>
      <c r="BC393" s="126">
        <f>BC$397*0.0104</f>
        <v>0.52841453599999999</v>
      </c>
      <c r="BD393" s="126"/>
      <c r="BE393" s="126"/>
      <c r="BF393" s="126"/>
      <c r="BG393" s="126"/>
      <c r="BH393" s="126"/>
      <c r="BI393" s="126"/>
      <c r="BJ393" s="126"/>
      <c r="BK393" s="126"/>
      <c r="BL393" s="126"/>
      <c r="BO393" s="268">
        <f t="shared" si="772"/>
        <v>1.9428042341962718E-3</v>
      </c>
      <c r="BQ393" s="268">
        <f t="shared" si="774"/>
        <v>0.30354901607954299</v>
      </c>
    </row>
    <row r="394" spans="1:69">
      <c r="A394" s="5" t="s">
        <v>123</v>
      </c>
      <c r="B394" s="126"/>
      <c r="C394" s="126"/>
      <c r="D394" s="126"/>
      <c r="E394" s="126"/>
      <c r="F394" s="126"/>
      <c r="G394" s="126"/>
      <c r="H394" s="126"/>
      <c r="I394" s="126"/>
      <c r="J394" s="126"/>
      <c r="K394" s="126"/>
      <c r="L394" s="126"/>
      <c r="M394" s="127"/>
      <c r="N394" s="126"/>
      <c r="O394" s="126"/>
      <c r="P394" s="126"/>
      <c r="Q394" s="126"/>
      <c r="R394" s="126"/>
      <c r="S394" s="126"/>
      <c r="T394" s="126"/>
      <c r="U394" s="126"/>
      <c r="V394" s="126"/>
      <c r="W394" s="126"/>
      <c r="X394" s="126"/>
      <c r="Y394" s="127"/>
      <c r="Z394" s="126"/>
      <c r="AA394" s="126"/>
      <c r="AB394" s="126"/>
      <c r="AC394" s="126"/>
      <c r="AD394" s="126"/>
      <c r="AE394" s="126"/>
      <c r="AF394" s="126"/>
      <c r="AG394" s="126"/>
      <c r="AH394" s="126"/>
      <c r="AI394" s="126"/>
      <c r="AJ394" s="126"/>
      <c r="AK394" s="127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>
        <f>32.799493*0.0009</f>
        <v>2.9519543699999998E-2</v>
      </c>
      <c r="AW394" s="127">
        <f>27.014239*0.001</f>
        <v>2.7014238999999999E-2</v>
      </c>
      <c r="AX394" s="126">
        <f>37.958053*0.0001</f>
        <v>3.7958053000000003E-3</v>
      </c>
      <c r="AY394" s="126">
        <v>3.1714E-3</v>
      </c>
      <c r="AZ394" s="126">
        <f>AZ$397*0.0011</f>
        <v>4.0396541900000006E-2</v>
      </c>
      <c r="BA394" s="126">
        <f>BA$397*0.0008</f>
        <v>3.0986020800000007E-2</v>
      </c>
      <c r="BB394" s="126">
        <f>BB$397*0.0005</f>
        <v>1.8159090999999988E-2</v>
      </c>
      <c r="BC394" s="126">
        <f>BC$397*0.0006</f>
        <v>3.0485453999999995E-2</v>
      </c>
      <c r="BD394" s="126"/>
      <c r="BE394" s="126"/>
      <c r="BF394" s="126"/>
      <c r="BG394" s="126"/>
      <c r="BH394" s="126"/>
      <c r="BI394" s="126"/>
      <c r="BJ394" s="126"/>
      <c r="BK394" s="126"/>
      <c r="BL394" s="126"/>
      <c r="BO394" s="268">
        <f t="shared" si="772"/>
        <v>6.2335915024135796E-4</v>
      </c>
      <c r="BQ394" s="268">
        <f>SUM(AZ394:BC394)/SUM(AZ419:BC419)</f>
        <v>2.5142214229531449E-2</v>
      </c>
    </row>
    <row r="395" spans="1:69">
      <c r="A395" s="5" t="s">
        <v>124</v>
      </c>
      <c r="B395" s="126"/>
      <c r="C395" s="126"/>
      <c r="D395" s="126"/>
      <c r="E395" s="126"/>
      <c r="F395" s="126"/>
      <c r="G395" s="126"/>
      <c r="H395" s="126"/>
      <c r="I395" s="126"/>
      <c r="J395" s="126"/>
      <c r="K395" s="126"/>
      <c r="L395" s="126"/>
      <c r="M395" s="127"/>
      <c r="N395" s="126"/>
      <c r="O395" s="126"/>
      <c r="P395" s="126"/>
      <c r="Q395" s="126"/>
      <c r="R395" s="126"/>
      <c r="S395" s="126"/>
      <c r="T395" s="126"/>
      <c r="U395" s="126"/>
      <c r="V395" s="126"/>
      <c r="W395" s="126"/>
      <c r="X395" s="126"/>
      <c r="Y395" s="127"/>
      <c r="Z395" s="126"/>
      <c r="AA395" s="126"/>
      <c r="AB395" s="126"/>
      <c r="AC395" s="126"/>
      <c r="AD395" s="126"/>
      <c r="AE395" s="126"/>
      <c r="AF395" s="126"/>
      <c r="AG395" s="126"/>
      <c r="AH395" s="126"/>
      <c r="AI395" s="126"/>
      <c r="AJ395" s="126"/>
      <c r="AK395" s="127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>
        <f>32.799493*0</f>
        <v>0</v>
      </c>
      <c r="AW395" s="127">
        <f>27.014239*0</f>
        <v>0</v>
      </c>
      <c r="AX395" s="126">
        <f>37.958053*0</f>
        <v>0</v>
      </c>
      <c r="AY395" s="126">
        <v>0</v>
      </c>
      <c r="AZ395" s="126">
        <f>AZ$397*0</f>
        <v>0</v>
      </c>
      <c r="BA395" s="126">
        <v>0</v>
      </c>
      <c r="BB395" s="126">
        <v>0</v>
      </c>
      <c r="BC395" s="126">
        <f>BC$397*0.0003</f>
        <v>1.5242726999999998E-2</v>
      </c>
      <c r="BD395" s="126"/>
      <c r="BE395" s="126"/>
      <c r="BF395" s="126"/>
      <c r="BG395" s="126"/>
      <c r="BH395" s="126"/>
      <c r="BI395" s="126"/>
      <c r="BJ395" s="126"/>
      <c r="BK395" s="126"/>
      <c r="BL395" s="126"/>
      <c r="BO395" s="268">
        <f t="shared" si="772"/>
        <v>5.1772418352842974E-5</v>
      </c>
      <c r="BQ395" s="268">
        <f>SUM(AZ395:BC395)/SUM(AZ420:BC420)</f>
        <v>3.651202110158605E-3</v>
      </c>
    </row>
    <row r="396" spans="1:69">
      <c r="A396" s="5" t="s">
        <v>203</v>
      </c>
      <c r="B396" s="126"/>
      <c r="C396" s="126"/>
      <c r="D396" s="126"/>
      <c r="E396" s="126"/>
      <c r="F396" s="126"/>
      <c r="G396" s="126"/>
      <c r="H396" s="126"/>
      <c r="I396" s="126"/>
      <c r="J396" s="126"/>
      <c r="K396" s="126"/>
      <c r="L396" s="126"/>
      <c r="M396" s="127"/>
      <c r="N396" s="126"/>
      <c r="O396" s="126"/>
      <c r="P396" s="126"/>
      <c r="Q396" s="126"/>
      <c r="R396" s="126"/>
      <c r="S396" s="126"/>
      <c r="T396" s="126"/>
      <c r="U396" s="126"/>
      <c r="V396" s="126"/>
      <c r="W396" s="126"/>
      <c r="X396" s="126"/>
      <c r="Y396" s="127"/>
      <c r="Z396" s="126"/>
      <c r="AA396" s="126"/>
      <c r="AB396" s="126"/>
      <c r="AC396" s="126"/>
      <c r="AD396" s="126"/>
      <c r="AE396" s="126"/>
      <c r="AF396" s="126"/>
      <c r="AG396" s="126"/>
      <c r="AH396" s="126"/>
      <c r="AI396" s="126"/>
      <c r="AJ396" s="126"/>
      <c r="AK396" s="127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>
        <f>32.799493-SUM(AV380:AV395)</f>
        <v>3.2799492999998847E-2</v>
      </c>
      <c r="AW396" s="127">
        <f>27.014239-SUM(AW380:AW395)</f>
        <v>1.0805695599994891E-2</v>
      </c>
      <c r="AX396" s="126">
        <f>37.958053-SUM(AX380:AX395)</f>
        <v>1.8557692111699922</v>
      </c>
      <c r="AY396" s="126">
        <f>AY$397-SUM(AY380:AY395)</f>
        <v>1.0977961000000107</v>
      </c>
      <c r="AZ396" s="126">
        <f>AZ$397-SUM(AZ380:AZ395)</f>
        <v>0.18729305789999984</v>
      </c>
      <c r="BA396" s="126">
        <f>BA$397-SUM(BA380:BA395)</f>
        <v>0.37183224959999706</v>
      </c>
      <c r="BB396" s="126">
        <f>BB$397-SUM(BB380:BB395)</f>
        <v>0.20701363740001</v>
      </c>
      <c r="BC396" s="126">
        <f>BC$397-SUM(BC380:BC395)</f>
        <v>0.17783181499999756</v>
      </c>
      <c r="BD396" s="126"/>
      <c r="BE396" s="126"/>
      <c r="BF396" s="126"/>
      <c r="BG396" s="126"/>
      <c r="BH396" s="126"/>
      <c r="BI396" s="126"/>
      <c r="BJ396" s="126"/>
      <c r="BK396" s="126"/>
      <c r="BL396" s="126"/>
      <c r="BO396" s="268">
        <f t="shared" si="772"/>
        <v>1.3386214558804725E-2</v>
      </c>
      <c r="BQ396" s="268">
        <f>SUM(AZ396:BC396)/SUM(AZ421:BC421)</f>
        <v>5.2374570503073786E-2</v>
      </c>
    </row>
    <row r="397" spans="1:69">
      <c r="A397" s="161" t="s">
        <v>256</v>
      </c>
      <c r="B397" s="162"/>
      <c r="C397" s="162"/>
      <c r="D397" s="162"/>
      <c r="E397" s="162"/>
      <c r="F397" s="162"/>
      <c r="G397" s="162"/>
      <c r="H397" s="163"/>
      <c r="I397" s="163"/>
      <c r="J397" s="163"/>
      <c r="K397" s="163"/>
      <c r="L397" s="163"/>
      <c r="M397" s="261"/>
      <c r="N397" s="164"/>
      <c r="O397" s="164"/>
      <c r="P397" s="164"/>
      <c r="Q397" s="164"/>
      <c r="R397" s="164"/>
      <c r="S397" s="164"/>
      <c r="T397" s="164"/>
      <c r="U397" s="164"/>
      <c r="V397" s="164"/>
      <c r="W397" s="164"/>
      <c r="X397" s="164"/>
      <c r="Y397" s="262"/>
      <c r="Z397" s="164"/>
      <c r="AA397" s="164"/>
      <c r="AB397" s="164"/>
      <c r="AC397" s="164"/>
      <c r="AD397" s="164"/>
      <c r="AE397" s="164"/>
      <c r="AF397" s="164"/>
      <c r="AG397" s="164"/>
      <c r="AH397" s="164"/>
      <c r="AI397" s="164"/>
      <c r="AJ397" s="164"/>
      <c r="AK397" s="262"/>
      <c r="AL397" s="164"/>
      <c r="AM397" s="164"/>
      <c r="AN397" s="164"/>
      <c r="AO397" s="164"/>
      <c r="AP397" s="164"/>
      <c r="AQ397" s="164"/>
      <c r="AR397" s="164"/>
      <c r="AS397" s="164"/>
      <c r="AT397" s="164"/>
      <c r="AU397" s="164"/>
      <c r="AV397" s="164">
        <f>SUM(AV380:AV396)</f>
        <v>32.799492999999998</v>
      </c>
      <c r="AW397" s="262">
        <f>SUM(AW380:AW396)</f>
        <v>27.014239</v>
      </c>
      <c r="AX397" s="164">
        <f>SUM(AX380:AX396)</f>
        <v>37.958053</v>
      </c>
      <c r="AY397" s="164">
        <f>AY65</f>
        <v>34.062193999999998</v>
      </c>
      <c r="AZ397" s="164">
        <f t="shared" ref="AZ397:BE397" si="775">AZ9-AZ372</f>
        <v>36.724129000000005</v>
      </c>
      <c r="BA397" s="164">
        <f t="shared" si="775"/>
        <v>38.732526000000007</v>
      </c>
      <c r="BB397" s="164">
        <f t="shared" si="775"/>
        <v>36.318181999999979</v>
      </c>
      <c r="BC397" s="164">
        <f t="shared" si="775"/>
        <v>50.809089999999998</v>
      </c>
      <c r="BD397" s="164">
        <f t="shared" si="775"/>
        <v>36.318182000000007</v>
      </c>
      <c r="BE397" s="164">
        <f t="shared" si="775"/>
        <v>0</v>
      </c>
      <c r="BF397" s="164">
        <f t="shared" ref="BF397:BG397" si="776">BF9-BF372</f>
        <v>0</v>
      </c>
      <c r="BG397" s="164">
        <f t="shared" si="776"/>
        <v>0</v>
      </c>
      <c r="BH397" s="126"/>
      <c r="BI397" s="126"/>
      <c r="BJ397" s="126"/>
      <c r="BK397" s="126"/>
      <c r="BL397" s="126"/>
      <c r="BO397" s="269">
        <f t="shared" si="772"/>
        <v>1</v>
      </c>
      <c r="BQ397" s="269">
        <f>SUM(AZ397:BC397)/SUM(AZ422:BC422)</f>
        <v>0.12448811300159171</v>
      </c>
    </row>
    <row r="398" spans="1:69" ht="16" thickBot="1">
      <c r="A398" s="217"/>
      <c r="B398" s="218"/>
      <c r="C398" s="218"/>
      <c r="D398" s="218"/>
      <c r="E398" s="218"/>
      <c r="F398" s="218"/>
      <c r="G398" s="218"/>
      <c r="H398" s="218"/>
      <c r="I398" s="218"/>
      <c r="J398" s="218"/>
      <c r="K398" s="218"/>
      <c r="L398" s="218"/>
      <c r="M398" s="219"/>
      <c r="N398" s="218"/>
      <c r="O398" s="218"/>
      <c r="P398" s="218"/>
      <c r="Q398" s="218"/>
      <c r="R398" s="218"/>
      <c r="S398" s="218"/>
      <c r="T398" s="218"/>
      <c r="U398" s="218"/>
      <c r="V398" s="218"/>
      <c r="W398" s="218"/>
      <c r="X398" s="218"/>
      <c r="Y398" s="219"/>
      <c r="Z398" s="218"/>
      <c r="AA398" s="218"/>
      <c r="AB398" s="218"/>
      <c r="AC398" s="218"/>
      <c r="AD398" s="218"/>
      <c r="AE398" s="218"/>
      <c r="AF398" s="218"/>
      <c r="AG398" s="218"/>
      <c r="AH398" s="218"/>
      <c r="AI398" s="218"/>
      <c r="AJ398" s="218"/>
      <c r="AK398" s="219"/>
      <c r="AL398" s="218"/>
      <c r="AM398" s="218"/>
      <c r="AN398" s="218"/>
      <c r="AO398" s="218"/>
      <c r="AP398" s="218"/>
      <c r="AQ398" s="218"/>
      <c r="AR398" s="218"/>
      <c r="AS398" s="218"/>
      <c r="AT398" s="218"/>
      <c r="AU398" s="218"/>
      <c r="AV398" s="218"/>
      <c r="AW398" s="219"/>
      <c r="AX398" s="218"/>
      <c r="AY398" s="218"/>
      <c r="AZ398" s="218"/>
      <c r="BA398" s="218"/>
      <c r="BB398" s="218"/>
      <c r="BC398" s="218"/>
      <c r="BD398" s="218"/>
      <c r="BE398" s="218"/>
      <c r="BF398" s="218"/>
      <c r="BG398" s="218"/>
      <c r="BH398" s="126"/>
      <c r="BI398" s="126"/>
      <c r="BJ398" s="126"/>
      <c r="BK398" s="126"/>
      <c r="BL398" s="126"/>
      <c r="BO398" s="355"/>
      <c r="BQ398" s="355"/>
    </row>
    <row r="399" spans="1:69">
      <c r="BH399" s="126"/>
      <c r="BI399" s="126"/>
      <c r="BJ399" s="126"/>
      <c r="BK399" s="126"/>
      <c r="BL399" s="126"/>
    </row>
    <row r="400" spans="1:69">
      <c r="BH400" s="126"/>
      <c r="BI400" s="126"/>
      <c r="BJ400" s="126"/>
      <c r="BK400" s="126"/>
      <c r="BL400" s="126"/>
    </row>
    <row r="401" spans="1:67">
      <c r="A401" s="98" t="s">
        <v>126</v>
      </c>
      <c r="BH401" s="126"/>
      <c r="BI401" s="126"/>
      <c r="BJ401" s="126"/>
      <c r="BK401" s="126"/>
      <c r="BL401" s="126"/>
    </row>
    <row r="402" spans="1:67" ht="16" thickBot="1">
      <c r="BH402" s="126"/>
      <c r="BI402" s="126"/>
      <c r="BJ402" s="126"/>
      <c r="BK402" s="126"/>
      <c r="BL402" s="126"/>
    </row>
    <row r="403" spans="1:67" ht="16">
      <c r="A403" s="100" t="s">
        <v>286</v>
      </c>
      <c r="B403" s="101">
        <v>39448</v>
      </c>
      <c r="C403" s="101">
        <v>39479</v>
      </c>
      <c r="D403" s="101">
        <v>39508</v>
      </c>
      <c r="E403" s="101">
        <v>39539</v>
      </c>
      <c r="F403" s="101">
        <v>39569</v>
      </c>
      <c r="G403" s="101">
        <v>39600</v>
      </c>
      <c r="H403" s="101">
        <v>39630</v>
      </c>
      <c r="I403" s="101">
        <v>39661</v>
      </c>
      <c r="J403" s="101">
        <v>39692</v>
      </c>
      <c r="K403" s="101">
        <v>39722</v>
      </c>
      <c r="L403" s="101">
        <v>39753</v>
      </c>
      <c r="M403" s="102">
        <v>39783</v>
      </c>
      <c r="N403" s="101">
        <v>39814</v>
      </c>
      <c r="O403" s="101">
        <v>39845</v>
      </c>
      <c r="P403" s="101">
        <v>39873</v>
      </c>
      <c r="Q403" s="101">
        <v>39904</v>
      </c>
      <c r="R403" s="101">
        <v>39934</v>
      </c>
      <c r="S403" s="101">
        <v>39965</v>
      </c>
      <c r="T403" s="101">
        <v>39995</v>
      </c>
      <c r="U403" s="101">
        <v>40026</v>
      </c>
      <c r="V403" s="101">
        <v>40057</v>
      </c>
      <c r="W403" s="101">
        <v>40087</v>
      </c>
      <c r="X403" s="101">
        <v>40118</v>
      </c>
      <c r="Y403" s="102">
        <v>40148</v>
      </c>
      <c r="Z403" s="101">
        <v>40179</v>
      </c>
      <c r="AA403" s="101">
        <v>40210</v>
      </c>
      <c r="AB403" s="101">
        <v>40238</v>
      </c>
      <c r="AC403" s="101">
        <v>40269</v>
      </c>
      <c r="AD403" s="101">
        <v>40299</v>
      </c>
      <c r="AE403" s="101">
        <v>40330</v>
      </c>
      <c r="AF403" s="101">
        <v>40360</v>
      </c>
      <c r="AG403" s="101">
        <v>40391</v>
      </c>
      <c r="AH403" s="101">
        <v>40422</v>
      </c>
      <c r="AI403" s="101">
        <v>40452</v>
      </c>
      <c r="AJ403" s="101">
        <v>40483</v>
      </c>
      <c r="AK403" s="102">
        <v>40513</v>
      </c>
      <c r="AL403" s="101">
        <v>40544</v>
      </c>
      <c r="AM403" s="101">
        <v>40575</v>
      </c>
      <c r="AN403" s="101">
        <v>40603</v>
      </c>
      <c r="AO403" s="101">
        <v>40634</v>
      </c>
      <c r="AP403" s="101">
        <v>40664</v>
      </c>
      <c r="AQ403" s="101">
        <v>40695</v>
      </c>
      <c r="AR403" s="101">
        <v>40725</v>
      </c>
      <c r="AS403" s="101">
        <v>40756</v>
      </c>
      <c r="AT403" s="101">
        <v>40787</v>
      </c>
      <c r="AU403" s="101">
        <v>40817</v>
      </c>
      <c r="AV403" s="101">
        <v>40848</v>
      </c>
      <c r="AW403" s="102">
        <v>40878</v>
      </c>
      <c r="AX403" s="101">
        <v>40909</v>
      </c>
      <c r="AY403" s="101">
        <v>40940</v>
      </c>
      <c r="AZ403" s="101">
        <v>40969</v>
      </c>
      <c r="BA403" s="101">
        <v>41000</v>
      </c>
      <c r="BB403" s="101">
        <v>41030</v>
      </c>
      <c r="BC403" s="101">
        <v>41061</v>
      </c>
      <c r="BD403" s="101">
        <v>41091</v>
      </c>
      <c r="BE403" s="101">
        <v>41122</v>
      </c>
      <c r="BF403" s="101">
        <v>41153</v>
      </c>
      <c r="BG403" s="101">
        <v>41183</v>
      </c>
      <c r="BH403" s="126"/>
      <c r="BI403" s="126"/>
      <c r="BJ403" s="126"/>
      <c r="BK403" s="126"/>
      <c r="BL403" s="126"/>
      <c r="BO403" s="362" t="s">
        <v>371</v>
      </c>
    </row>
    <row r="404" spans="1:67">
      <c r="A404" s="75"/>
      <c r="M404" s="115"/>
      <c r="Y404" s="115"/>
      <c r="AK404" s="115"/>
      <c r="AW404" s="115"/>
      <c r="BH404" s="126"/>
      <c r="BI404" s="126"/>
      <c r="BJ404" s="126"/>
      <c r="BK404" s="126"/>
      <c r="BL404" s="126"/>
      <c r="BO404" s="267"/>
    </row>
    <row r="405" spans="1:67">
      <c r="A405" s="5" t="s">
        <v>172</v>
      </c>
      <c r="B405" s="126"/>
      <c r="C405" s="126"/>
      <c r="D405" s="126"/>
      <c r="E405" s="126"/>
      <c r="F405" s="126"/>
      <c r="G405" s="126"/>
      <c r="H405" s="126"/>
      <c r="I405" s="126"/>
      <c r="J405" s="126"/>
      <c r="K405" s="126"/>
      <c r="L405" s="126"/>
      <c r="M405" s="127"/>
      <c r="N405" s="126"/>
      <c r="O405" s="126"/>
      <c r="P405" s="126"/>
      <c r="Q405" s="126"/>
      <c r="R405" s="126"/>
      <c r="S405" s="126"/>
      <c r="T405" s="126"/>
      <c r="U405" s="126"/>
      <c r="V405" s="126"/>
      <c r="W405" s="126"/>
      <c r="X405" s="126"/>
      <c r="Y405" s="127"/>
      <c r="Z405" s="126"/>
      <c r="AA405" s="126"/>
      <c r="AB405" s="126"/>
      <c r="AC405" s="126"/>
      <c r="AD405" s="126"/>
      <c r="AE405" s="126"/>
      <c r="AF405" s="126"/>
      <c r="AG405" s="126"/>
      <c r="AH405" s="126"/>
      <c r="AI405" s="126"/>
      <c r="AJ405" s="126"/>
      <c r="AK405" s="127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>
        <f t="shared" ref="AV405:AX415" si="777">AV355+AV380</f>
        <v>102.41450233140002</v>
      </c>
      <c r="AW405" s="127">
        <f t="shared" si="777"/>
        <v>96.643982709900001</v>
      </c>
      <c r="AX405" s="126">
        <f t="shared" si="777"/>
        <v>106.2287764757</v>
      </c>
      <c r="AY405" s="126"/>
      <c r="AZ405" s="126">
        <f>AZ355+AZ380</f>
        <v>117.10246969989997</v>
      </c>
      <c r="BA405" s="126">
        <f>BA355+BA380</f>
        <v>112.84077160259999</v>
      </c>
      <c r="BB405" s="126">
        <f>BB355+BB380</f>
        <v>87.446025459799998</v>
      </c>
      <c r="BC405" s="126">
        <f>BC355+BC380</f>
        <v>76.574005998000004</v>
      </c>
      <c r="BD405" s="126"/>
      <c r="BE405" s="126"/>
      <c r="BF405" s="126"/>
      <c r="BG405" s="126"/>
      <c r="BH405" s="126"/>
      <c r="BI405" s="126"/>
      <c r="BJ405" s="126"/>
      <c r="BK405" s="126"/>
      <c r="BL405" s="126"/>
      <c r="BO405" s="268">
        <f t="shared" ref="BO405:BO415" si="778">SUM(AR405:BC405)/SUM(AR$422:BC$422)</f>
        <v>0.2619178162444592</v>
      </c>
    </row>
    <row r="406" spans="1:67">
      <c r="A406" s="5" t="s">
        <v>247</v>
      </c>
      <c r="B406" s="126"/>
      <c r="C406" s="126"/>
      <c r="D406" s="126"/>
      <c r="E406" s="126"/>
      <c r="F406" s="126"/>
      <c r="G406" s="126"/>
      <c r="H406" s="126"/>
      <c r="I406" s="126"/>
      <c r="J406" s="126"/>
      <c r="K406" s="126"/>
      <c r="L406" s="126"/>
      <c r="M406" s="127"/>
      <c r="N406" s="126"/>
      <c r="O406" s="126"/>
      <c r="P406" s="126"/>
      <c r="Q406" s="126"/>
      <c r="R406" s="126"/>
      <c r="S406" s="126"/>
      <c r="T406" s="126"/>
      <c r="U406" s="126"/>
      <c r="V406" s="126"/>
      <c r="W406" s="126"/>
      <c r="X406" s="126"/>
      <c r="Y406" s="127"/>
      <c r="Z406" s="126"/>
      <c r="AA406" s="126"/>
      <c r="AB406" s="126"/>
      <c r="AC406" s="126"/>
      <c r="AD406" s="126"/>
      <c r="AE406" s="126"/>
      <c r="AF406" s="126"/>
      <c r="AG406" s="126"/>
      <c r="AH406" s="126"/>
      <c r="AI406" s="126"/>
      <c r="AJ406" s="126"/>
      <c r="AK406" s="127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>
        <f t="shared" si="777"/>
        <v>82.640894793600012</v>
      </c>
      <c r="AW406" s="127">
        <f t="shared" si="777"/>
        <v>73.6314002421</v>
      </c>
      <c r="AX406" s="126">
        <f t="shared" si="777"/>
        <v>81.411662473520011</v>
      </c>
      <c r="AY406" s="126"/>
      <c r="AZ406" s="126">
        <f t="shared" ref="AZ406:BA406" si="779">AZ356+AZ381</f>
        <v>82.830989349699976</v>
      </c>
      <c r="BA406" s="126">
        <f t="shared" si="779"/>
        <v>80.493086260999988</v>
      </c>
      <c r="BB406" s="126">
        <f t="shared" ref="BB406:BC406" si="780">BB356+BB381</f>
        <v>65.874463375999994</v>
      </c>
      <c r="BC406" s="126">
        <f t="shared" si="780"/>
        <v>56.342767004000002</v>
      </c>
      <c r="BD406" s="126"/>
      <c r="BE406" s="126"/>
      <c r="BF406" s="126"/>
      <c r="BG406" s="126"/>
      <c r="BH406" s="126"/>
      <c r="BI406" s="126"/>
      <c r="BJ406" s="126"/>
      <c r="BK406" s="126"/>
      <c r="BL406" s="126"/>
      <c r="BO406" s="268">
        <f t="shared" si="778"/>
        <v>0.19598414545577508</v>
      </c>
    </row>
    <row r="407" spans="1:67">
      <c r="A407" s="5" t="s">
        <v>118</v>
      </c>
      <c r="B407" s="126"/>
      <c r="C407" s="126"/>
      <c r="D407" s="126"/>
      <c r="E407" s="126"/>
      <c r="F407" s="126"/>
      <c r="G407" s="126"/>
      <c r="H407" s="126"/>
      <c r="I407" s="126"/>
      <c r="J407" s="126"/>
      <c r="K407" s="126"/>
      <c r="L407" s="126"/>
      <c r="M407" s="127"/>
      <c r="N407" s="126"/>
      <c r="O407" s="126"/>
      <c r="P407" s="126"/>
      <c r="Q407" s="126"/>
      <c r="R407" s="126"/>
      <c r="S407" s="126"/>
      <c r="T407" s="126"/>
      <c r="U407" s="126"/>
      <c r="V407" s="126"/>
      <c r="W407" s="126"/>
      <c r="X407" s="126"/>
      <c r="Y407" s="127"/>
      <c r="Z407" s="126"/>
      <c r="AA407" s="126"/>
      <c r="AB407" s="126"/>
      <c r="AC407" s="126"/>
      <c r="AD407" s="126"/>
      <c r="AE407" s="126"/>
      <c r="AF407" s="126"/>
      <c r="AG407" s="126"/>
      <c r="AH407" s="126"/>
      <c r="AI407" s="126"/>
      <c r="AJ407" s="126"/>
      <c r="AK407" s="127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>
        <f t="shared" si="777"/>
        <v>43.569986099400012</v>
      </c>
      <c r="AW407" s="127">
        <f t="shared" si="777"/>
        <v>40.335629538000006</v>
      </c>
      <c r="AX407" s="126">
        <f t="shared" si="777"/>
        <v>44.141819412740006</v>
      </c>
      <c r="AY407" s="126"/>
      <c r="AZ407" s="126">
        <f t="shared" ref="AZ407:BA407" si="781">AZ357+AZ382</f>
        <v>48.023868638199986</v>
      </c>
      <c r="BA407" s="126">
        <f t="shared" si="781"/>
        <v>49.787672966599992</v>
      </c>
      <c r="BB407" s="126">
        <f t="shared" ref="BB407:BC407" si="782">BB357+BB382</f>
        <v>38.979593007799998</v>
      </c>
      <c r="BC407" s="126">
        <f t="shared" si="782"/>
        <v>33.0571494</v>
      </c>
      <c r="BD407" s="126"/>
      <c r="BE407" s="126"/>
      <c r="BF407" s="126"/>
      <c r="BG407" s="126"/>
      <c r="BH407" s="126"/>
      <c r="BI407" s="126"/>
      <c r="BJ407" s="126"/>
      <c r="BK407" s="126"/>
      <c r="BL407" s="126"/>
      <c r="BO407" s="268">
        <f t="shared" si="778"/>
        <v>0.11158260506175592</v>
      </c>
    </row>
    <row r="408" spans="1:67">
      <c r="A408" s="5" t="s">
        <v>215</v>
      </c>
      <c r="B408" s="126"/>
      <c r="C408" s="126"/>
      <c r="D408" s="126"/>
      <c r="E408" s="126"/>
      <c r="F408" s="126"/>
      <c r="G408" s="126"/>
      <c r="H408" s="126"/>
      <c r="I408" s="126"/>
      <c r="J408" s="126"/>
      <c r="K408" s="126"/>
      <c r="L408" s="126"/>
      <c r="M408" s="127"/>
      <c r="N408" s="126"/>
      <c r="O408" s="126"/>
      <c r="P408" s="126"/>
      <c r="Q408" s="126"/>
      <c r="R408" s="126"/>
      <c r="S408" s="126"/>
      <c r="T408" s="126"/>
      <c r="U408" s="126"/>
      <c r="V408" s="126"/>
      <c r="W408" s="126"/>
      <c r="X408" s="126"/>
      <c r="Y408" s="127"/>
      <c r="Z408" s="126"/>
      <c r="AA408" s="126"/>
      <c r="AB408" s="126"/>
      <c r="AC408" s="126"/>
      <c r="AD408" s="126"/>
      <c r="AE408" s="126"/>
      <c r="AF408" s="126"/>
      <c r="AG408" s="126"/>
      <c r="AH408" s="126"/>
      <c r="AI408" s="126"/>
      <c r="AJ408" s="126"/>
      <c r="AK408" s="127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>
        <f t="shared" si="777"/>
        <v>23.020813739000001</v>
      </c>
      <c r="AW408" s="127">
        <f t="shared" si="777"/>
        <v>21.569286150500002</v>
      </c>
      <c r="AX408" s="126">
        <f t="shared" si="777"/>
        <v>23.350930179340001</v>
      </c>
      <c r="AY408" s="126"/>
      <c r="AZ408" s="126">
        <f t="shared" ref="AZ408:BA408" si="783">AZ358+AZ383</f>
        <v>25.737076008799992</v>
      </c>
      <c r="BA408" s="126">
        <f t="shared" si="783"/>
        <v>24.882516737599996</v>
      </c>
      <c r="BB408" s="126">
        <f t="shared" ref="BB408:BC408" si="784">BB358+BB383</f>
        <v>18.061653761399999</v>
      </c>
      <c r="BC408" s="126">
        <f t="shared" si="784"/>
        <v>16.371212772</v>
      </c>
      <c r="BD408" s="126"/>
      <c r="BE408" s="126"/>
      <c r="BF408" s="126"/>
      <c r="BG408" s="126"/>
      <c r="BH408" s="126"/>
      <c r="BI408" s="126"/>
      <c r="BJ408" s="126"/>
      <c r="BK408" s="126"/>
      <c r="BL408" s="126"/>
      <c r="BO408" s="268">
        <f t="shared" si="778"/>
        <v>5.7306671451071906E-2</v>
      </c>
    </row>
    <row r="409" spans="1:67">
      <c r="A409" s="5" t="s">
        <v>170</v>
      </c>
      <c r="B409" s="126"/>
      <c r="C409" s="126"/>
      <c r="D409" s="126"/>
      <c r="E409" s="126"/>
      <c r="F409" s="126"/>
      <c r="G409" s="126"/>
      <c r="H409" s="126"/>
      <c r="I409" s="126"/>
      <c r="J409" s="126"/>
      <c r="K409" s="126"/>
      <c r="L409" s="126"/>
      <c r="M409" s="127"/>
      <c r="N409" s="126"/>
      <c r="O409" s="126"/>
      <c r="P409" s="126"/>
      <c r="Q409" s="126"/>
      <c r="R409" s="126"/>
      <c r="S409" s="126"/>
      <c r="T409" s="126"/>
      <c r="U409" s="126"/>
      <c r="V409" s="126"/>
      <c r="W409" s="126"/>
      <c r="X409" s="126"/>
      <c r="Y409" s="127"/>
      <c r="Z409" s="126"/>
      <c r="AA409" s="126"/>
      <c r="AB409" s="126"/>
      <c r="AC409" s="126"/>
      <c r="AD409" s="126"/>
      <c r="AE409" s="126"/>
      <c r="AF409" s="126"/>
      <c r="AG409" s="126"/>
      <c r="AH409" s="126"/>
      <c r="AI409" s="126"/>
      <c r="AJ409" s="126"/>
      <c r="AK409" s="127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>
        <f t="shared" si="777"/>
        <v>21.388511102100004</v>
      </c>
      <c r="AW409" s="127">
        <f t="shared" si="777"/>
        <v>19.679118297400002</v>
      </c>
      <c r="AX409" s="126">
        <f t="shared" si="777"/>
        <v>18.385489641059998</v>
      </c>
      <c r="AY409" s="126"/>
      <c r="AZ409" s="126">
        <f t="shared" ref="AZ409:BA409" si="785">AZ359+AZ384</f>
        <v>19.731411047899993</v>
      </c>
      <c r="BA409" s="126">
        <f t="shared" si="785"/>
        <v>19.569887326199996</v>
      </c>
      <c r="BB409" s="126">
        <f t="shared" ref="BB409:BC409" si="786">BB359+BB384</f>
        <v>13.838739603999999</v>
      </c>
      <c r="BC409" s="126">
        <f t="shared" si="786"/>
        <v>7.9701796320000007</v>
      </c>
      <c r="BD409" s="126"/>
      <c r="BE409" s="126"/>
      <c r="BF409" s="126"/>
      <c r="BG409" s="126"/>
      <c r="BH409" s="126"/>
      <c r="BI409" s="126"/>
      <c r="BJ409" s="126"/>
      <c r="BK409" s="126"/>
      <c r="BL409" s="126"/>
      <c r="BO409" s="268">
        <f t="shared" si="778"/>
        <v>4.515933032117464E-2</v>
      </c>
    </row>
    <row r="410" spans="1:67">
      <c r="A410" s="5" t="s">
        <v>370</v>
      </c>
      <c r="B410" s="126"/>
      <c r="C410" s="126"/>
      <c r="D410" s="126"/>
      <c r="E410" s="126"/>
      <c r="F410" s="126"/>
      <c r="G410" s="126"/>
      <c r="H410" s="126"/>
      <c r="I410" s="126"/>
      <c r="J410" s="126"/>
      <c r="K410" s="126"/>
      <c r="L410" s="126"/>
      <c r="M410" s="127"/>
      <c r="N410" s="126"/>
      <c r="O410" s="126"/>
      <c r="P410" s="126"/>
      <c r="Q410" s="126"/>
      <c r="R410" s="126"/>
      <c r="S410" s="126"/>
      <c r="T410" s="126"/>
      <c r="U410" s="126"/>
      <c r="V410" s="126"/>
      <c r="W410" s="126"/>
      <c r="X410" s="126"/>
      <c r="Y410" s="127"/>
      <c r="Z410" s="126"/>
      <c r="AA410" s="126"/>
      <c r="AB410" s="126"/>
      <c r="AC410" s="126"/>
      <c r="AD410" s="126"/>
      <c r="AE410" s="126"/>
      <c r="AF410" s="126"/>
      <c r="AG410" s="126"/>
      <c r="AH410" s="126"/>
      <c r="AI410" s="126"/>
      <c r="AJ410" s="126"/>
      <c r="AK410" s="127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>
        <f t="shared" si="777"/>
        <v>21.263089193300001</v>
      </c>
      <c r="AW410" s="127">
        <f t="shared" si="777"/>
        <v>20.104854489500003</v>
      </c>
      <c r="AX410" s="126">
        <f t="shared" si="777"/>
        <v>23.230592518919998</v>
      </c>
      <c r="AY410" s="126"/>
      <c r="AZ410" s="126">
        <f t="shared" ref="AZ410:BA410" si="787">AZ360+AZ385</f>
        <v>24.809680216499995</v>
      </c>
      <c r="BA410" s="126">
        <f t="shared" si="787"/>
        <v>25.599467405999995</v>
      </c>
      <c r="BB410" s="126">
        <f t="shared" ref="BB410:BC410" si="788">BB360+BB385</f>
        <v>21.324272599999997</v>
      </c>
      <c r="BC410" s="126">
        <f t="shared" si="788"/>
        <v>16.786901413000002</v>
      </c>
      <c r="BD410" s="126"/>
      <c r="BE410" s="126"/>
      <c r="BF410" s="126"/>
      <c r="BG410" s="126"/>
      <c r="BH410" s="126"/>
      <c r="BI410" s="126"/>
      <c r="BJ410" s="126"/>
      <c r="BK410" s="126"/>
      <c r="BL410" s="126"/>
      <c r="BO410" s="268">
        <f t="shared" si="778"/>
        <v>5.735363064401508E-2</v>
      </c>
    </row>
    <row r="411" spans="1:67">
      <c r="A411" s="5" t="s">
        <v>200</v>
      </c>
      <c r="B411" s="126"/>
      <c r="C411" s="126"/>
      <c r="D411" s="126"/>
      <c r="E411" s="126"/>
      <c r="F411" s="126"/>
      <c r="G411" s="126"/>
      <c r="H411" s="126"/>
      <c r="I411" s="126"/>
      <c r="J411" s="126"/>
      <c r="K411" s="126"/>
      <c r="L411" s="126"/>
      <c r="M411" s="127"/>
      <c r="N411" s="126"/>
      <c r="O411" s="126"/>
      <c r="P411" s="126"/>
      <c r="Q411" s="126"/>
      <c r="R411" s="126"/>
      <c r="S411" s="126"/>
      <c r="T411" s="126"/>
      <c r="U411" s="126"/>
      <c r="V411" s="126"/>
      <c r="W411" s="126"/>
      <c r="X411" s="126"/>
      <c r="Y411" s="127"/>
      <c r="Z411" s="126"/>
      <c r="AA411" s="126"/>
      <c r="AB411" s="126"/>
      <c r="AC411" s="126"/>
      <c r="AD411" s="126"/>
      <c r="AE411" s="126"/>
      <c r="AF411" s="126"/>
      <c r="AG411" s="126"/>
      <c r="AH411" s="126"/>
      <c r="AI411" s="126"/>
      <c r="AJ411" s="126"/>
      <c r="AK411" s="127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>
        <f t="shared" si="777"/>
        <v>17.006583428600003</v>
      </c>
      <c r="AW411" s="127">
        <f t="shared" si="777"/>
        <v>15.755913492800001</v>
      </c>
      <c r="AX411" s="126">
        <f t="shared" si="777"/>
        <v>17.299619292980001</v>
      </c>
      <c r="AY411" s="126"/>
      <c r="AZ411" s="126">
        <f t="shared" ref="AZ411:BA411" si="789">AZ361+AZ386</f>
        <v>15.111421268899997</v>
      </c>
      <c r="BA411" s="126">
        <f t="shared" si="789"/>
        <v>12.597426149599997</v>
      </c>
      <c r="BB411" s="126">
        <f t="shared" ref="BB411:BC411" si="790">BB361+BB386</f>
        <v>10.6585044818</v>
      </c>
      <c r="BC411" s="126">
        <f t="shared" si="790"/>
        <v>9.0117659769999996</v>
      </c>
      <c r="BD411" s="126"/>
      <c r="BE411" s="126"/>
      <c r="BF411" s="126"/>
      <c r="BG411" s="126"/>
      <c r="BH411" s="126"/>
      <c r="BI411" s="126"/>
      <c r="BJ411" s="126"/>
      <c r="BK411" s="126"/>
      <c r="BL411" s="126"/>
      <c r="BO411" s="268">
        <f t="shared" si="778"/>
        <v>3.6498499456758288E-2</v>
      </c>
    </row>
    <row r="412" spans="1:67">
      <c r="A412" s="5" t="s">
        <v>119</v>
      </c>
      <c r="B412" s="126"/>
      <c r="C412" s="126"/>
      <c r="D412" s="126"/>
      <c r="E412" s="126"/>
      <c r="F412" s="126"/>
      <c r="G412" s="126"/>
      <c r="H412" s="126"/>
      <c r="I412" s="126"/>
      <c r="J412" s="126"/>
      <c r="K412" s="126"/>
      <c r="L412" s="126"/>
      <c r="M412" s="127"/>
      <c r="N412" s="126"/>
      <c r="O412" s="126"/>
      <c r="P412" s="126"/>
      <c r="Q412" s="126"/>
      <c r="R412" s="126"/>
      <c r="S412" s="126"/>
      <c r="T412" s="126"/>
      <c r="U412" s="126"/>
      <c r="V412" s="126"/>
      <c r="W412" s="126"/>
      <c r="X412" s="126"/>
      <c r="Y412" s="127"/>
      <c r="Z412" s="126"/>
      <c r="AA412" s="126"/>
      <c r="AB412" s="126"/>
      <c r="AC412" s="126"/>
      <c r="AD412" s="126"/>
      <c r="AE412" s="126"/>
      <c r="AF412" s="126"/>
      <c r="AG412" s="126"/>
      <c r="AH412" s="126"/>
      <c r="AI412" s="126"/>
      <c r="AJ412" s="126"/>
      <c r="AK412" s="127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>
        <f t="shared" si="777"/>
        <v>16.9502487014</v>
      </c>
      <c r="AW412" s="127">
        <f t="shared" si="777"/>
        <v>14.953898309900001</v>
      </c>
      <c r="AX412" s="126">
        <f t="shared" si="777"/>
        <v>15.551572072919999</v>
      </c>
      <c r="AY412" s="126"/>
      <c r="AZ412" s="126">
        <f t="shared" ref="AZ412:BA412" si="791">AZ362+AZ387</f>
        <v>18.0169176697</v>
      </c>
      <c r="BA412" s="126">
        <f t="shared" si="791"/>
        <v>18.985179933400001</v>
      </c>
      <c r="BB412" s="126">
        <f t="shared" ref="BB412:BC412" si="792">BB362+BB387</f>
        <v>15.555026145399998</v>
      </c>
      <c r="BC412" s="126">
        <f t="shared" si="792"/>
        <v>16.380478146000002</v>
      </c>
      <c r="BD412" s="126"/>
      <c r="BE412" s="126"/>
      <c r="BF412" s="126"/>
      <c r="BG412" s="126"/>
      <c r="BH412" s="126"/>
      <c r="BI412" s="126"/>
      <c r="BJ412" s="126"/>
      <c r="BK412" s="126"/>
      <c r="BL412" s="126"/>
      <c r="BO412" s="268">
        <f t="shared" si="778"/>
        <v>4.3597370272579865E-2</v>
      </c>
    </row>
    <row r="413" spans="1:67">
      <c r="A413" s="5" t="s">
        <v>120</v>
      </c>
      <c r="B413" s="126"/>
      <c r="C413" s="126"/>
      <c r="D413" s="126"/>
      <c r="E413" s="126"/>
      <c r="F413" s="126"/>
      <c r="G413" s="126"/>
      <c r="H413" s="126"/>
      <c r="I413" s="126"/>
      <c r="J413" s="126"/>
      <c r="K413" s="126"/>
      <c r="L413" s="126"/>
      <c r="M413" s="127"/>
      <c r="N413" s="126"/>
      <c r="O413" s="126"/>
      <c r="P413" s="126"/>
      <c r="Q413" s="126"/>
      <c r="R413" s="126"/>
      <c r="S413" s="126"/>
      <c r="T413" s="126"/>
      <c r="U413" s="126"/>
      <c r="V413" s="126"/>
      <c r="W413" s="126"/>
      <c r="X413" s="126"/>
      <c r="Y413" s="127"/>
      <c r="Z413" s="126"/>
      <c r="AA413" s="126"/>
      <c r="AB413" s="126"/>
      <c r="AC413" s="126"/>
      <c r="AD413" s="126"/>
      <c r="AE413" s="126"/>
      <c r="AF413" s="126"/>
      <c r="AG413" s="126"/>
      <c r="AH413" s="126"/>
      <c r="AI413" s="126"/>
      <c r="AJ413" s="126"/>
      <c r="AK413" s="127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>
        <f t="shared" si="777"/>
        <v>4.4577266058000005</v>
      </c>
      <c r="AW413" s="127">
        <f t="shared" si="777"/>
        <v>4.227333154300001</v>
      </c>
      <c r="AX413" s="126">
        <f t="shared" si="777"/>
        <v>4.3961340366800004</v>
      </c>
      <c r="AY413" s="126"/>
      <c r="AZ413" s="126">
        <f t="shared" ref="AZ413:BA413" si="793">AZ363+AZ388</f>
        <v>5.1562307064999988</v>
      </c>
      <c r="BA413" s="126">
        <f t="shared" si="793"/>
        <v>4.8444056487999987</v>
      </c>
      <c r="BB413" s="126">
        <f t="shared" ref="BB413:BC413" si="794">BB363+BB388</f>
        <v>3.4474794351999996</v>
      </c>
      <c r="BC413" s="126">
        <f t="shared" si="794"/>
        <v>2.0334652170000003</v>
      </c>
      <c r="BD413" s="126"/>
      <c r="BE413" s="126"/>
      <c r="BF413" s="126"/>
      <c r="BG413" s="126"/>
      <c r="BH413" s="126"/>
      <c r="BI413" s="126"/>
      <c r="BJ413" s="126"/>
      <c r="BK413" s="126"/>
      <c r="BL413" s="126"/>
      <c r="BO413" s="268">
        <f t="shared" si="778"/>
        <v>1.0698739916375264E-2</v>
      </c>
    </row>
    <row r="414" spans="1:67">
      <c r="A414" s="5" t="s">
        <v>121</v>
      </c>
      <c r="B414" s="126"/>
      <c r="C414" s="126"/>
      <c r="D414" s="126"/>
      <c r="E414" s="126"/>
      <c r="F414" s="126"/>
      <c r="G414" s="126"/>
      <c r="H414" s="126"/>
      <c r="I414" s="126"/>
      <c r="J414" s="126"/>
      <c r="K414" s="126"/>
      <c r="L414" s="126"/>
      <c r="M414" s="127"/>
      <c r="N414" s="126"/>
      <c r="O414" s="126"/>
      <c r="P414" s="126"/>
      <c r="Q414" s="126"/>
      <c r="R414" s="126"/>
      <c r="S414" s="126"/>
      <c r="T414" s="126"/>
      <c r="U414" s="126"/>
      <c r="V414" s="126"/>
      <c r="W414" s="126"/>
      <c r="X414" s="126"/>
      <c r="Y414" s="127"/>
      <c r="Z414" s="126"/>
      <c r="AA414" s="126"/>
      <c r="AB414" s="126"/>
      <c r="AC414" s="126"/>
      <c r="AD414" s="126"/>
      <c r="AE414" s="126"/>
      <c r="AF414" s="126"/>
      <c r="AG414" s="126"/>
      <c r="AH414" s="126"/>
      <c r="AI414" s="126"/>
      <c r="AJ414" s="126"/>
      <c r="AK414" s="127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>
        <f t="shared" si="777"/>
        <v>4.4951300311000004</v>
      </c>
      <c r="AW414" s="127">
        <f t="shared" si="777"/>
        <v>4.2732573606000006</v>
      </c>
      <c r="AX414" s="126">
        <f t="shared" si="777"/>
        <v>0.74406784955999994</v>
      </c>
      <c r="AY414" s="126"/>
      <c r="AZ414" s="126">
        <f t="shared" ref="AZ414:BA414" si="795">AZ364+AZ389</f>
        <v>5.2305799066999983</v>
      </c>
      <c r="BA414" s="126">
        <f t="shared" si="795"/>
        <v>4.8384559799999991</v>
      </c>
      <c r="BB414" s="126">
        <f t="shared" ref="BB414:BC414" si="796">BB364+BB389</f>
        <v>3.4656385261999998</v>
      </c>
      <c r="BC414" s="126">
        <f t="shared" si="796"/>
        <v>2.3474672870000002</v>
      </c>
      <c r="BD414" s="126"/>
      <c r="BE414" s="126"/>
      <c r="BF414" s="126"/>
      <c r="BG414" s="126"/>
      <c r="BH414" s="126"/>
      <c r="BI414" s="126"/>
      <c r="BJ414" s="126"/>
      <c r="BK414" s="126"/>
      <c r="BL414" s="126"/>
      <c r="BO414" s="268">
        <f t="shared" si="778"/>
        <v>9.5120376019607929E-3</v>
      </c>
    </row>
    <row r="415" spans="1:67">
      <c r="A415" s="5" t="s">
        <v>122</v>
      </c>
      <c r="B415" s="126"/>
      <c r="C415" s="126"/>
      <c r="D415" s="126"/>
      <c r="E415" s="126"/>
      <c r="F415" s="126"/>
      <c r="G415" s="126"/>
      <c r="H415" s="126"/>
      <c r="I415" s="126"/>
      <c r="J415" s="126"/>
      <c r="K415" s="126"/>
      <c r="L415" s="126"/>
      <c r="M415" s="127"/>
      <c r="N415" s="126"/>
      <c r="O415" s="126"/>
      <c r="P415" s="126"/>
      <c r="Q415" s="126"/>
      <c r="R415" s="126"/>
      <c r="S415" s="126"/>
      <c r="T415" s="126"/>
      <c r="U415" s="126"/>
      <c r="V415" s="126"/>
      <c r="W415" s="126"/>
      <c r="X415" s="126"/>
      <c r="Y415" s="127"/>
      <c r="Z415" s="126"/>
      <c r="AA415" s="126"/>
      <c r="AB415" s="126"/>
      <c r="AC415" s="126"/>
      <c r="AD415" s="126"/>
      <c r="AE415" s="126"/>
      <c r="AF415" s="126"/>
      <c r="AG415" s="126"/>
      <c r="AH415" s="126"/>
      <c r="AI415" s="126"/>
      <c r="AJ415" s="126"/>
      <c r="AK415" s="127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>
        <f t="shared" si="777"/>
        <v>4.3359165476000001</v>
      </c>
      <c r="AW415" s="127">
        <f t="shared" si="777"/>
        <v>4.5260148893000007</v>
      </c>
      <c r="AX415" s="126">
        <f t="shared" si="777"/>
        <v>5.1583037972900003</v>
      </c>
      <c r="AY415" s="126"/>
      <c r="AZ415" s="126">
        <f t="shared" ref="AZ415:BA415" si="797">AZ365+AZ390</f>
        <v>6.2595505285999984</v>
      </c>
      <c r="BA415" s="126">
        <f t="shared" si="797"/>
        <v>6.3487857787999999</v>
      </c>
      <c r="BB415" s="126">
        <f t="shared" ref="BB415:BC415" si="798">BB365+BB390</f>
        <v>4.6157320339999997</v>
      </c>
      <c r="BC415" s="126">
        <f t="shared" si="798"/>
        <v>3.9355485860000003</v>
      </c>
      <c r="BD415" s="126"/>
      <c r="BE415" s="126"/>
      <c r="BF415" s="126"/>
      <c r="BG415" s="126"/>
      <c r="BH415" s="126"/>
      <c r="BI415" s="126"/>
      <c r="BJ415" s="126"/>
      <c r="BK415" s="126"/>
      <c r="BL415" s="126"/>
      <c r="BO415" s="268">
        <f t="shared" si="778"/>
        <v>1.3177294263335533E-2</v>
      </c>
    </row>
    <row r="416" spans="1:67">
      <c r="A416" s="5" t="s">
        <v>374</v>
      </c>
      <c r="B416" s="126"/>
      <c r="C416" s="126"/>
      <c r="D416" s="126"/>
      <c r="E416" s="126"/>
      <c r="F416" s="126"/>
      <c r="G416" s="126"/>
      <c r="H416" s="126"/>
      <c r="I416" s="126"/>
      <c r="J416" s="126"/>
      <c r="K416" s="126"/>
      <c r="L416" s="126"/>
      <c r="M416" s="127"/>
      <c r="N416" s="126"/>
      <c r="O416" s="126"/>
      <c r="P416" s="126"/>
      <c r="Q416" s="126"/>
      <c r="R416" s="126"/>
      <c r="S416" s="126"/>
      <c r="T416" s="126"/>
      <c r="U416" s="126"/>
      <c r="V416" s="126"/>
      <c r="W416" s="126"/>
      <c r="X416" s="126"/>
      <c r="Y416" s="127"/>
      <c r="Z416" s="126"/>
      <c r="AA416" s="126"/>
      <c r="AB416" s="126"/>
      <c r="AC416" s="126"/>
      <c r="AD416" s="126"/>
      <c r="AE416" s="126"/>
      <c r="AF416" s="126"/>
      <c r="AG416" s="126"/>
      <c r="AH416" s="126"/>
      <c r="AI416" s="126"/>
      <c r="AJ416" s="126"/>
      <c r="AK416" s="127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559"/>
      <c r="AW416" s="560"/>
      <c r="AX416" s="559"/>
      <c r="AY416" s="559"/>
      <c r="AZ416" s="559"/>
      <c r="BA416" s="559"/>
      <c r="BB416" s="126">
        <f t="shared" ref="BB416:BC416" si="799">BB366+BB391</f>
        <v>9.7645106133999988</v>
      </c>
      <c r="BC416" s="126">
        <f t="shared" si="799"/>
        <v>9.6587774940000006</v>
      </c>
      <c r="BD416" s="126"/>
      <c r="BE416" s="126"/>
      <c r="BF416" s="126"/>
      <c r="BG416" s="126"/>
      <c r="BH416" s="126"/>
      <c r="BI416" s="126"/>
      <c r="BJ416" s="126"/>
      <c r="BK416" s="126"/>
      <c r="BL416" s="126"/>
      <c r="BO416" s="268">
        <f t="shared" ref="BO416:BO418" si="800">SUM(AR416:BC416)/SUM(AR$422:BC$422)</f>
        <v>7.2753683493929563E-3</v>
      </c>
    </row>
    <row r="417" spans="1:67">
      <c r="A417" s="5" t="s">
        <v>375</v>
      </c>
      <c r="B417" s="126"/>
      <c r="C417" s="126"/>
      <c r="D417" s="126"/>
      <c r="E417" s="126"/>
      <c r="F417" s="126"/>
      <c r="G417" s="126"/>
      <c r="H417" s="126"/>
      <c r="I417" s="126"/>
      <c r="J417" s="126"/>
      <c r="K417" s="126"/>
      <c r="L417" s="126"/>
      <c r="M417" s="127"/>
      <c r="N417" s="126"/>
      <c r="O417" s="126"/>
      <c r="P417" s="126"/>
      <c r="Q417" s="126"/>
      <c r="R417" s="126"/>
      <c r="S417" s="126"/>
      <c r="T417" s="126"/>
      <c r="U417" s="126"/>
      <c r="V417" s="126"/>
      <c r="W417" s="126"/>
      <c r="X417" s="126"/>
      <c r="Y417" s="127"/>
      <c r="Z417" s="126"/>
      <c r="AA417" s="126"/>
      <c r="AB417" s="126"/>
      <c r="AC417" s="126"/>
      <c r="AD417" s="126"/>
      <c r="AE417" s="126"/>
      <c r="AF417" s="126"/>
      <c r="AG417" s="126"/>
      <c r="AH417" s="126"/>
      <c r="AI417" s="126"/>
      <c r="AJ417" s="126"/>
      <c r="AK417" s="127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559"/>
      <c r="AW417" s="560"/>
      <c r="AX417" s="559"/>
      <c r="AY417" s="559"/>
      <c r="AZ417" s="559"/>
      <c r="BA417" s="559"/>
      <c r="BB417" s="126">
        <f t="shared" ref="BB417:BC417" si="801">BB367+BB392</f>
        <v>0.70861991399999991</v>
      </c>
      <c r="BC417" s="126">
        <f t="shared" si="801"/>
        <v>4.1554028540000001</v>
      </c>
      <c r="BD417" s="126"/>
      <c r="BE417" s="126"/>
      <c r="BF417" s="126"/>
      <c r="BG417" s="126"/>
      <c r="BH417" s="126"/>
      <c r="BI417" s="126"/>
      <c r="BJ417" s="126"/>
      <c r="BK417" s="126"/>
      <c r="BL417" s="126"/>
      <c r="BO417" s="268">
        <f t="shared" si="800"/>
        <v>1.8219138336084178E-3</v>
      </c>
    </row>
    <row r="418" spans="1:67">
      <c r="A418" s="5" t="s">
        <v>91</v>
      </c>
      <c r="B418" s="126"/>
      <c r="C418" s="126"/>
      <c r="D418" s="126"/>
      <c r="E418" s="126"/>
      <c r="F418" s="126"/>
      <c r="G418" s="126"/>
      <c r="H418" s="126"/>
      <c r="I418" s="126"/>
      <c r="J418" s="126"/>
      <c r="K418" s="126"/>
      <c r="L418" s="126"/>
      <c r="M418" s="127"/>
      <c r="N418" s="126"/>
      <c r="O418" s="126"/>
      <c r="P418" s="126"/>
      <c r="Q418" s="126"/>
      <c r="R418" s="126"/>
      <c r="S418" s="126"/>
      <c r="T418" s="126"/>
      <c r="U418" s="126"/>
      <c r="V418" s="126"/>
      <c r="W418" s="126"/>
      <c r="X418" s="126"/>
      <c r="Y418" s="127"/>
      <c r="Z418" s="126"/>
      <c r="AA418" s="126"/>
      <c r="AB418" s="126"/>
      <c r="AC418" s="126"/>
      <c r="AD418" s="126"/>
      <c r="AE418" s="126"/>
      <c r="AF418" s="126"/>
      <c r="AG418" s="126"/>
      <c r="AH418" s="126"/>
      <c r="AI418" s="126"/>
      <c r="AJ418" s="126"/>
      <c r="AK418" s="127"/>
      <c r="AL418" s="126"/>
      <c r="AM418" s="126"/>
      <c r="AN418" s="126"/>
      <c r="AO418" s="126"/>
      <c r="AP418" s="126"/>
      <c r="AQ418" s="126"/>
      <c r="AR418" s="126"/>
      <c r="AS418" s="126"/>
      <c r="AT418" s="126"/>
      <c r="AU418" s="126"/>
      <c r="AV418" s="559"/>
      <c r="AW418" s="560"/>
      <c r="AX418" s="559"/>
      <c r="AY418" s="559"/>
      <c r="AZ418" s="559"/>
      <c r="BA418" s="559"/>
      <c r="BB418" s="126">
        <f t="shared" ref="BB418:BC418" si="802">BB368+BB393</f>
        <v>0.30709632039999996</v>
      </c>
      <c r="BC418" s="126">
        <f t="shared" si="802"/>
        <v>1.5772660860000003</v>
      </c>
      <c r="BD418" s="126"/>
      <c r="BE418" s="126"/>
      <c r="BF418" s="126"/>
      <c r="BG418" s="126"/>
      <c r="BH418" s="126"/>
      <c r="BI418" s="126"/>
      <c r="BJ418" s="126"/>
      <c r="BK418" s="126"/>
      <c r="BL418" s="126"/>
      <c r="BO418" s="268">
        <f t="shared" si="800"/>
        <v>7.058243966985904E-4</v>
      </c>
    </row>
    <row r="419" spans="1:67">
      <c r="A419" s="5" t="s">
        <v>123</v>
      </c>
      <c r="B419" s="126"/>
      <c r="C419" s="126"/>
      <c r="D419" s="126"/>
      <c r="E419" s="126"/>
      <c r="F419" s="126"/>
      <c r="G419" s="126"/>
      <c r="H419" s="126"/>
      <c r="I419" s="126"/>
      <c r="J419" s="126"/>
      <c r="K419" s="126"/>
      <c r="L419" s="126"/>
      <c r="M419" s="127"/>
      <c r="N419" s="126"/>
      <c r="O419" s="126"/>
      <c r="P419" s="126"/>
      <c r="Q419" s="126"/>
      <c r="R419" s="126"/>
      <c r="S419" s="126"/>
      <c r="T419" s="126"/>
      <c r="U419" s="126"/>
      <c r="V419" s="126"/>
      <c r="W419" s="126"/>
      <c r="X419" s="126"/>
      <c r="Y419" s="127"/>
      <c r="Z419" s="126"/>
      <c r="AA419" s="126"/>
      <c r="AB419" s="126"/>
      <c r="AC419" s="126"/>
      <c r="AD419" s="126"/>
      <c r="AE419" s="126"/>
      <c r="AF419" s="126"/>
      <c r="AG419" s="126"/>
      <c r="AH419" s="126"/>
      <c r="AI419" s="126"/>
      <c r="AJ419" s="126"/>
      <c r="AK419" s="127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>
        <f t="shared" ref="AV419:AX421" si="803">AV369+AV394</f>
        <v>1.6662460637000001</v>
      </c>
      <c r="AW419" s="127">
        <f t="shared" si="803"/>
        <v>1.5563676074000001</v>
      </c>
      <c r="AX419" s="126">
        <f t="shared" si="803"/>
        <v>1.6172316553600001</v>
      </c>
      <c r="AY419" s="126"/>
      <c r="AZ419" s="126">
        <f t="shared" ref="AZ419:BA419" si="804">AZ369+AZ394</f>
        <v>1.5682661653999996</v>
      </c>
      <c r="BA419" s="126">
        <f t="shared" si="804"/>
        <v>1.4526708117999996</v>
      </c>
      <c r="BB419" s="126">
        <f t="shared" ref="BB419:BC419" si="805">BB369+BB394</f>
        <v>1.072217099</v>
      </c>
      <c r="BC419" s="126">
        <f t="shared" si="805"/>
        <v>0.6807734150000001</v>
      </c>
      <c r="BD419" s="126"/>
      <c r="BE419" s="126"/>
      <c r="BF419" s="126"/>
      <c r="BG419" s="126"/>
      <c r="BH419" s="126"/>
      <c r="BI419" s="126"/>
      <c r="BJ419" s="126"/>
      <c r="BK419" s="126"/>
      <c r="BL419" s="126"/>
      <c r="BO419" s="268">
        <f>SUM(AR419:BC419)/SUM(AR$422:BC$422)</f>
        <v>3.6010246096905879E-3</v>
      </c>
    </row>
    <row r="420" spans="1:67">
      <c r="A420" s="5" t="s">
        <v>124</v>
      </c>
      <c r="B420" s="126"/>
      <c r="C420" s="126"/>
      <c r="D420" s="126"/>
      <c r="E420" s="126"/>
      <c r="F420" s="126"/>
      <c r="G420" s="126"/>
      <c r="H420" s="126"/>
      <c r="I420" s="126"/>
      <c r="J420" s="126"/>
      <c r="K420" s="126"/>
      <c r="L420" s="126"/>
      <c r="M420" s="127"/>
      <c r="N420" s="126"/>
      <c r="O420" s="126"/>
      <c r="P420" s="126"/>
      <c r="Q420" s="126"/>
      <c r="R420" s="126"/>
      <c r="S420" s="126"/>
      <c r="T420" s="126"/>
      <c r="U420" s="126"/>
      <c r="V420" s="126"/>
      <c r="W420" s="126"/>
      <c r="X420" s="126"/>
      <c r="Y420" s="127"/>
      <c r="Z420" s="126"/>
      <c r="AA420" s="126"/>
      <c r="AB420" s="126"/>
      <c r="AC420" s="126"/>
      <c r="AD420" s="126"/>
      <c r="AE420" s="126"/>
      <c r="AF420" s="126"/>
      <c r="AG420" s="126"/>
      <c r="AH420" s="126"/>
      <c r="AI420" s="126"/>
      <c r="AJ420" s="126"/>
      <c r="AK420" s="127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>
        <f t="shared" si="803"/>
        <v>1.4478734600000001</v>
      </c>
      <c r="AW420" s="127">
        <f t="shared" si="803"/>
        <v>1.4411214433000001</v>
      </c>
      <c r="AX420" s="126">
        <f t="shared" si="803"/>
        <v>1.3287118765199999</v>
      </c>
      <c r="AY420" s="126"/>
      <c r="AZ420" s="126">
        <f t="shared" ref="AZ420:BA420" si="806">AZ370+AZ395</f>
        <v>1.4260116485999994</v>
      </c>
      <c r="BA420" s="126">
        <f t="shared" si="806"/>
        <v>1.3555599169999999</v>
      </c>
      <c r="BB420" s="126">
        <f t="shared" ref="BB420:BC420" si="807">BB370+BB395</f>
        <v>0.79054350600000001</v>
      </c>
      <c r="BC420" s="126">
        <f t="shared" si="807"/>
        <v>0.60259959500000004</v>
      </c>
      <c r="BD420" s="126"/>
      <c r="BE420" s="126"/>
      <c r="BF420" s="126"/>
      <c r="BG420" s="126"/>
      <c r="BH420" s="126"/>
      <c r="BI420" s="126"/>
      <c r="BJ420" s="126"/>
      <c r="BK420" s="126"/>
      <c r="BL420" s="126"/>
      <c r="BO420" s="268">
        <f>SUM(AR420:BC420)/SUM(AR$422:BC$422)</f>
        <v>3.1435438237045199E-3</v>
      </c>
    </row>
    <row r="421" spans="1:67">
      <c r="A421" s="5" t="s">
        <v>203</v>
      </c>
      <c r="B421" s="126"/>
      <c r="C421" s="126"/>
      <c r="D421" s="126"/>
      <c r="E421" s="126"/>
      <c r="F421" s="126"/>
      <c r="G421" s="126"/>
      <c r="H421" s="126"/>
      <c r="I421" s="126"/>
      <c r="J421" s="126"/>
      <c r="K421" s="126"/>
      <c r="L421" s="126"/>
      <c r="M421" s="127"/>
      <c r="N421" s="126"/>
      <c r="O421" s="126"/>
      <c r="P421" s="126"/>
      <c r="Q421" s="126"/>
      <c r="R421" s="126"/>
      <c r="S421" s="126"/>
      <c r="T421" s="126"/>
      <c r="U421" s="126"/>
      <c r="V421" s="126"/>
      <c r="W421" s="126"/>
      <c r="X421" s="126"/>
      <c r="Y421" s="127"/>
      <c r="Z421" s="126"/>
      <c r="AA421" s="126"/>
      <c r="AB421" s="126"/>
      <c r="AC421" s="126"/>
      <c r="AD421" s="126"/>
      <c r="AE421" s="126"/>
      <c r="AF421" s="126"/>
      <c r="AG421" s="126"/>
      <c r="AH421" s="126"/>
      <c r="AI421" s="126"/>
      <c r="AJ421" s="126"/>
      <c r="AK421" s="127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>
        <f t="shared" si="803"/>
        <v>2.8970709029999568</v>
      </c>
      <c r="AW421" s="127">
        <f t="shared" si="803"/>
        <v>2.4224783150000597</v>
      </c>
      <c r="AX421" s="126">
        <f t="shared" si="803"/>
        <v>11.473112317410006</v>
      </c>
      <c r="AY421" s="126"/>
      <c r="AZ421" s="126">
        <f t="shared" ref="AZ421:BA421" si="808">AZ371+AZ396</f>
        <v>5.2462391445999046</v>
      </c>
      <c r="BA421" s="126">
        <f t="shared" si="808"/>
        <v>5.7610094806000163</v>
      </c>
      <c r="BB421" s="126">
        <f t="shared" ref="BB421:BC421" si="809">BB371+BB396</f>
        <v>3.9225681156000434</v>
      </c>
      <c r="BC421" s="126">
        <f t="shared" si="809"/>
        <v>3.0936391239999992</v>
      </c>
      <c r="BD421" s="126"/>
      <c r="BE421" s="126"/>
      <c r="BF421" s="126"/>
      <c r="BG421" s="126"/>
      <c r="BH421" s="126"/>
      <c r="BI421" s="126"/>
      <c r="BJ421" s="126"/>
      <c r="BK421" s="126"/>
      <c r="BL421" s="126"/>
      <c r="BO421" s="268">
        <f>SUM(AR421:BC421)/SUM(AR$422:BC$422)</f>
        <v>1.304105037116416E-2</v>
      </c>
    </row>
    <row r="422" spans="1:67">
      <c r="A422" s="161" t="s">
        <v>256</v>
      </c>
      <c r="B422" s="162"/>
      <c r="C422" s="162"/>
      <c r="D422" s="162"/>
      <c r="E422" s="162"/>
      <c r="F422" s="162"/>
      <c r="G422" s="162"/>
      <c r="H422" s="163"/>
      <c r="I422" s="163"/>
      <c r="J422" s="163"/>
      <c r="K422" s="163"/>
      <c r="L422" s="163"/>
      <c r="M422" s="261"/>
      <c r="N422" s="164"/>
      <c r="O422" s="164"/>
      <c r="P422" s="164"/>
      <c r="Q422" s="164"/>
      <c r="R422" s="164"/>
      <c r="S422" s="164"/>
      <c r="T422" s="164"/>
      <c r="U422" s="164"/>
      <c r="V422" s="164"/>
      <c r="W422" s="164"/>
      <c r="X422" s="164"/>
      <c r="Y422" s="262"/>
      <c r="Z422" s="164"/>
      <c r="AA422" s="164"/>
      <c r="AB422" s="164"/>
      <c r="AC422" s="164"/>
      <c r="AD422" s="164"/>
      <c r="AE422" s="164"/>
      <c r="AF422" s="164"/>
      <c r="AG422" s="164"/>
      <c r="AH422" s="164"/>
      <c r="AI422" s="164"/>
      <c r="AJ422" s="164"/>
      <c r="AK422" s="262"/>
      <c r="AL422" s="164"/>
      <c r="AM422" s="164"/>
      <c r="AN422" s="164"/>
      <c r="AO422" s="164"/>
      <c r="AP422" s="164"/>
      <c r="AQ422" s="164"/>
      <c r="AR422" s="164"/>
      <c r="AS422" s="164"/>
      <c r="AT422" s="164"/>
      <c r="AU422" s="164"/>
      <c r="AV422" s="164">
        <f>SUM(AV405:AV421)</f>
        <v>347.55459299999995</v>
      </c>
      <c r="AW422" s="262">
        <f>SUM(AW405:AW421)</f>
        <v>321.12065600000005</v>
      </c>
      <c r="AX422" s="164">
        <f>SUM(AX405:AX421)</f>
        <v>354.31802360000006</v>
      </c>
      <c r="AY422" s="164">
        <f>AY397+AY372</f>
        <v>340.71964200000002</v>
      </c>
      <c r="AZ422" s="164">
        <f t="shared" ref="AZ422:BA422" si="810">SUM(AZ405:AZ421)</f>
        <v>376.25071199999985</v>
      </c>
      <c r="BA422" s="164">
        <f t="shared" si="810"/>
        <v>369.35689599999984</v>
      </c>
      <c r="BB422" s="164">
        <f t="shared" ref="BB422:BC422" si="811">SUM(BB405:BB421)</f>
        <v>299.83268400000003</v>
      </c>
      <c r="BC422" s="164">
        <f t="shared" si="811"/>
        <v>260.57940000000002</v>
      </c>
      <c r="BD422" s="164">
        <f t="shared" ref="BD422:BE422" si="812">SUM(BD405:BD421)</f>
        <v>0</v>
      </c>
      <c r="BE422" s="164">
        <f t="shared" si="812"/>
        <v>0</v>
      </c>
      <c r="BF422" s="164">
        <f t="shared" ref="BF422:BG422" si="813">SUM(BF405:BF421)</f>
        <v>0</v>
      </c>
      <c r="BG422" s="164">
        <f t="shared" si="813"/>
        <v>0</v>
      </c>
      <c r="BH422" s="126"/>
      <c r="BI422" s="126"/>
      <c r="BJ422" s="126"/>
      <c r="BK422" s="126"/>
      <c r="BL422" s="126"/>
      <c r="BO422" s="269">
        <f>SUM(AR422:BC422)/SUM(AR$422:BC$422)</f>
        <v>1</v>
      </c>
    </row>
    <row r="423" spans="1:67" ht="16" thickBot="1">
      <c r="A423" s="217"/>
      <c r="B423" s="218"/>
      <c r="C423" s="218"/>
      <c r="D423" s="218"/>
      <c r="E423" s="218"/>
      <c r="F423" s="218"/>
      <c r="G423" s="218"/>
      <c r="H423" s="218"/>
      <c r="I423" s="218"/>
      <c r="J423" s="218"/>
      <c r="K423" s="218"/>
      <c r="L423" s="218"/>
      <c r="M423" s="219"/>
      <c r="N423" s="218"/>
      <c r="O423" s="218"/>
      <c r="P423" s="218"/>
      <c r="Q423" s="218"/>
      <c r="R423" s="218"/>
      <c r="S423" s="218"/>
      <c r="T423" s="218"/>
      <c r="U423" s="218"/>
      <c r="V423" s="218"/>
      <c r="W423" s="218"/>
      <c r="X423" s="218"/>
      <c r="Y423" s="219"/>
      <c r="Z423" s="218"/>
      <c r="AA423" s="218"/>
      <c r="AB423" s="218"/>
      <c r="AC423" s="218"/>
      <c r="AD423" s="218"/>
      <c r="AE423" s="218"/>
      <c r="AF423" s="218"/>
      <c r="AG423" s="218"/>
      <c r="AH423" s="218"/>
      <c r="AI423" s="218"/>
      <c r="AJ423" s="218"/>
      <c r="AK423" s="219"/>
      <c r="AL423" s="218"/>
      <c r="AM423" s="218"/>
      <c r="AN423" s="218"/>
      <c r="AO423" s="218"/>
      <c r="AP423" s="218"/>
      <c r="AQ423" s="218"/>
      <c r="AR423" s="218"/>
      <c r="AS423" s="218"/>
      <c r="AT423" s="218"/>
      <c r="AU423" s="218"/>
      <c r="AV423" s="218"/>
      <c r="AW423" s="219"/>
      <c r="AX423" s="218"/>
      <c r="AY423" s="218"/>
      <c r="AZ423" s="218"/>
      <c r="BA423" s="218"/>
      <c r="BB423" s="218"/>
      <c r="BC423" s="218"/>
      <c r="BD423" s="218"/>
      <c r="BE423" s="218"/>
      <c r="BF423" s="218"/>
      <c r="BG423" s="218"/>
      <c r="BH423" s="126"/>
      <c r="BI423" s="126"/>
      <c r="BJ423" s="126"/>
      <c r="BK423" s="126"/>
      <c r="BL423" s="126"/>
      <c r="BO423" s="355"/>
    </row>
    <row r="424" spans="1:67">
      <c r="BH424" s="126"/>
      <c r="BI424" s="126"/>
      <c r="BJ424" s="126"/>
      <c r="BK424" s="126"/>
      <c r="BL424" s="126"/>
    </row>
    <row r="425" spans="1:67">
      <c r="BH425" s="126"/>
      <c r="BI425" s="126"/>
      <c r="BJ425" s="126"/>
      <c r="BK425" s="126"/>
      <c r="BL425" s="126"/>
    </row>
    <row r="426" spans="1:67">
      <c r="A426" s="98" t="s">
        <v>127</v>
      </c>
      <c r="BH426" s="126"/>
      <c r="BI426" s="126"/>
      <c r="BJ426" s="126"/>
      <c r="BK426" s="126"/>
      <c r="BL426" s="126"/>
    </row>
    <row r="427" spans="1:67" ht="16" thickBot="1">
      <c r="BH427" s="126"/>
      <c r="BI427" s="126"/>
      <c r="BJ427" s="126"/>
      <c r="BK427" s="126"/>
      <c r="BL427" s="126"/>
    </row>
    <row r="428" spans="1:67" ht="16">
      <c r="A428" s="100" t="s">
        <v>286</v>
      </c>
      <c r="B428" s="101">
        <v>39448</v>
      </c>
      <c r="C428" s="101">
        <v>39479</v>
      </c>
      <c r="D428" s="101">
        <v>39508</v>
      </c>
      <c r="E428" s="101">
        <v>39539</v>
      </c>
      <c r="F428" s="101">
        <v>39569</v>
      </c>
      <c r="G428" s="101">
        <v>39600</v>
      </c>
      <c r="H428" s="101">
        <v>39630</v>
      </c>
      <c r="I428" s="101">
        <v>39661</v>
      </c>
      <c r="J428" s="101">
        <v>39692</v>
      </c>
      <c r="K428" s="101">
        <v>39722</v>
      </c>
      <c r="L428" s="101">
        <v>39753</v>
      </c>
      <c r="M428" s="102">
        <v>39783</v>
      </c>
      <c r="N428" s="101">
        <v>39814</v>
      </c>
      <c r="O428" s="101">
        <v>39845</v>
      </c>
      <c r="P428" s="101">
        <v>39873</v>
      </c>
      <c r="Q428" s="101">
        <v>39904</v>
      </c>
      <c r="R428" s="101">
        <v>39934</v>
      </c>
      <c r="S428" s="101">
        <v>39965</v>
      </c>
      <c r="T428" s="101">
        <v>39995</v>
      </c>
      <c r="U428" s="101">
        <v>40026</v>
      </c>
      <c r="V428" s="101">
        <v>40057</v>
      </c>
      <c r="W428" s="101">
        <v>40087</v>
      </c>
      <c r="X428" s="101">
        <v>40118</v>
      </c>
      <c r="Y428" s="102">
        <v>40148</v>
      </c>
      <c r="Z428" s="101">
        <v>40179</v>
      </c>
      <c r="AA428" s="101">
        <v>40210</v>
      </c>
      <c r="AB428" s="101">
        <v>40238</v>
      </c>
      <c r="AC428" s="101">
        <v>40269</v>
      </c>
      <c r="AD428" s="101">
        <v>40299</v>
      </c>
      <c r="AE428" s="101">
        <v>40330</v>
      </c>
      <c r="AF428" s="101">
        <v>40360</v>
      </c>
      <c r="AG428" s="101">
        <v>40391</v>
      </c>
      <c r="AH428" s="101">
        <v>40422</v>
      </c>
      <c r="AI428" s="101">
        <v>40452</v>
      </c>
      <c r="AJ428" s="101">
        <v>40483</v>
      </c>
      <c r="AK428" s="102">
        <v>40513</v>
      </c>
      <c r="AL428" s="101">
        <v>40544</v>
      </c>
      <c r="AM428" s="101">
        <v>40575</v>
      </c>
      <c r="AN428" s="101">
        <v>40603</v>
      </c>
      <c r="AO428" s="101">
        <v>40634</v>
      </c>
      <c r="AP428" s="101">
        <v>40664</v>
      </c>
      <c r="AQ428" s="101">
        <v>40695</v>
      </c>
      <c r="AR428" s="101">
        <v>40725</v>
      </c>
      <c r="AS428" s="101">
        <v>40756</v>
      </c>
      <c r="AT428" s="101">
        <v>40787</v>
      </c>
      <c r="AU428" s="101">
        <v>40817</v>
      </c>
      <c r="AV428" s="101">
        <v>40848</v>
      </c>
      <c r="AW428" s="102">
        <v>40878</v>
      </c>
      <c r="AX428" s="101">
        <v>40909</v>
      </c>
      <c r="AY428" s="101">
        <v>40940</v>
      </c>
      <c r="AZ428" s="101">
        <v>40969</v>
      </c>
      <c r="BA428" s="101">
        <v>41000</v>
      </c>
      <c r="BB428" s="101">
        <v>41030</v>
      </c>
      <c r="BC428" s="101">
        <v>41061</v>
      </c>
      <c r="BD428" s="101">
        <v>41091</v>
      </c>
      <c r="BE428" s="101">
        <v>41122</v>
      </c>
      <c r="BF428" s="101">
        <v>41153</v>
      </c>
      <c r="BG428" s="101">
        <v>41183</v>
      </c>
      <c r="BH428" s="126"/>
      <c r="BI428" s="126"/>
      <c r="BJ428" s="126"/>
      <c r="BK428" s="126"/>
      <c r="BL428" s="126"/>
      <c r="BO428" s="362" t="s">
        <v>380</v>
      </c>
    </row>
    <row r="429" spans="1:67">
      <c r="A429" s="75"/>
      <c r="M429" s="115"/>
      <c r="Y429" s="115"/>
      <c r="AK429" s="115"/>
      <c r="AW429" s="115"/>
      <c r="BH429" s="126"/>
      <c r="BI429" s="126"/>
      <c r="BJ429" s="126"/>
      <c r="BK429" s="126"/>
      <c r="BL429" s="126"/>
      <c r="BO429" s="267"/>
    </row>
    <row r="430" spans="1:67">
      <c r="A430" s="5" t="s">
        <v>23</v>
      </c>
      <c r="B430" s="126"/>
      <c r="C430" s="126"/>
      <c r="D430" s="126"/>
      <c r="E430" s="126"/>
      <c r="F430" s="126"/>
      <c r="G430" s="126"/>
      <c r="H430" s="126"/>
      <c r="I430" s="126"/>
      <c r="J430" s="126"/>
      <c r="K430" s="126"/>
      <c r="L430" s="126"/>
      <c r="M430" s="127"/>
      <c r="N430" s="126"/>
      <c r="O430" s="126"/>
      <c r="P430" s="126"/>
      <c r="Q430" s="126"/>
      <c r="R430" s="126"/>
      <c r="S430" s="126"/>
      <c r="T430" s="126"/>
      <c r="U430" s="126"/>
      <c r="V430" s="126"/>
      <c r="W430" s="126"/>
      <c r="X430" s="126"/>
      <c r="Y430" s="127"/>
      <c r="Z430" s="126"/>
      <c r="AA430" s="126"/>
      <c r="AB430" s="126"/>
      <c r="AC430" s="126"/>
      <c r="AD430" s="126"/>
      <c r="AE430" s="126"/>
      <c r="AF430" s="126"/>
      <c r="AG430" s="126"/>
      <c r="AH430" s="126"/>
      <c r="AI430" s="126"/>
      <c r="AJ430" s="126"/>
      <c r="AK430" s="127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>
        <f>0.3476*AV$50</f>
        <v>40.769460006000003</v>
      </c>
      <c r="AW430" s="127">
        <f>0.3473*AW$50</f>
        <v>42.622492869700004</v>
      </c>
      <c r="AX430" s="126">
        <f>0.3503*AX$50</f>
        <v>47.757800199999998</v>
      </c>
      <c r="AY430" s="126">
        <f>0.358*AY$50</f>
        <v>45.563892951999996</v>
      </c>
      <c r="AZ430" s="126">
        <f>0.357*AZ$50</f>
        <v>42.189265755000001</v>
      </c>
      <c r="BA430" s="126">
        <f>0.3905*BA$50</f>
        <v>44.714531301000001</v>
      </c>
      <c r="BB430" s="126">
        <f>0.3752*BB$50</f>
        <v>40.922285084800002</v>
      </c>
      <c r="BC430" s="126">
        <f>0.384*BC$50</f>
        <v>34.319620608000001</v>
      </c>
      <c r="BD430" s="126">
        <f>0.4171*BD$50</f>
        <v>35.842264311500003</v>
      </c>
      <c r="BE430" s="126">
        <f>0.4419*BE$50</f>
        <v>35.354809600200007</v>
      </c>
      <c r="BF430" s="126"/>
      <c r="BG430" s="126"/>
      <c r="BH430" s="126"/>
      <c r="BI430" s="126"/>
      <c r="BJ430" s="126"/>
      <c r="BK430" s="126"/>
      <c r="BL430" s="126"/>
      <c r="BO430" s="268">
        <f>SUM(AS430:BE430)/SUM(AS$457:BE$457)</f>
        <v>0.37254671197266448</v>
      </c>
    </row>
    <row r="431" spans="1:67">
      <c r="A431" s="5" t="s">
        <v>247</v>
      </c>
      <c r="B431" s="126"/>
      <c r="C431" s="126"/>
      <c r="D431" s="126"/>
      <c r="E431" s="126"/>
      <c r="F431" s="126"/>
      <c r="G431" s="126"/>
      <c r="H431" s="126"/>
      <c r="I431" s="126"/>
      <c r="J431" s="126"/>
      <c r="K431" s="126"/>
      <c r="L431" s="126"/>
      <c r="M431" s="127"/>
      <c r="N431" s="126"/>
      <c r="O431" s="126"/>
      <c r="P431" s="126"/>
      <c r="Q431" s="126"/>
      <c r="R431" s="126"/>
      <c r="S431" s="126"/>
      <c r="T431" s="126"/>
      <c r="U431" s="126"/>
      <c r="V431" s="126"/>
      <c r="W431" s="126"/>
      <c r="X431" s="126"/>
      <c r="Y431" s="127"/>
      <c r="Z431" s="126"/>
      <c r="AA431" s="126"/>
      <c r="AB431" s="126"/>
      <c r="AC431" s="126"/>
      <c r="AD431" s="126"/>
      <c r="AE431" s="126"/>
      <c r="AF431" s="126"/>
      <c r="AG431" s="126"/>
      <c r="AH431" s="126"/>
      <c r="AI431" s="126"/>
      <c r="AJ431" s="126"/>
      <c r="AK431" s="127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>
        <f>0.1236*AV$50</f>
        <v>14.496850566000001</v>
      </c>
      <c r="AW431" s="127">
        <f>0.1226*AW$50</f>
        <v>15.0461204314</v>
      </c>
      <c r="AX431" s="126">
        <f>0.1128*AX$50</f>
        <v>15.3784752</v>
      </c>
      <c r="AY431" s="126">
        <f>0.1142*AY$50</f>
        <v>14.534627304799999</v>
      </c>
      <c r="AZ431" s="126">
        <f>(0.0917+0.0237)*AZ$50</f>
        <v>13.637650611000002</v>
      </c>
      <c r="BA431" s="126">
        <f>(0.0925+0.0244)*BA$50</f>
        <v>13.385732929800001</v>
      </c>
      <c r="BB431" s="126">
        <f>(0.0881+0.0237)*BB$50</f>
        <v>12.1937939032</v>
      </c>
      <c r="BC431" s="126">
        <f>(0.0859+0.0248)*BC$50</f>
        <v>9.8937031284000003</v>
      </c>
      <c r="BD431" s="126">
        <f>(0.0877+0.0231)*BD$50</f>
        <v>9.5212728019999986</v>
      </c>
      <c r="BE431" s="126">
        <f>(0.0894+0.0237)*BE$50</f>
        <v>9.0487190898000005</v>
      </c>
      <c r="BF431" s="126"/>
      <c r="BG431" s="126"/>
      <c r="BH431" s="126"/>
      <c r="BI431" s="126"/>
      <c r="BJ431" s="126"/>
      <c r="BK431" s="126"/>
      <c r="BL431" s="126"/>
      <c r="BO431" s="268">
        <f>SUM(AS431:BE431)/SUM(AS$457:BE$457)</f>
        <v>0.11550715601409749</v>
      </c>
    </row>
    <row r="432" spans="1:67">
      <c r="A432" s="5" t="s">
        <v>90</v>
      </c>
      <c r="B432" s="126"/>
      <c r="C432" s="126"/>
      <c r="D432" s="126"/>
      <c r="E432" s="126"/>
      <c r="F432" s="126"/>
      <c r="G432" s="126"/>
      <c r="H432" s="126"/>
      <c r="I432" s="126"/>
      <c r="J432" s="126"/>
      <c r="K432" s="126"/>
      <c r="L432" s="126"/>
      <c r="M432" s="127"/>
      <c r="N432" s="126"/>
      <c r="O432" s="126"/>
      <c r="P432" s="126"/>
      <c r="Q432" s="126"/>
      <c r="R432" s="126"/>
      <c r="S432" s="126"/>
      <c r="T432" s="126"/>
      <c r="U432" s="126"/>
      <c r="V432" s="126"/>
      <c r="W432" s="126"/>
      <c r="X432" s="126"/>
      <c r="Y432" s="127"/>
      <c r="Z432" s="126"/>
      <c r="AA432" s="126"/>
      <c r="AB432" s="126"/>
      <c r="AC432" s="126"/>
      <c r="AD432" s="126"/>
      <c r="AE432" s="126"/>
      <c r="AF432" s="126"/>
      <c r="AG432" s="126"/>
      <c r="AH432" s="126"/>
      <c r="AI432" s="126"/>
      <c r="AJ432" s="126"/>
      <c r="AK432" s="127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>
        <f>0.1059*AV$50</f>
        <v>12.420845266500001</v>
      </c>
      <c r="AW432" s="127">
        <f>0.1049*AW$50</f>
        <v>12.8738828161</v>
      </c>
      <c r="AX432" s="126">
        <f>0.1007*AX$50</f>
        <v>13.7288338</v>
      </c>
      <c r="AY432" s="126">
        <f>0.101*AY$50</f>
        <v>12.854617844</v>
      </c>
      <c r="AZ432" s="126">
        <f>0.0902*AZ$50</f>
        <v>10.659584793000001</v>
      </c>
      <c r="BA432" s="126">
        <f>0.0835*BA$50</f>
        <v>9.5612378070000013</v>
      </c>
      <c r="BB432" s="126">
        <f>0.0879*BB$50</f>
        <v>9.587070519600001</v>
      </c>
      <c r="BC432" s="126">
        <f>0.0916*BC$50</f>
        <v>8.1866594991999992</v>
      </c>
      <c r="BD432" s="126">
        <f>0.0893*BD$50</f>
        <v>7.6737334045000001</v>
      </c>
      <c r="BE432" s="126">
        <f>0.0829*BE$50</f>
        <v>6.6325270782000008</v>
      </c>
      <c r="BF432" s="126"/>
      <c r="BG432" s="126"/>
      <c r="BH432" s="126"/>
      <c r="BI432" s="126"/>
      <c r="BJ432" s="126"/>
      <c r="BK432" s="126"/>
      <c r="BL432" s="126"/>
      <c r="BO432" s="268">
        <f t="shared" ref="BO432:BO457" si="814">SUM(AS432:BE432)/SUM(AS$457:BE$457)</f>
        <v>9.4649270410877326E-2</v>
      </c>
    </row>
    <row r="433" spans="1:67">
      <c r="A433" s="5" t="s">
        <v>2</v>
      </c>
      <c r="B433" s="126"/>
      <c r="C433" s="126"/>
      <c r="D433" s="126"/>
      <c r="E433" s="126"/>
      <c r="F433" s="126"/>
      <c r="G433" s="126"/>
      <c r="H433" s="126"/>
      <c r="I433" s="126"/>
      <c r="J433" s="126"/>
      <c r="K433" s="126"/>
      <c r="L433" s="126"/>
      <c r="M433" s="127"/>
      <c r="N433" s="126"/>
      <c r="O433" s="126"/>
      <c r="P433" s="126"/>
      <c r="Q433" s="126"/>
      <c r="R433" s="126"/>
      <c r="S433" s="126"/>
      <c r="T433" s="126"/>
      <c r="U433" s="126"/>
      <c r="V433" s="126"/>
      <c r="W433" s="126"/>
      <c r="X433" s="126"/>
      <c r="Y433" s="127"/>
      <c r="Z433" s="126"/>
      <c r="AA433" s="126"/>
      <c r="AB433" s="126"/>
      <c r="AC433" s="126"/>
      <c r="AD433" s="126"/>
      <c r="AE433" s="126"/>
      <c r="AF433" s="126"/>
      <c r="AG433" s="126"/>
      <c r="AH433" s="126"/>
      <c r="AI433" s="126"/>
      <c r="AJ433" s="126"/>
      <c r="AK433" s="127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>
        <f>0.0575*AV$50</f>
        <v>6.7440850125000003</v>
      </c>
      <c r="AW433" s="127">
        <f>0.056*AW$50</f>
        <v>6.872616184</v>
      </c>
      <c r="AX433" s="126">
        <f>0.0572*AX$50</f>
        <v>7.7983048000000004</v>
      </c>
      <c r="AY433" s="126">
        <f>0.0542*AY$50</f>
        <v>6.8982206647999993</v>
      </c>
      <c r="AZ433" s="126">
        <f>0.0525*AZ$50</f>
        <v>6.2043037874999998</v>
      </c>
      <c r="BA433" s="126">
        <f>0.0511*BA$50</f>
        <v>5.8512485262</v>
      </c>
      <c r="BB433" s="126">
        <f>0.0521*BB$50</f>
        <v>5.6824388404000006</v>
      </c>
      <c r="BC433" s="126">
        <f>0.0536*BC$50</f>
        <v>4.7904470431999995</v>
      </c>
      <c r="BD433" s="126">
        <f>0.0493*BD$50</f>
        <v>4.2364508044999996</v>
      </c>
      <c r="BE433" s="126">
        <f>0.0514*BE$50</f>
        <v>4.1123268012</v>
      </c>
      <c r="BF433" s="126"/>
      <c r="BG433" s="126"/>
      <c r="BH433" s="126"/>
      <c r="BI433" s="126"/>
      <c r="BJ433" s="126"/>
      <c r="BK433" s="126"/>
      <c r="BL433" s="126"/>
      <c r="BO433" s="268">
        <f t="shared" si="814"/>
        <v>5.3776025688663597E-2</v>
      </c>
    </row>
    <row r="434" spans="1:67">
      <c r="A434" s="5" t="s">
        <v>58</v>
      </c>
      <c r="B434" s="126"/>
      <c r="C434" s="126"/>
      <c r="D434" s="126"/>
      <c r="E434" s="126"/>
      <c r="F434" s="126"/>
      <c r="G434" s="126"/>
      <c r="H434" s="126"/>
      <c r="I434" s="126"/>
      <c r="J434" s="126"/>
      <c r="K434" s="126"/>
      <c r="L434" s="126"/>
      <c r="M434" s="127"/>
      <c r="N434" s="126"/>
      <c r="O434" s="126"/>
      <c r="P434" s="126"/>
      <c r="Q434" s="126"/>
      <c r="R434" s="126"/>
      <c r="S434" s="126"/>
      <c r="T434" s="126"/>
      <c r="U434" s="126"/>
      <c r="V434" s="126"/>
      <c r="W434" s="126"/>
      <c r="X434" s="126"/>
      <c r="Y434" s="127"/>
      <c r="Z434" s="126"/>
      <c r="AA434" s="126"/>
      <c r="AB434" s="126"/>
      <c r="AC434" s="126"/>
      <c r="AD434" s="126"/>
      <c r="AE434" s="126"/>
      <c r="AF434" s="126"/>
      <c r="AG434" s="126"/>
      <c r="AH434" s="126"/>
      <c r="AI434" s="126"/>
      <c r="AJ434" s="126"/>
      <c r="AK434" s="127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4"/>
      <c r="AW434" s="3"/>
      <c r="AX434" s="4"/>
      <c r="AY434" s="4"/>
      <c r="AZ434" s="4"/>
      <c r="BA434" s="4"/>
      <c r="BB434" s="126">
        <f>0.0465*BB$50</f>
        <v>5.0716584660000006</v>
      </c>
      <c r="BC434" s="126">
        <f>0.0461*BC$50</f>
        <v>4.1201419532000001</v>
      </c>
      <c r="BD434" s="126">
        <f>0.0348*BD$50</f>
        <v>2.9904358619999996</v>
      </c>
      <c r="BE434" s="126">
        <f>0.0312*BE$50</f>
        <v>2.4961983696000001</v>
      </c>
      <c r="BF434" s="126"/>
      <c r="BG434" s="126"/>
      <c r="BH434" s="126"/>
      <c r="BI434" s="126"/>
      <c r="BJ434" s="126"/>
      <c r="BK434" s="126"/>
      <c r="BL434" s="126"/>
      <c r="BO434" s="268">
        <f t="shared" si="814"/>
        <v>1.3335732020028E-2</v>
      </c>
    </row>
    <row r="435" spans="1:67">
      <c r="A435" s="5" t="s">
        <v>3</v>
      </c>
      <c r="B435" s="126"/>
      <c r="C435" s="126"/>
      <c r="D435" s="126"/>
      <c r="E435" s="126"/>
      <c r="F435" s="126"/>
      <c r="G435" s="126"/>
      <c r="H435" s="126"/>
      <c r="I435" s="126"/>
      <c r="J435" s="126"/>
      <c r="K435" s="126"/>
      <c r="L435" s="126"/>
      <c r="M435" s="127"/>
      <c r="N435" s="126"/>
      <c r="O435" s="126"/>
      <c r="P435" s="126"/>
      <c r="Q435" s="126"/>
      <c r="R435" s="126"/>
      <c r="S435" s="126"/>
      <c r="T435" s="126"/>
      <c r="U435" s="126"/>
      <c r="V435" s="126"/>
      <c r="W435" s="126"/>
      <c r="X435" s="126"/>
      <c r="Y435" s="127"/>
      <c r="Z435" s="126"/>
      <c r="AA435" s="126"/>
      <c r="AB435" s="126"/>
      <c r="AC435" s="126"/>
      <c r="AD435" s="126"/>
      <c r="AE435" s="126"/>
      <c r="AF435" s="126"/>
      <c r="AG435" s="126"/>
      <c r="AH435" s="126"/>
      <c r="AI435" s="126"/>
      <c r="AJ435" s="126"/>
      <c r="AK435" s="127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>
        <f>0.0391*AV$50</f>
        <v>4.5859778085000009</v>
      </c>
      <c r="AW435" s="127">
        <f>0.0421*AW$50</f>
        <v>5.1667346669000001</v>
      </c>
      <c r="AX435" s="126">
        <f>0.0423*AX$50</f>
        <v>5.7669281999999997</v>
      </c>
      <c r="AY435" s="126">
        <f>0.037*AY$50</f>
        <v>4.7091174279999999</v>
      </c>
      <c r="AZ435" s="126">
        <f>0.0408*AZ$50</f>
        <v>4.8216303720000004</v>
      </c>
      <c r="BA435" s="126">
        <f>0.0395*BA$50</f>
        <v>4.5229807590000002</v>
      </c>
      <c r="BB435" s="126">
        <f>0.0353*BB$50</f>
        <v>3.8500977172000002</v>
      </c>
      <c r="BC435" s="126">
        <f>0.0358*BC$50</f>
        <v>3.1995896295999997</v>
      </c>
      <c r="BD435" s="126">
        <f>0.0358*BD$50</f>
        <v>3.0763679269999997</v>
      </c>
      <c r="BE435" s="126">
        <f>0.0361*BE$50</f>
        <v>2.8882295238000002</v>
      </c>
      <c r="BF435" s="126"/>
      <c r="BG435" s="126"/>
      <c r="BH435" s="126"/>
      <c r="BI435" s="126"/>
      <c r="BJ435" s="126"/>
      <c r="BK435" s="126"/>
      <c r="BL435" s="126"/>
      <c r="BO435" s="268">
        <f t="shared" si="814"/>
        <v>3.8691969208137826E-2</v>
      </c>
    </row>
    <row r="436" spans="1:67">
      <c r="A436" s="5" t="s">
        <v>11</v>
      </c>
      <c r="B436" s="126"/>
      <c r="C436" s="126"/>
      <c r="D436" s="126"/>
      <c r="E436" s="126"/>
      <c r="F436" s="126"/>
      <c r="G436" s="126"/>
      <c r="H436" s="126"/>
      <c r="I436" s="126"/>
      <c r="J436" s="126"/>
      <c r="K436" s="126"/>
      <c r="L436" s="126"/>
      <c r="M436" s="127"/>
      <c r="N436" s="126"/>
      <c r="O436" s="126"/>
      <c r="P436" s="126"/>
      <c r="Q436" s="126"/>
      <c r="R436" s="126"/>
      <c r="S436" s="126"/>
      <c r="T436" s="126"/>
      <c r="U436" s="126"/>
      <c r="V436" s="126"/>
      <c r="W436" s="126"/>
      <c r="X436" s="126"/>
      <c r="Y436" s="127"/>
      <c r="Z436" s="126"/>
      <c r="AA436" s="126"/>
      <c r="AB436" s="126"/>
      <c r="AC436" s="126"/>
      <c r="AD436" s="126"/>
      <c r="AE436" s="126"/>
      <c r="AF436" s="126"/>
      <c r="AG436" s="126"/>
      <c r="AH436" s="126"/>
      <c r="AI436" s="126"/>
      <c r="AJ436" s="126"/>
      <c r="AK436" s="127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>
        <f>0.0176*AV$50</f>
        <v>2.0642764560000004</v>
      </c>
      <c r="AW436" s="127">
        <f>0.0183*AW$50</f>
        <v>2.2458727887000003</v>
      </c>
      <c r="AX436" s="126">
        <f>0.0229*AX$50</f>
        <v>3.1220486000000003</v>
      </c>
      <c r="AY436" s="126">
        <f>0.0264*AY$50</f>
        <v>3.3600189216</v>
      </c>
      <c r="AZ436" s="126">
        <f>0.0274*AZ$50</f>
        <v>3.238055691</v>
      </c>
      <c r="BA436" s="126">
        <f>0.0246*BA$50</f>
        <v>2.8168437131999999</v>
      </c>
      <c r="BB436" s="126">
        <f>0.0268*BB$50</f>
        <v>2.9230203632</v>
      </c>
      <c r="BC436" s="126">
        <f>0.0252*BC$50</f>
        <v>2.2522251023999997</v>
      </c>
      <c r="BD436" s="126">
        <f>0.0203*BD$50</f>
        <v>1.7444209194999998</v>
      </c>
      <c r="BE436" s="126">
        <f>0.0175*BE$50</f>
        <v>1.4001112650000003</v>
      </c>
      <c r="BF436" s="126"/>
      <c r="BG436" s="126"/>
      <c r="BH436" s="126"/>
      <c r="BI436" s="126"/>
      <c r="BJ436" s="126"/>
      <c r="BK436" s="126"/>
      <c r="BL436" s="126"/>
      <c r="BO436" s="268">
        <f t="shared" si="814"/>
        <v>2.286476451695266E-2</v>
      </c>
    </row>
    <row r="437" spans="1:67">
      <c r="A437" s="5" t="s">
        <v>18</v>
      </c>
      <c r="B437" s="126"/>
      <c r="C437" s="126"/>
      <c r="D437" s="126"/>
      <c r="E437" s="126"/>
      <c r="F437" s="126"/>
      <c r="G437" s="126"/>
      <c r="H437" s="126"/>
      <c r="I437" s="126"/>
      <c r="J437" s="126"/>
      <c r="K437" s="126"/>
      <c r="L437" s="126"/>
      <c r="M437" s="127"/>
      <c r="N437" s="126"/>
      <c r="O437" s="126"/>
      <c r="P437" s="126"/>
      <c r="Q437" s="126"/>
      <c r="R437" s="126"/>
      <c r="S437" s="126"/>
      <c r="T437" s="126"/>
      <c r="U437" s="126"/>
      <c r="V437" s="126"/>
      <c r="W437" s="126"/>
      <c r="X437" s="126"/>
      <c r="Y437" s="127"/>
      <c r="Z437" s="126"/>
      <c r="AA437" s="126"/>
      <c r="AB437" s="126"/>
      <c r="AC437" s="126"/>
      <c r="AD437" s="126"/>
      <c r="AE437" s="126"/>
      <c r="AF437" s="126"/>
      <c r="AG437" s="126"/>
      <c r="AH437" s="126"/>
      <c r="AI437" s="126"/>
      <c r="AJ437" s="126"/>
      <c r="AK437" s="127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>
        <f>0.0324*AV$50</f>
        <v>3.800145294</v>
      </c>
      <c r="AW437" s="127">
        <f>0.0327*AW$50</f>
        <v>4.0131169502999997</v>
      </c>
      <c r="AX437" s="126">
        <f>0.0331*AX$50</f>
        <v>4.5126553999999999</v>
      </c>
      <c r="AY437" s="126">
        <f>0.0289*AY$50</f>
        <v>3.6782025315999998</v>
      </c>
      <c r="AZ437" s="126">
        <f>0.0281*AZ$50</f>
        <v>3.3207797415</v>
      </c>
      <c r="BA437" s="126">
        <f>0.0285*BA$50</f>
        <v>3.2634164970000001</v>
      </c>
      <c r="BB437" s="126">
        <f>0.0267*BB$50</f>
        <v>2.9121135708000003</v>
      </c>
      <c r="BC437" s="126">
        <f>0.0265*BC$50</f>
        <v>2.3684113179999997</v>
      </c>
      <c r="BD437" s="126">
        <f>0.0265*BD$50</f>
        <v>2.2771997224999998</v>
      </c>
      <c r="BE437" s="126">
        <f>0.0268*BE$50</f>
        <v>2.1441703944000001</v>
      </c>
      <c r="BF437" s="126"/>
      <c r="BG437" s="126"/>
      <c r="BH437" s="126"/>
      <c r="BI437" s="126"/>
      <c r="BJ437" s="126"/>
      <c r="BK437" s="126"/>
      <c r="BL437" s="126"/>
      <c r="BO437" s="268">
        <f t="shared" si="814"/>
        <v>2.9336480122901402E-2</v>
      </c>
    </row>
    <row r="438" spans="1:67">
      <c r="A438" s="5" t="s">
        <v>7</v>
      </c>
      <c r="B438" s="126"/>
      <c r="C438" s="126"/>
      <c r="D438" s="126"/>
      <c r="E438" s="126"/>
      <c r="F438" s="126"/>
      <c r="G438" s="126"/>
      <c r="H438" s="126"/>
      <c r="I438" s="126"/>
      <c r="J438" s="126"/>
      <c r="K438" s="126"/>
      <c r="L438" s="126"/>
      <c r="M438" s="127"/>
      <c r="N438" s="126"/>
      <c r="O438" s="126"/>
      <c r="P438" s="126"/>
      <c r="Q438" s="126"/>
      <c r="R438" s="126"/>
      <c r="S438" s="126"/>
      <c r="T438" s="126"/>
      <c r="U438" s="126"/>
      <c r="V438" s="126"/>
      <c r="W438" s="126"/>
      <c r="X438" s="126"/>
      <c r="Y438" s="127"/>
      <c r="Z438" s="126"/>
      <c r="AA438" s="126"/>
      <c r="AB438" s="126"/>
      <c r="AC438" s="126"/>
      <c r="AD438" s="126"/>
      <c r="AE438" s="126"/>
      <c r="AF438" s="126"/>
      <c r="AG438" s="126"/>
      <c r="AH438" s="126"/>
      <c r="AI438" s="126"/>
      <c r="AJ438" s="126"/>
      <c r="AK438" s="127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>
        <f>0.01573*AV$50</f>
        <v>1.8449470825500003</v>
      </c>
      <c r="AW438" s="127">
        <f>0.0161*AW$50</f>
        <v>1.9758771529000001</v>
      </c>
      <c r="AX438" s="126">
        <f>0.0211*AX$50</f>
        <v>2.8766474</v>
      </c>
      <c r="AY438" s="126">
        <f>0.0261*AY$50</f>
        <v>3.3218368884</v>
      </c>
      <c r="AZ438" s="126">
        <f>0.0268*AZ$50</f>
        <v>3.1671493620000004</v>
      </c>
      <c r="BA438" s="126">
        <f>0.0236*BA$50</f>
        <v>2.7023378712000001</v>
      </c>
      <c r="BB438" s="126">
        <f>0.0247*BB$50</f>
        <v>2.6939777228000001</v>
      </c>
      <c r="BC438" s="126">
        <f>0.0235*BC$50</f>
        <v>2.1002892819999999</v>
      </c>
      <c r="BD438" s="126">
        <f>0.0221*BD$50</f>
        <v>1.8990986365</v>
      </c>
      <c r="BE438" s="126">
        <f>0.0211*BE$50</f>
        <v>1.6881341538000001</v>
      </c>
      <c r="BF438" s="126"/>
      <c r="BG438" s="126"/>
      <c r="BH438" s="126"/>
      <c r="BI438" s="126"/>
      <c r="BJ438" s="126"/>
      <c r="BK438" s="126"/>
      <c r="BL438" s="126"/>
      <c r="BO438" s="268">
        <f t="shared" si="814"/>
        <v>2.2050182136601995E-2</v>
      </c>
    </row>
    <row r="439" spans="1:67">
      <c r="A439" s="5" t="s">
        <v>246</v>
      </c>
      <c r="B439" s="126"/>
      <c r="C439" s="126"/>
      <c r="D439" s="126"/>
      <c r="E439" s="126"/>
      <c r="F439" s="126"/>
      <c r="G439" s="126"/>
      <c r="H439" s="126"/>
      <c r="I439" s="126"/>
      <c r="J439" s="126"/>
      <c r="K439" s="126"/>
      <c r="L439" s="126"/>
      <c r="M439" s="127"/>
      <c r="N439" s="126"/>
      <c r="O439" s="126"/>
      <c r="P439" s="126"/>
      <c r="Q439" s="126"/>
      <c r="R439" s="126"/>
      <c r="S439" s="126"/>
      <c r="T439" s="126"/>
      <c r="U439" s="126"/>
      <c r="V439" s="126"/>
      <c r="W439" s="126"/>
      <c r="X439" s="126"/>
      <c r="Y439" s="127"/>
      <c r="Z439" s="126"/>
      <c r="AA439" s="126"/>
      <c r="AB439" s="126"/>
      <c r="AC439" s="126"/>
      <c r="AD439" s="126"/>
      <c r="AE439" s="126"/>
      <c r="AF439" s="126"/>
      <c r="AG439" s="126"/>
      <c r="AH439" s="126"/>
      <c r="AI439" s="126"/>
      <c r="AJ439" s="126"/>
      <c r="AK439" s="127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>
        <f>0.0204*AV$50</f>
        <v>2.3926840740000004</v>
      </c>
      <c r="AW439" s="127">
        <f>0.0196*AW$50</f>
        <v>2.4054156644</v>
      </c>
      <c r="AX439" s="126">
        <f>0.0198*AX$50</f>
        <v>2.6994132000000004</v>
      </c>
      <c r="AY439" s="126">
        <f>0.0195*AY$50</f>
        <v>2.481832158</v>
      </c>
      <c r="AZ439" s="126">
        <f>0.0199*AZ$50</f>
        <v>2.3517265785000001</v>
      </c>
      <c r="BA439" s="126">
        <f>0.0179*BA$50</f>
        <v>2.0496545718000001</v>
      </c>
      <c r="BB439" s="126">
        <f>0.0185*BB$50</f>
        <v>2.0177565940000002</v>
      </c>
      <c r="BC439" s="126">
        <f>0.0201*BC$50</f>
        <v>1.7964176411999999</v>
      </c>
      <c r="BD439" s="126">
        <f>0.0195*BD$50</f>
        <v>1.6756752675</v>
      </c>
      <c r="BE439" s="126">
        <f>0.0195*BE$50</f>
        <v>1.560123981</v>
      </c>
      <c r="BF439" s="126"/>
      <c r="BG439" s="126"/>
      <c r="BH439" s="126"/>
      <c r="BI439" s="126"/>
      <c r="BJ439" s="126"/>
      <c r="BK439" s="126"/>
      <c r="BL439" s="126"/>
      <c r="BO439" s="268">
        <f t="shared" si="814"/>
        <v>1.947033695386071E-2</v>
      </c>
    </row>
    <row r="440" spans="1:67">
      <c r="A440" s="5" t="s">
        <v>8</v>
      </c>
      <c r="B440" s="126"/>
      <c r="C440" s="126"/>
      <c r="D440" s="126"/>
      <c r="E440" s="126"/>
      <c r="F440" s="126"/>
      <c r="G440" s="126"/>
      <c r="H440" s="126"/>
      <c r="I440" s="126"/>
      <c r="J440" s="126"/>
      <c r="K440" s="126"/>
      <c r="L440" s="126"/>
      <c r="M440" s="127"/>
      <c r="N440" s="126"/>
      <c r="O440" s="126"/>
      <c r="P440" s="126"/>
      <c r="Q440" s="126"/>
      <c r="R440" s="126"/>
      <c r="S440" s="126"/>
      <c r="T440" s="126"/>
      <c r="U440" s="126"/>
      <c r="V440" s="126"/>
      <c r="W440" s="126"/>
      <c r="X440" s="126"/>
      <c r="Y440" s="127"/>
      <c r="Z440" s="126"/>
      <c r="AA440" s="126"/>
      <c r="AB440" s="126"/>
      <c r="AC440" s="126"/>
      <c r="AD440" s="126"/>
      <c r="AE440" s="126"/>
      <c r="AF440" s="126"/>
      <c r="AG440" s="126"/>
      <c r="AH440" s="126"/>
      <c r="AI440" s="126"/>
      <c r="AJ440" s="126"/>
      <c r="AK440" s="127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>
        <f>0.0135*AV$50</f>
        <v>1.5833938725000001</v>
      </c>
      <c r="AW440" s="127">
        <f>0.0141*AW$50</f>
        <v>1.7304265749000001</v>
      </c>
      <c r="AX440" s="126">
        <f>0.0153*AX$50</f>
        <v>2.0859101999999998</v>
      </c>
      <c r="AY440" s="126">
        <f>0.0161*AY$50</f>
        <v>2.0491024483999998</v>
      </c>
      <c r="AZ440" s="126">
        <f>0.0163*AZ$50</f>
        <v>1.9262886044999998</v>
      </c>
      <c r="BA440" s="126">
        <f>0.0143*BA$50</f>
        <v>1.6374335406</v>
      </c>
      <c r="BB440" s="126">
        <f>0.0172*BB$50</f>
        <v>1.8759682928000001</v>
      </c>
      <c r="BC440" s="126">
        <f>0.0146*BC$50</f>
        <v>1.3048605752</v>
      </c>
      <c r="BD440" s="126">
        <f>0.0138*BD$50</f>
        <v>1.1858624969999998</v>
      </c>
      <c r="BE440" s="126">
        <f>0.0119*BE$50</f>
        <v>0.95207566020000012</v>
      </c>
      <c r="BF440" s="126"/>
      <c r="BG440" s="126"/>
      <c r="BH440" s="126"/>
      <c r="BI440" s="126"/>
      <c r="BJ440" s="126"/>
      <c r="BK440" s="126"/>
      <c r="BL440" s="126"/>
      <c r="BO440" s="268">
        <f t="shared" si="814"/>
        <v>1.4837422549110579E-2</v>
      </c>
    </row>
    <row r="441" spans="1:67">
      <c r="A441" s="5" t="s">
        <v>13</v>
      </c>
      <c r="B441" s="126"/>
      <c r="C441" s="126"/>
      <c r="D441" s="126"/>
      <c r="E441" s="126"/>
      <c r="F441" s="126"/>
      <c r="G441" s="126"/>
      <c r="H441" s="126"/>
      <c r="I441" s="126"/>
      <c r="J441" s="126"/>
      <c r="K441" s="126"/>
      <c r="L441" s="126"/>
      <c r="M441" s="127"/>
      <c r="N441" s="126"/>
      <c r="O441" s="126"/>
      <c r="P441" s="126"/>
      <c r="Q441" s="126"/>
      <c r="R441" s="126"/>
      <c r="S441" s="126"/>
      <c r="T441" s="126"/>
      <c r="U441" s="126"/>
      <c r="V441" s="126"/>
      <c r="W441" s="126"/>
      <c r="X441" s="126"/>
      <c r="Y441" s="127"/>
      <c r="Z441" s="126"/>
      <c r="AA441" s="126"/>
      <c r="AB441" s="126"/>
      <c r="AC441" s="126"/>
      <c r="AD441" s="126"/>
      <c r="AE441" s="126"/>
      <c r="AF441" s="126"/>
      <c r="AG441" s="126"/>
      <c r="AH441" s="126"/>
      <c r="AI441" s="126"/>
      <c r="AJ441" s="126"/>
      <c r="AK441" s="127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>
        <v>0</v>
      </c>
      <c r="AW441" s="127">
        <v>0</v>
      </c>
      <c r="AX441" s="126">
        <f>0.0045*AX$50</f>
        <v>0.61350300000000002</v>
      </c>
      <c r="AY441" s="126">
        <f>0.015*AY$50</f>
        <v>1.9091016599999999</v>
      </c>
      <c r="AZ441" s="126">
        <f>0.0165*AZ$50</f>
        <v>1.9499240475000001</v>
      </c>
      <c r="BA441" s="126">
        <f>0.015*BA$50</f>
        <v>1.7175876299999999</v>
      </c>
      <c r="BB441" s="126">
        <f>0.0159*BB$50</f>
        <v>1.7341799916000002</v>
      </c>
      <c r="BC441" s="126">
        <f>0.0088*BC$50</f>
        <v>0.78649130560000002</v>
      </c>
      <c r="BD441" s="126">
        <f>0.0005*BD$50</f>
        <v>4.2966032500000001E-2</v>
      </c>
      <c r="BE441" s="126">
        <f>0.0001*BE$50</f>
        <v>8.000635800000001E-3</v>
      </c>
      <c r="BF441" s="126"/>
      <c r="BG441" s="126"/>
      <c r="BH441" s="126"/>
      <c r="BI441" s="126"/>
      <c r="BJ441" s="126"/>
      <c r="BK441" s="126"/>
      <c r="BL441" s="126"/>
      <c r="BO441" s="268">
        <f t="shared" si="814"/>
        <v>7.9602771133205959E-3</v>
      </c>
    </row>
    <row r="442" spans="1:67">
      <c r="A442" s="5" t="s">
        <v>12</v>
      </c>
      <c r="B442" s="126"/>
      <c r="C442" s="126"/>
      <c r="D442" s="126"/>
      <c r="E442" s="126"/>
      <c r="F442" s="126"/>
      <c r="G442" s="126"/>
      <c r="H442" s="126"/>
      <c r="I442" s="126"/>
      <c r="J442" s="126"/>
      <c r="K442" s="126"/>
      <c r="L442" s="126"/>
      <c r="M442" s="127"/>
      <c r="N442" s="126"/>
      <c r="O442" s="126"/>
      <c r="P442" s="126"/>
      <c r="Q442" s="126"/>
      <c r="R442" s="126"/>
      <c r="S442" s="126"/>
      <c r="T442" s="126"/>
      <c r="U442" s="126"/>
      <c r="V442" s="126"/>
      <c r="W442" s="126"/>
      <c r="X442" s="126"/>
      <c r="Y442" s="127"/>
      <c r="Z442" s="126"/>
      <c r="AA442" s="126"/>
      <c r="AB442" s="126"/>
      <c r="AC442" s="126"/>
      <c r="AD442" s="126"/>
      <c r="AE442" s="126"/>
      <c r="AF442" s="126"/>
      <c r="AG442" s="126"/>
      <c r="AH442" s="126"/>
      <c r="AI442" s="126"/>
      <c r="AJ442" s="126"/>
      <c r="AK442" s="127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>
        <f>0.0099*AV$50</f>
        <v>1.1611555065000001</v>
      </c>
      <c r="AW442" s="127">
        <f>0.0099*AW$50</f>
        <v>1.2149803611000001</v>
      </c>
      <c r="AX442" s="126">
        <f>0.0107*AX$50</f>
        <v>1.4587737999999999</v>
      </c>
      <c r="AY442" s="126">
        <f>0.0119*AY$50</f>
        <v>1.5145539836000002</v>
      </c>
      <c r="AZ442" s="126">
        <f>0.0121*AZ$50</f>
        <v>1.4299443015</v>
      </c>
      <c r="BA442" s="126">
        <f>0.0133*BA$50</f>
        <v>1.5229276986</v>
      </c>
      <c r="BB442" s="126">
        <f>0.015*BB$50</f>
        <v>1.6360188600000001</v>
      </c>
      <c r="BC442" s="126">
        <f>0.0149*BC$50</f>
        <v>1.3316727788</v>
      </c>
      <c r="BD442" s="126">
        <f>0.0144*BD$50</f>
        <v>1.2374217359999999</v>
      </c>
      <c r="BE442" s="126">
        <f>0.0138*BE$50</f>
        <v>1.1040877404</v>
      </c>
      <c r="BF442" s="126"/>
      <c r="BG442" s="126"/>
      <c r="BH442" s="126"/>
      <c r="BI442" s="126"/>
      <c r="BJ442" s="126"/>
      <c r="BK442" s="126"/>
      <c r="BL442" s="126"/>
      <c r="BO442" s="268">
        <f t="shared" si="814"/>
        <v>1.2366428097897298E-2</v>
      </c>
    </row>
    <row r="443" spans="1:67">
      <c r="A443" s="5" t="s">
        <v>5</v>
      </c>
      <c r="B443" s="126"/>
      <c r="C443" s="126"/>
      <c r="D443" s="126"/>
      <c r="E443" s="126"/>
      <c r="F443" s="126"/>
      <c r="G443" s="126"/>
      <c r="H443" s="126"/>
      <c r="I443" s="126"/>
      <c r="J443" s="126"/>
      <c r="K443" s="126"/>
      <c r="L443" s="126"/>
      <c r="M443" s="127"/>
      <c r="N443" s="126"/>
      <c r="O443" s="126"/>
      <c r="P443" s="126"/>
      <c r="Q443" s="126"/>
      <c r="R443" s="126"/>
      <c r="S443" s="126"/>
      <c r="T443" s="126"/>
      <c r="U443" s="126"/>
      <c r="V443" s="126"/>
      <c r="W443" s="126"/>
      <c r="X443" s="126"/>
      <c r="Y443" s="127"/>
      <c r="Z443" s="126"/>
      <c r="AA443" s="126"/>
      <c r="AB443" s="126"/>
      <c r="AC443" s="126"/>
      <c r="AD443" s="126"/>
      <c r="AE443" s="126"/>
      <c r="AF443" s="126"/>
      <c r="AG443" s="126"/>
      <c r="AH443" s="126"/>
      <c r="AI443" s="126"/>
      <c r="AJ443" s="126"/>
      <c r="AK443" s="127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>
        <f>0.0307*AV$50</f>
        <v>3.6007549545000006</v>
      </c>
      <c r="AW443" s="127">
        <f>0.033*AW$50</f>
        <v>4.0499345370000004</v>
      </c>
      <c r="AX443" s="126">
        <f>0.0348*AX$50</f>
        <v>4.7444232</v>
      </c>
      <c r="AY443" s="126">
        <f>0.0354*AY$50</f>
        <v>4.5054799175999998</v>
      </c>
      <c r="AZ443" s="126">
        <f>0.0374*AZ$50</f>
        <v>4.419827841</v>
      </c>
      <c r="BA443" s="126">
        <f>0.0227*BA$50</f>
        <v>2.5992826134000002</v>
      </c>
      <c r="BB443" s="126">
        <f>0.0105*BB$50</f>
        <v>1.1452132020000001</v>
      </c>
      <c r="BC443" s="126">
        <f>0.0086*BC$50</f>
        <v>0.76861650319999997</v>
      </c>
      <c r="BD443" s="126">
        <f>0.0093*BD$50</f>
        <v>0.79916820449999992</v>
      </c>
      <c r="BE443" s="126">
        <f>0.0102*BE$50</f>
        <v>0.81606485160000009</v>
      </c>
      <c r="BF443" s="126"/>
      <c r="BG443" s="126"/>
      <c r="BH443" s="126"/>
      <c r="BI443" s="126"/>
      <c r="BJ443" s="126"/>
      <c r="BK443" s="126"/>
      <c r="BL443" s="126"/>
      <c r="BO443" s="268">
        <f t="shared" si="814"/>
        <v>2.493790339558349E-2</v>
      </c>
    </row>
    <row r="444" spans="1:67">
      <c r="A444" s="5" t="s">
        <v>59</v>
      </c>
      <c r="B444" s="126"/>
      <c r="C444" s="126"/>
      <c r="D444" s="126"/>
      <c r="E444" s="126"/>
      <c r="F444" s="126"/>
      <c r="G444" s="126"/>
      <c r="H444" s="126"/>
      <c r="I444" s="126"/>
      <c r="J444" s="126"/>
      <c r="K444" s="126"/>
      <c r="L444" s="126"/>
      <c r="M444" s="127"/>
      <c r="N444" s="126"/>
      <c r="O444" s="126"/>
      <c r="P444" s="126"/>
      <c r="Q444" s="126"/>
      <c r="R444" s="126"/>
      <c r="S444" s="126"/>
      <c r="T444" s="126"/>
      <c r="U444" s="126"/>
      <c r="V444" s="126"/>
      <c r="W444" s="126"/>
      <c r="X444" s="126"/>
      <c r="Y444" s="127"/>
      <c r="Z444" s="126"/>
      <c r="AA444" s="126"/>
      <c r="AB444" s="126"/>
      <c r="AC444" s="126"/>
      <c r="AD444" s="126"/>
      <c r="AE444" s="126"/>
      <c r="AF444" s="126"/>
      <c r="AG444" s="126"/>
      <c r="AH444" s="126"/>
      <c r="AI444" s="126"/>
      <c r="AJ444" s="126"/>
      <c r="AK444" s="127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4"/>
      <c r="AW444" s="3"/>
      <c r="AX444" s="4"/>
      <c r="AY444" s="4"/>
      <c r="AZ444" s="4"/>
      <c r="BA444" s="4"/>
      <c r="BB444" s="126">
        <f>0.0087*BB$50</f>
        <v>0.94889093879999997</v>
      </c>
      <c r="BC444" s="126">
        <f>0.0108*BC$50</f>
        <v>0.96523932960000003</v>
      </c>
      <c r="BD444" s="126">
        <f>0.0118*BD$50</f>
        <v>1.0139983669999999</v>
      </c>
      <c r="BE444" s="126">
        <f>0.0116*BE$50</f>
        <v>0.92807375280000004</v>
      </c>
      <c r="BF444" s="126"/>
      <c r="BG444" s="126"/>
      <c r="BH444" s="126"/>
      <c r="BI444" s="126"/>
      <c r="BJ444" s="126"/>
      <c r="BK444" s="126"/>
      <c r="BL444" s="126"/>
      <c r="BO444" s="268">
        <f t="shared" si="814"/>
        <v>3.5034581607259071E-3</v>
      </c>
    </row>
    <row r="445" spans="1:67">
      <c r="A445" s="5" t="s">
        <v>60</v>
      </c>
      <c r="B445" s="126"/>
      <c r="C445" s="126"/>
      <c r="D445" s="126"/>
      <c r="E445" s="126"/>
      <c r="F445" s="126"/>
      <c r="G445" s="126"/>
      <c r="H445" s="126"/>
      <c r="I445" s="126"/>
      <c r="J445" s="126"/>
      <c r="K445" s="126"/>
      <c r="L445" s="126"/>
      <c r="M445" s="127"/>
      <c r="N445" s="126"/>
      <c r="O445" s="126"/>
      <c r="P445" s="126"/>
      <c r="Q445" s="126"/>
      <c r="R445" s="126"/>
      <c r="S445" s="126"/>
      <c r="T445" s="126"/>
      <c r="U445" s="126"/>
      <c r="V445" s="126"/>
      <c r="W445" s="126"/>
      <c r="X445" s="126"/>
      <c r="Y445" s="127"/>
      <c r="Z445" s="126"/>
      <c r="AA445" s="126"/>
      <c r="AB445" s="126"/>
      <c r="AC445" s="126"/>
      <c r="AD445" s="126"/>
      <c r="AE445" s="126"/>
      <c r="AF445" s="126"/>
      <c r="AG445" s="126"/>
      <c r="AH445" s="126"/>
      <c r="AI445" s="126"/>
      <c r="AJ445" s="126"/>
      <c r="AK445" s="127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4"/>
      <c r="AW445" s="3"/>
      <c r="AX445" s="4"/>
      <c r="AY445" s="4"/>
      <c r="AZ445" s="4"/>
      <c r="BA445" s="4"/>
      <c r="BB445" s="126">
        <f>0.0082*BB$50</f>
        <v>0.89435697680000015</v>
      </c>
      <c r="BC445" s="126">
        <f>0.0078*BC$50</f>
        <v>0.69711729359999997</v>
      </c>
      <c r="BD445" s="126">
        <f>0.0118*BD$50</f>
        <v>1.0139983669999999</v>
      </c>
      <c r="BE445" s="126">
        <f>0.0116*BE$50</f>
        <v>0.92807375280000004</v>
      </c>
      <c r="BF445" s="126"/>
      <c r="BG445" s="126"/>
      <c r="BH445" s="126"/>
      <c r="BI445" s="126"/>
      <c r="BJ445" s="126"/>
      <c r="BK445" s="126"/>
      <c r="BL445" s="126"/>
      <c r="BO445" s="268">
        <f t="shared" si="814"/>
        <v>3.2103169623387763E-3</v>
      </c>
    </row>
    <row r="446" spans="1:67">
      <c r="A446" s="5" t="s">
        <v>24</v>
      </c>
      <c r="B446" s="126"/>
      <c r="C446" s="126"/>
      <c r="D446" s="126"/>
      <c r="E446" s="126"/>
      <c r="F446" s="126"/>
      <c r="G446" s="126"/>
      <c r="H446" s="126"/>
      <c r="I446" s="126"/>
      <c r="J446" s="126"/>
      <c r="K446" s="126"/>
      <c r="L446" s="126"/>
      <c r="M446" s="127"/>
      <c r="N446" s="126"/>
      <c r="O446" s="126"/>
      <c r="P446" s="126"/>
      <c r="Q446" s="126"/>
      <c r="R446" s="126"/>
      <c r="S446" s="126"/>
      <c r="T446" s="126"/>
      <c r="U446" s="126"/>
      <c r="V446" s="126"/>
      <c r="W446" s="126"/>
      <c r="X446" s="126"/>
      <c r="Y446" s="127"/>
      <c r="Z446" s="126"/>
      <c r="AA446" s="126"/>
      <c r="AB446" s="126"/>
      <c r="AC446" s="126"/>
      <c r="AD446" s="126"/>
      <c r="AE446" s="126"/>
      <c r="AF446" s="126"/>
      <c r="AG446" s="126"/>
      <c r="AH446" s="126"/>
      <c r="AI446" s="126"/>
      <c r="AJ446" s="126"/>
      <c r="AK446" s="127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>
        <f>0.04173*AV$50</f>
        <v>4.8944463925500008</v>
      </c>
      <c r="AW446" s="127">
        <f>0.0448*AW$50</f>
        <v>5.4980929472</v>
      </c>
      <c r="AX446" s="126">
        <f>0.0498*AX$50</f>
        <v>6.7894331999999995</v>
      </c>
      <c r="AY446" s="126">
        <f>0.0488*AY$50</f>
        <v>6.2109440672000007</v>
      </c>
      <c r="AZ446" s="126">
        <f>0.0192*AZ$50</f>
        <v>2.2690025279999997</v>
      </c>
      <c r="BA446" s="126">
        <f>0.0164*BA$50</f>
        <v>1.8778958088000002</v>
      </c>
      <c r="BB446" s="126">
        <f>0.0187*BB$50</f>
        <v>2.0395701788</v>
      </c>
      <c r="BC446" s="126">
        <f>0.0194*BC$50</f>
        <v>1.7338558328</v>
      </c>
      <c r="BD446" s="126">
        <f>(0.0082+0.0073)*BD$50</f>
        <v>1.3319470074999999</v>
      </c>
      <c r="BE446" s="126">
        <f>(0.0047+0.0075)*BE$50</f>
        <v>0.97607756759999997</v>
      </c>
      <c r="BF446" s="126"/>
      <c r="BG446" s="126"/>
      <c r="BH446" s="126"/>
      <c r="BI446" s="126"/>
      <c r="BJ446" s="126"/>
      <c r="BK446" s="126"/>
      <c r="BL446" s="126"/>
      <c r="BO446" s="268">
        <f t="shared" si="814"/>
        <v>3.0545776709497371E-2</v>
      </c>
    </row>
    <row r="447" spans="1:67">
      <c r="A447" s="5" t="s">
        <v>9</v>
      </c>
      <c r="B447" s="126"/>
      <c r="C447" s="126"/>
      <c r="D447" s="126"/>
      <c r="E447" s="126"/>
      <c r="F447" s="126"/>
      <c r="G447" s="126"/>
      <c r="H447" s="126"/>
      <c r="I447" s="126"/>
      <c r="J447" s="126"/>
      <c r="K447" s="126"/>
      <c r="L447" s="126"/>
      <c r="M447" s="127"/>
      <c r="N447" s="126"/>
      <c r="O447" s="126"/>
      <c r="P447" s="126"/>
      <c r="Q447" s="126"/>
      <c r="R447" s="126"/>
      <c r="S447" s="126"/>
      <c r="T447" s="126"/>
      <c r="U447" s="126"/>
      <c r="V447" s="126"/>
      <c r="W447" s="126"/>
      <c r="X447" s="126"/>
      <c r="Y447" s="127"/>
      <c r="Z447" s="126"/>
      <c r="AA447" s="126"/>
      <c r="AB447" s="126"/>
      <c r="AC447" s="126"/>
      <c r="AD447" s="126"/>
      <c r="AE447" s="126"/>
      <c r="AF447" s="126"/>
      <c r="AG447" s="126"/>
      <c r="AH447" s="126"/>
      <c r="AI447" s="126"/>
      <c r="AJ447" s="126"/>
      <c r="AK447" s="127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>
        <f>0.0172*AV$50</f>
        <v>2.0173610820000003</v>
      </c>
      <c r="AW447" s="127">
        <f>0.014*AW$50</f>
        <v>1.718154046</v>
      </c>
      <c r="AX447" s="126">
        <f>0.0096*AX$50</f>
        <v>1.3088063999999999</v>
      </c>
      <c r="AY447" s="126">
        <f>0.0094*AY$50</f>
        <v>1.1963703736</v>
      </c>
      <c r="AZ447" s="126">
        <f>0.0089*AZ$50</f>
        <v>1.0517772135000001</v>
      </c>
      <c r="BA447" s="126">
        <f>0.0077*BA$50</f>
        <v>0.88169498340000008</v>
      </c>
      <c r="BB447" s="126">
        <f>0.008*BB$50</f>
        <v>0.87254339200000008</v>
      </c>
      <c r="BC447" s="126">
        <f>0.007*BC$50</f>
        <v>0.62561808399999996</v>
      </c>
      <c r="BD447" s="126">
        <f>0.0064*BD$50</f>
        <v>0.54996521600000003</v>
      </c>
      <c r="BE447" s="126">
        <f>0.006*BE$50</f>
        <v>0.48003814800000005</v>
      </c>
      <c r="BF447" s="126"/>
      <c r="BG447" s="126"/>
      <c r="BH447" s="126"/>
      <c r="BI447" s="126"/>
      <c r="BJ447" s="126"/>
      <c r="BK447" s="126"/>
      <c r="BL447" s="126"/>
      <c r="BO447" s="268">
        <f t="shared" si="814"/>
        <v>9.7233386331319789E-3</v>
      </c>
    </row>
    <row r="448" spans="1:67">
      <c r="A448" s="5" t="s">
        <v>200</v>
      </c>
      <c r="B448" s="126"/>
      <c r="C448" s="126"/>
      <c r="D448" s="126"/>
      <c r="E448" s="126"/>
      <c r="F448" s="126"/>
      <c r="G448" s="126"/>
      <c r="H448" s="126"/>
      <c r="I448" s="126"/>
      <c r="J448" s="126"/>
      <c r="K448" s="126"/>
      <c r="L448" s="126"/>
      <c r="M448" s="127"/>
      <c r="N448" s="126"/>
      <c r="O448" s="126"/>
      <c r="P448" s="126"/>
      <c r="Q448" s="126"/>
      <c r="R448" s="126"/>
      <c r="S448" s="126"/>
      <c r="T448" s="126"/>
      <c r="U448" s="126"/>
      <c r="V448" s="126"/>
      <c r="W448" s="126"/>
      <c r="X448" s="126"/>
      <c r="Y448" s="127"/>
      <c r="Z448" s="126"/>
      <c r="AA448" s="126"/>
      <c r="AB448" s="126"/>
      <c r="AC448" s="126"/>
      <c r="AD448" s="126"/>
      <c r="AE448" s="126"/>
      <c r="AF448" s="126"/>
      <c r="AG448" s="126"/>
      <c r="AH448" s="126"/>
      <c r="AI448" s="126"/>
      <c r="AJ448" s="126"/>
      <c r="AK448" s="127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>
        <f>0.0087*AV$50</f>
        <v>1.0204093845</v>
      </c>
      <c r="AW448" s="127">
        <f>0.00863*AW$50</f>
        <v>1.0591192440700001</v>
      </c>
      <c r="AX448" s="126">
        <f>0.0093*AX$50</f>
        <v>1.2679061999999999</v>
      </c>
      <c r="AY448" s="126">
        <f>0.0098*AY$50</f>
        <v>1.2472797512</v>
      </c>
      <c r="AZ448" s="126">
        <f>0.0088*AZ$50</f>
        <v>1.0399594920000002</v>
      </c>
      <c r="BA448" s="126">
        <f>0.0073*BA$50</f>
        <v>0.83589264660000007</v>
      </c>
      <c r="BB448" s="126">
        <f>0.0062*BB$50</f>
        <v>0.67622112879999996</v>
      </c>
      <c r="BC448" s="126">
        <f>0.0054*BC$50</f>
        <v>0.48261966480000001</v>
      </c>
      <c r="BD448" s="126">
        <f>0.0049*BD$50</f>
        <v>0.42106711849999995</v>
      </c>
      <c r="BE448" s="126">
        <f>0.0057*BE$50</f>
        <v>0.45603624060000003</v>
      </c>
      <c r="BF448" s="126"/>
      <c r="BG448" s="126"/>
      <c r="BH448" s="126"/>
      <c r="BI448" s="126"/>
      <c r="BJ448" s="126"/>
      <c r="BK448" s="126"/>
      <c r="BL448" s="126"/>
      <c r="BO448" s="268">
        <f t="shared" si="814"/>
        <v>7.7283819494922612E-3</v>
      </c>
    </row>
    <row r="449" spans="1:67">
      <c r="A449" s="5" t="s">
        <v>10</v>
      </c>
      <c r="B449" s="126"/>
      <c r="C449" s="126"/>
      <c r="D449" s="126"/>
      <c r="E449" s="126"/>
      <c r="F449" s="126"/>
      <c r="G449" s="126"/>
      <c r="H449" s="126"/>
      <c r="I449" s="126"/>
      <c r="J449" s="126"/>
      <c r="K449" s="126"/>
      <c r="L449" s="126"/>
      <c r="M449" s="127"/>
      <c r="N449" s="126"/>
      <c r="O449" s="126"/>
      <c r="P449" s="126"/>
      <c r="Q449" s="126"/>
      <c r="R449" s="126"/>
      <c r="S449" s="126"/>
      <c r="T449" s="126"/>
      <c r="U449" s="126"/>
      <c r="V449" s="126"/>
      <c r="W449" s="126"/>
      <c r="X449" s="126"/>
      <c r="Y449" s="127"/>
      <c r="Z449" s="126"/>
      <c r="AA449" s="126"/>
      <c r="AB449" s="126"/>
      <c r="AC449" s="126"/>
      <c r="AD449" s="126"/>
      <c r="AE449" s="126"/>
      <c r="AF449" s="126"/>
      <c r="AG449" s="126"/>
      <c r="AH449" s="126"/>
      <c r="AI449" s="126"/>
      <c r="AJ449" s="126"/>
      <c r="AK449" s="127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>
        <f>0.0032*AV$50</f>
        <v>0.37532299200000002</v>
      </c>
      <c r="AW449" s="127">
        <f>0.0035*AW$50</f>
        <v>0.4295385115</v>
      </c>
      <c r="AX449" s="126">
        <f>0.0045*AX$50</f>
        <v>0.61350300000000002</v>
      </c>
      <c r="AY449" s="126">
        <f>0.0045*AY$50</f>
        <v>0.57273049799999998</v>
      </c>
      <c r="AZ449" s="126">
        <f>0.0044*AZ$50</f>
        <v>0.51997974600000008</v>
      </c>
      <c r="BA449" s="126">
        <f>0.0041*BA$50</f>
        <v>0.46947395220000004</v>
      </c>
      <c r="BB449" s="126">
        <f>0.0038*BB$50</f>
        <v>0.41445811120000003</v>
      </c>
      <c r="BC449" s="126">
        <f>0.007*BC$50</f>
        <v>0.62561808399999996</v>
      </c>
      <c r="BD449" s="126">
        <f>0.0066*BD$50</f>
        <v>0.56715162899999993</v>
      </c>
      <c r="BE449" s="126">
        <f>0.0001*BE$50</f>
        <v>8.000635800000001E-3</v>
      </c>
      <c r="BF449" s="126"/>
      <c r="BG449" s="126"/>
      <c r="BH449" s="126"/>
      <c r="BI449" s="126"/>
      <c r="BJ449" s="126"/>
      <c r="BK449" s="126"/>
      <c r="BL449" s="126"/>
      <c r="BO449" s="268">
        <f t="shared" si="814"/>
        <v>4.1753806917132217E-3</v>
      </c>
    </row>
    <row r="450" spans="1:67">
      <c r="A450" s="5" t="s">
        <v>14</v>
      </c>
      <c r="B450" s="126"/>
      <c r="C450" s="126"/>
      <c r="D450" s="126"/>
      <c r="E450" s="126"/>
      <c r="F450" s="126"/>
      <c r="G450" s="126"/>
      <c r="H450" s="126"/>
      <c r="I450" s="126"/>
      <c r="J450" s="126"/>
      <c r="K450" s="126"/>
      <c r="L450" s="126"/>
      <c r="M450" s="127"/>
      <c r="N450" s="126"/>
      <c r="O450" s="126"/>
      <c r="P450" s="126"/>
      <c r="Q450" s="126"/>
      <c r="R450" s="126"/>
      <c r="S450" s="126"/>
      <c r="T450" s="126"/>
      <c r="U450" s="126"/>
      <c r="V450" s="126"/>
      <c r="W450" s="126"/>
      <c r="X450" s="126"/>
      <c r="Y450" s="127"/>
      <c r="Z450" s="126"/>
      <c r="AA450" s="126"/>
      <c r="AB450" s="126"/>
      <c r="AC450" s="126"/>
      <c r="AD450" s="126"/>
      <c r="AE450" s="126"/>
      <c r="AF450" s="126"/>
      <c r="AG450" s="126"/>
      <c r="AH450" s="126"/>
      <c r="AI450" s="126"/>
      <c r="AJ450" s="126"/>
      <c r="AK450" s="127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>
        <f>0.0032*AV$50</f>
        <v>0.37532299200000002</v>
      </c>
      <c r="AW450" s="127">
        <f>0.0023*AW$50</f>
        <v>0.28226816469999999</v>
      </c>
      <c r="AX450" s="126">
        <f>0.0025*AX$50</f>
        <v>0.340835</v>
      </c>
      <c r="AY450" s="126">
        <f>0.0028*AY$50</f>
        <v>0.35636564319999997</v>
      </c>
      <c r="AZ450" s="126">
        <f>0.0023*AZ$50</f>
        <v>0.27180759450000003</v>
      </c>
      <c r="BA450" s="126">
        <f>0.0016*BA$50</f>
        <v>0.18320934720000001</v>
      </c>
      <c r="BB450" s="126">
        <f>0.0014*BB$50</f>
        <v>0.1526950936</v>
      </c>
      <c r="BC450" s="126">
        <f>0.0012*BC$50</f>
        <v>0.10724881439999999</v>
      </c>
      <c r="BD450" s="126">
        <f>0.0012*BD$50</f>
        <v>0.10311847799999999</v>
      </c>
      <c r="BE450" s="126">
        <f>0.0019*BE$50</f>
        <v>0.15201208020000001</v>
      </c>
      <c r="BF450" s="126"/>
      <c r="BG450" s="126"/>
      <c r="BH450" s="126"/>
      <c r="BI450" s="126"/>
      <c r="BJ450" s="126"/>
      <c r="BK450" s="126"/>
      <c r="BL450" s="126"/>
      <c r="BO450" s="268">
        <f t="shared" si="814"/>
        <v>2.1122156534173825E-3</v>
      </c>
    </row>
    <row r="451" spans="1:67">
      <c r="A451" s="5" t="s">
        <v>15</v>
      </c>
      <c r="B451" s="126"/>
      <c r="C451" s="126"/>
      <c r="D451" s="126"/>
      <c r="E451" s="126"/>
      <c r="F451" s="126"/>
      <c r="G451" s="126"/>
      <c r="H451" s="126"/>
      <c r="I451" s="126"/>
      <c r="J451" s="126"/>
      <c r="K451" s="126"/>
      <c r="L451" s="126"/>
      <c r="M451" s="127"/>
      <c r="N451" s="126"/>
      <c r="O451" s="126"/>
      <c r="P451" s="126"/>
      <c r="Q451" s="126"/>
      <c r="R451" s="126"/>
      <c r="S451" s="126"/>
      <c r="T451" s="126"/>
      <c r="U451" s="126"/>
      <c r="V451" s="126"/>
      <c r="W451" s="126"/>
      <c r="X451" s="126"/>
      <c r="Y451" s="127"/>
      <c r="Z451" s="126"/>
      <c r="AA451" s="126"/>
      <c r="AB451" s="126"/>
      <c r="AC451" s="126"/>
      <c r="AD451" s="126"/>
      <c r="AE451" s="126"/>
      <c r="AF451" s="126"/>
      <c r="AG451" s="126"/>
      <c r="AH451" s="126"/>
      <c r="AI451" s="126"/>
      <c r="AJ451" s="126"/>
      <c r="AK451" s="127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>
        <f>0.0033*AV$50</f>
        <v>0.3870518355</v>
      </c>
      <c r="AW451" s="127">
        <f>0.0038*AW$50</f>
        <v>0.46635609820000001</v>
      </c>
      <c r="AX451" s="126">
        <f>0.0067*AX$50</f>
        <v>0.91343780000000008</v>
      </c>
      <c r="AY451" s="126">
        <f>0.0062*AY$50</f>
        <v>0.78909535279999998</v>
      </c>
      <c r="AZ451" s="126">
        <f>0.0066*AZ$50</f>
        <v>0.77996961900000006</v>
      </c>
      <c r="BA451" s="126">
        <f>0.0062*BA$50</f>
        <v>0.70993622039999993</v>
      </c>
      <c r="BB451" s="126">
        <f>0.00062*BB$50</f>
        <v>6.7622112880000002E-2</v>
      </c>
      <c r="BC451" s="126">
        <f>0.0058*BC$50</f>
        <v>0.51836926959999996</v>
      </c>
      <c r="BD451" s="126">
        <f>0.0051*BD$50</f>
        <v>0.43825353150000002</v>
      </c>
      <c r="BE451" s="126">
        <f>0.0052*BE$50</f>
        <v>0.41603306160000003</v>
      </c>
      <c r="BF451" s="126"/>
      <c r="BG451" s="126"/>
      <c r="BH451" s="126"/>
      <c r="BI451" s="126"/>
      <c r="BJ451" s="126"/>
      <c r="BK451" s="126"/>
      <c r="BL451" s="126"/>
      <c r="BO451" s="268">
        <f t="shared" si="814"/>
        <v>4.9842843092640235E-3</v>
      </c>
    </row>
    <row r="452" spans="1:67">
      <c r="A452" s="5" t="s">
        <v>377</v>
      </c>
      <c r="B452" s="126"/>
      <c r="C452" s="126"/>
      <c r="D452" s="126"/>
      <c r="E452" s="126"/>
      <c r="F452" s="126"/>
      <c r="G452" s="126"/>
      <c r="H452" s="126"/>
      <c r="I452" s="126"/>
      <c r="J452" s="126"/>
      <c r="K452" s="126"/>
      <c r="L452" s="126"/>
      <c r="M452" s="127"/>
      <c r="N452" s="126"/>
      <c r="O452" s="126"/>
      <c r="P452" s="126"/>
      <c r="Q452" s="126"/>
      <c r="R452" s="126"/>
      <c r="S452" s="126"/>
      <c r="T452" s="126"/>
      <c r="U452" s="126"/>
      <c r="V452" s="126"/>
      <c r="W452" s="126"/>
      <c r="X452" s="126"/>
      <c r="Y452" s="127"/>
      <c r="Z452" s="126"/>
      <c r="AA452" s="126"/>
      <c r="AB452" s="126"/>
      <c r="AC452" s="126"/>
      <c r="AD452" s="126"/>
      <c r="AE452" s="126"/>
      <c r="AF452" s="126"/>
      <c r="AG452" s="126"/>
      <c r="AH452" s="126"/>
      <c r="AI452" s="126"/>
      <c r="AJ452" s="126"/>
      <c r="AK452" s="127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4"/>
      <c r="AW452" s="3"/>
      <c r="AX452" s="4"/>
      <c r="AY452" s="4"/>
      <c r="AZ452" s="4"/>
      <c r="BA452" s="4"/>
      <c r="BB452" s="4"/>
      <c r="BC452" s="126">
        <f>0.0083*BC$50</f>
        <v>0.74180429959999994</v>
      </c>
      <c r="BD452" s="126">
        <f>0.0081*BD$50</f>
        <v>0.69604972649999997</v>
      </c>
      <c r="BE452" s="126">
        <f>0.0081*BE$50</f>
        <v>0.64805149979999999</v>
      </c>
      <c r="BF452" s="126"/>
      <c r="BG452" s="126"/>
      <c r="BH452" s="126"/>
      <c r="BI452" s="126"/>
      <c r="BJ452" s="126"/>
      <c r="BK452" s="126"/>
      <c r="BL452" s="126"/>
      <c r="BO452" s="268">
        <f t="shared" si="814"/>
        <v>1.8950983380902878E-3</v>
      </c>
    </row>
    <row r="453" spans="1:67">
      <c r="A453" s="5" t="s">
        <v>378</v>
      </c>
      <c r="B453" s="126"/>
      <c r="C453" s="126"/>
      <c r="D453" s="126"/>
      <c r="E453" s="126"/>
      <c r="F453" s="126"/>
      <c r="G453" s="126"/>
      <c r="H453" s="126"/>
      <c r="I453" s="126"/>
      <c r="J453" s="126"/>
      <c r="K453" s="126"/>
      <c r="L453" s="126"/>
      <c r="M453" s="127"/>
      <c r="N453" s="126"/>
      <c r="O453" s="126"/>
      <c r="P453" s="126"/>
      <c r="Q453" s="126"/>
      <c r="R453" s="126"/>
      <c r="S453" s="126"/>
      <c r="T453" s="126"/>
      <c r="U453" s="126"/>
      <c r="V453" s="126"/>
      <c r="W453" s="126"/>
      <c r="X453" s="126"/>
      <c r="Y453" s="127"/>
      <c r="Z453" s="126"/>
      <c r="AA453" s="126"/>
      <c r="AB453" s="126"/>
      <c r="AC453" s="126"/>
      <c r="AD453" s="126"/>
      <c r="AE453" s="126"/>
      <c r="AF453" s="126"/>
      <c r="AG453" s="126"/>
      <c r="AH453" s="126"/>
      <c r="AI453" s="126"/>
      <c r="AJ453" s="126"/>
      <c r="AK453" s="127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4"/>
      <c r="AW453" s="3"/>
      <c r="AX453" s="4"/>
      <c r="AY453" s="4"/>
      <c r="AZ453" s="4"/>
      <c r="BA453" s="4"/>
      <c r="BB453" s="4"/>
      <c r="BC453" s="126">
        <f>0.0074*BC$50</f>
        <v>0.66136768879999996</v>
      </c>
      <c r="BD453" s="126">
        <f>0.0084*BD$50</f>
        <v>0.72182934599999993</v>
      </c>
      <c r="BE453" s="126">
        <f>0.0078*BE$50</f>
        <v>0.62404959240000002</v>
      </c>
      <c r="BF453" s="126"/>
      <c r="BG453" s="126"/>
      <c r="BH453" s="126"/>
      <c r="BI453" s="126"/>
      <c r="BJ453" s="126"/>
      <c r="BK453" s="126"/>
      <c r="BL453" s="126"/>
      <c r="BO453" s="268">
        <f t="shared" si="814"/>
        <v>1.8236347236784771E-3</v>
      </c>
    </row>
    <row r="454" spans="1:67">
      <c r="A454" s="5" t="s">
        <v>16</v>
      </c>
      <c r="B454" s="126"/>
      <c r="C454" s="126"/>
      <c r="D454" s="126"/>
      <c r="E454" s="126"/>
      <c r="F454" s="126"/>
      <c r="G454" s="126"/>
      <c r="H454" s="126"/>
      <c r="I454" s="126"/>
      <c r="J454" s="126"/>
      <c r="K454" s="126"/>
      <c r="L454" s="126"/>
      <c r="M454" s="127"/>
      <c r="N454" s="126"/>
      <c r="O454" s="126"/>
      <c r="P454" s="126"/>
      <c r="Q454" s="126"/>
      <c r="R454" s="126"/>
      <c r="S454" s="126"/>
      <c r="T454" s="126"/>
      <c r="U454" s="126"/>
      <c r="V454" s="126"/>
      <c r="W454" s="126"/>
      <c r="X454" s="126"/>
      <c r="Y454" s="127"/>
      <c r="Z454" s="126"/>
      <c r="AA454" s="126"/>
      <c r="AB454" s="126"/>
      <c r="AC454" s="126"/>
      <c r="AD454" s="126"/>
      <c r="AE454" s="126"/>
      <c r="AF454" s="126"/>
      <c r="AG454" s="126"/>
      <c r="AH454" s="126"/>
      <c r="AI454" s="126"/>
      <c r="AJ454" s="126"/>
      <c r="AK454" s="127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4"/>
      <c r="AW454" s="3"/>
      <c r="AX454" s="4"/>
      <c r="AY454" s="4"/>
      <c r="AZ454" s="4"/>
      <c r="BA454" s="4"/>
      <c r="BB454" s="4"/>
      <c r="BC454" s="126">
        <f t="shared" ref="BC454" si="815">0.0055*BC$50</f>
        <v>0.49155706599999993</v>
      </c>
      <c r="BD454" s="126">
        <f>0.008*BD$50</f>
        <v>0.68745652000000002</v>
      </c>
      <c r="BE454" s="126">
        <f>0.0083*BE$50</f>
        <v>0.66405277140000007</v>
      </c>
      <c r="BF454" s="126"/>
      <c r="BG454" s="126"/>
      <c r="BH454" s="126"/>
      <c r="BI454" s="126"/>
      <c r="BJ454" s="126"/>
      <c r="BK454" s="126"/>
      <c r="BL454" s="126"/>
      <c r="BO454" s="268">
        <f t="shared" si="814"/>
        <v>1.6744727637613575E-3</v>
      </c>
    </row>
    <row r="455" spans="1:67">
      <c r="A455" s="5" t="s">
        <v>4</v>
      </c>
      <c r="B455" s="126"/>
      <c r="C455" s="126"/>
      <c r="D455" s="126"/>
      <c r="E455" s="126"/>
      <c r="F455" s="126"/>
      <c r="G455" s="126"/>
      <c r="H455" s="126"/>
      <c r="I455" s="126"/>
      <c r="J455" s="126"/>
      <c r="K455" s="126"/>
      <c r="L455" s="126"/>
      <c r="M455" s="127"/>
      <c r="N455" s="126"/>
      <c r="O455" s="126"/>
      <c r="P455" s="126"/>
      <c r="Q455" s="126"/>
      <c r="R455" s="126"/>
      <c r="S455" s="126"/>
      <c r="T455" s="126"/>
      <c r="U455" s="126"/>
      <c r="V455" s="126"/>
      <c r="W455" s="126"/>
      <c r="X455" s="126"/>
      <c r="Y455" s="127"/>
      <c r="Z455" s="126"/>
      <c r="AA455" s="126"/>
      <c r="AB455" s="126"/>
      <c r="AC455" s="126"/>
      <c r="AD455" s="126"/>
      <c r="AE455" s="126"/>
      <c r="AF455" s="126"/>
      <c r="AG455" s="126"/>
      <c r="AH455" s="126"/>
      <c r="AI455" s="126"/>
      <c r="AJ455" s="126"/>
      <c r="AK455" s="127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>
        <f>0.0374*AV$50</f>
        <v>4.3865874690000002</v>
      </c>
      <c r="AW455" s="127">
        <f>0.0381*AW$50</f>
        <v>4.6758335109000004</v>
      </c>
      <c r="AX455" s="126">
        <f>0.0167*AX$50</f>
        <v>2.2767778000000001</v>
      </c>
      <c r="AY455" s="4"/>
      <c r="AZ455" s="4"/>
      <c r="BA455" s="4"/>
      <c r="BB455" s="126">
        <f>0.0009*BB$50</f>
        <v>9.8161131600000007E-2</v>
      </c>
      <c r="BC455" s="4"/>
      <c r="BD455" s="4"/>
      <c r="BE455" s="4"/>
      <c r="BF455" s="4"/>
      <c r="BG455" s="4"/>
      <c r="BH455" s="126"/>
      <c r="BI455" s="126"/>
      <c r="BJ455" s="126"/>
      <c r="BK455" s="126"/>
      <c r="BL455" s="126"/>
      <c r="BO455" s="268">
        <f t="shared" si="814"/>
        <v>1.0391133007364805E-2</v>
      </c>
    </row>
    <row r="456" spans="1:67">
      <c r="A456" s="5" t="s">
        <v>203</v>
      </c>
      <c r="B456" s="126"/>
      <c r="C456" s="126"/>
      <c r="D456" s="126"/>
      <c r="E456" s="126"/>
      <c r="F456" s="126"/>
      <c r="G456" s="126"/>
      <c r="H456" s="126"/>
      <c r="I456" s="126"/>
      <c r="J456" s="126"/>
      <c r="K456" s="126"/>
      <c r="L456" s="126"/>
      <c r="M456" s="127"/>
      <c r="N456" s="126"/>
      <c r="O456" s="126"/>
      <c r="P456" s="126"/>
      <c r="Q456" s="126"/>
      <c r="R456" s="126"/>
      <c r="S456" s="126"/>
      <c r="T456" s="126"/>
      <c r="U456" s="126"/>
      <c r="V456" s="126"/>
      <c r="W456" s="126"/>
      <c r="X456" s="126"/>
      <c r="Y456" s="127"/>
      <c r="Z456" s="126"/>
      <c r="AA456" s="126"/>
      <c r="AB456" s="126"/>
      <c r="AC456" s="126"/>
      <c r="AD456" s="126"/>
      <c r="AE456" s="126"/>
      <c r="AF456" s="126"/>
      <c r="AG456" s="126"/>
      <c r="AH456" s="126"/>
      <c r="AI456" s="126"/>
      <c r="AJ456" s="126"/>
      <c r="AK456" s="127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>
        <f>AV50-SUM(AV430:AV455)</f>
        <v>8.3673569529000105</v>
      </c>
      <c r="AW456" s="127">
        <f>AW50-SUM(AW430:AW455)</f>
        <v>8.378455480030027</v>
      </c>
      <c r="AX456" s="126">
        <f>AX$50-SUM(AX430:AX455)</f>
        <v>10.279583600000024</v>
      </c>
      <c r="AY456" s="126">
        <f>AY$50-SUM(AY430:AY455)</f>
        <v>9.5200536112000123</v>
      </c>
      <c r="AZ456" s="126">
        <f>AZ$50-SUM(AZ430:AZ455)</f>
        <v>12.928587320999981</v>
      </c>
      <c r="BA456" s="126">
        <f t="shared" ref="BA456:BE456" si="816">BA$50-SUM(BA430:BA455)</f>
        <v>13.20252358259998</v>
      </c>
      <c r="BB456" s="126">
        <f t="shared" si="816"/>
        <v>8.6578118071200123</v>
      </c>
      <c r="BC456" s="126">
        <f t="shared" si="816"/>
        <v>4.5044502048000226</v>
      </c>
      <c r="BD456" s="126">
        <f t="shared" si="816"/>
        <v>4.1848915654999814</v>
      </c>
      <c r="BE456" s="126">
        <f t="shared" si="816"/>
        <v>3.5202797519999649</v>
      </c>
      <c r="BF456" s="126"/>
      <c r="BG456" s="126"/>
      <c r="BH456" s="126"/>
      <c r="BI456" s="126"/>
      <c r="BJ456" s="126"/>
      <c r="BK456" s="126"/>
      <c r="BL456" s="126"/>
      <c r="BO456" s="268">
        <f t="shared" si="814"/>
        <v>7.5901847896826732E-2</v>
      </c>
    </row>
    <row r="457" spans="1:67">
      <c r="A457" s="161" t="s">
        <v>256</v>
      </c>
      <c r="B457" s="162"/>
      <c r="C457" s="162"/>
      <c r="D457" s="162"/>
      <c r="E457" s="162"/>
      <c r="F457" s="162"/>
      <c r="G457" s="162"/>
      <c r="H457" s="163"/>
      <c r="I457" s="163"/>
      <c r="J457" s="163"/>
      <c r="K457" s="163"/>
      <c r="L457" s="163"/>
      <c r="M457" s="261"/>
      <c r="N457" s="164"/>
      <c r="O457" s="164"/>
      <c r="P457" s="164"/>
      <c r="Q457" s="164"/>
      <c r="R457" s="164"/>
      <c r="S457" s="164"/>
      <c r="T457" s="164"/>
      <c r="U457" s="164"/>
      <c r="V457" s="164"/>
      <c r="W457" s="164"/>
      <c r="X457" s="164"/>
      <c r="Y457" s="262"/>
      <c r="Z457" s="164"/>
      <c r="AA457" s="164"/>
      <c r="AB457" s="164"/>
      <c r="AC457" s="164"/>
      <c r="AD457" s="164"/>
      <c r="AE457" s="164"/>
      <c r="AF457" s="164"/>
      <c r="AG457" s="164"/>
      <c r="AH457" s="164"/>
      <c r="AI457" s="164"/>
      <c r="AJ457" s="164"/>
      <c r="AK457" s="262"/>
      <c r="AL457" s="164"/>
      <c r="AM457" s="164"/>
      <c r="AN457" s="164"/>
      <c r="AO457" s="164"/>
      <c r="AP457" s="164"/>
      <c r="AQ457" s="164"/>
      <c r="AR457" s="164"/>
      <c r="AS457" s="164"/>
      <c r="AT457" s="164"/>
      <c r="AU457" s="164"/>
      <c r="AV457" s="164">
        <f>SUM(AV430:AV456)</f>
        <v>117.28843500000001</v>
      </c>
      <c r="AW457" s="262">
        <f>SUM(AW430:AW456)</f>
        <v>122.725289</v>
      </c>
      <c r="AX457" s="164">
        <f>SUM(AX430:AX456)</f>
        <v>136.334</v>
      </c>
      <c r="AY457" s="164">
        <f t="shared" ref="AY457:AZ457" si="817">SUM(AY430:AY456)</f>
        <v>127.273444</v>
      </c>
      <c r="AZ457" s="164">
        <f t="shared" si="817"/>
        <v>118.177215</v>
      </c>
      <c r="BA457" s="164">
        <f t="shared" ref="BA457:BB457" si="818">SUM(BA430:BA456)</f>
        <v>114.505842</v>
      </c>
      <c r="BB457" s="164">
        <f t="shared" si="818"/>
        <v>109.067924</v>
      </c>
      <c r="BC457" s="164">
        <f t="shared" ref="BC457:BD457" si="819">SUM(BC430:BC456)</f>
        <v>89.374011999999993</v>
      </c>
      <c r="BD457" s="164">
        <f t="shared" si="819"/>
        <v>85.932064999999994</v>
      </c>
      <c r="BE457" s="164">
        <f t="shared" ref="BE457:BG457" si="820">SUM(BE430:BE456)</f>
        <v>80.006358000000006</v>
      </c>
      <c r="BF457" s="164">
        <f t="shared" si="820"/>
        <v>0</v>
      </c>
      <c r="BG457" s="164">
        <f t="shared" si="820"/>
        <v>0</v>
      </c>
      <c r="BH457" s="126"/>
      <c r="BI457" s="126"/>
      <c r="BJ457" s="126"/>
      <c r="BK457" s="126"/>
      <c r="BL457" s="126"/>
      <c r="BO457" s="269">
        <f t="shared" si="814"/>
        <v>1</v>
      </c>
    </row>
    <row r="458" spans="1:67" ht="16" thickBot="1">
      <c r="A458" s="217"/>
      <c r="B458" s="218"/>
      <c r="C458" s="218"/>
      <c r="D458" s="218"/>
      <c r="E458" s="218"/>
      <c r="F458" s="218"/>
      <c r="G458" s="218"/>
      <c r="H458" s="218"/>
      <c r="I458" s="218"/>
      <c r="J458" s="218"/>
      <c r="K458" s="218"/>
      <c r="L458" s="218"/>
      <c r="M458" s="219"/>
      <c r="N458" s="218"/>
      <c r="O458" s="218"/>
      <c r="P458" s="218"/>
      <c r="Q458" s="218"/>
      <c r="R458" s="218"/>
      <c r="S458" s="218"/>
      <c r="T458" s="218"/>
      <c r="U458" s="218"/>
      <c r="V458" s="218"/>
      <c r="W458" s="218"/>
      <c r="X458" s="218"/>
      <c r="Y458" s="219"/>
      <c r="Z458" s="218"/>
      <c r="AA458" s="218"/>
      <c r="AB458" s="218"/>
      <c r="AC458" s="218"/>
      <c r="AD458" s="218"/>
      <c r="AE458" s="218"/>
      <c r="AF458" s="218"/>
      <c r="AG458" s="218"/>
      <c r="AH458" s="218"/>
      <c r="AI458" s="218"/>
      <c r="AJ458" s="218"/>
      <c r="AK458" s="219"/>
      <c r="AL458" s="218"/>
      <c r="AM458" s="218"/>
      <c r="AN458" s="218"/>
      <c r="AO458" s="218"/>
      <c r="AP458" s="218"/>
      <c r="AQ458" s="218"/>
      <c r="AR458" s="218"/>
      <c r="AS458" s="218"/>
      <c r="AT458" s="218"/>
      <c r="AU458" s="218"/>
      <c r="AV458" s="218"/>
      <c r="AW458" s="219"/>
      <c r="AX458" s="218"/>
      <c r="AY458" s="218"/>
      <c r="AZ458" s="218"/>
      <c r="BA458" s="218"/>
      <c r="BB458" s="218"/>
      <c r="BC458" s="218"/>
      <c r="BD458" s="218"/>
      <c r="BE458" s="218"/>
      <c r="BF458" s="218"/>
      <c r="BG458" s="218"/>
      <c r="BH458" s="126"/>
      <c r="BI458" s="126"/>
      <c r="BJ458" s="126"/>
      <c r="BK458" s="126"/>
      <c r="BL458" s="126"/>
      <c r="BO458" s="355"/>
    </row>
    <row r="459" spans="1:67">
      <c r="BH459" s="126"/>
      <c r="BI459" s="126"/>
      <c r="BJ459" s="126"/>
      <c r="BK459" s="126"/>
      <c r="BL459" s="126"/>
    </row>
    <row r="460" spans="1:67">
      <c r="BH460" s="126"/>
      <c r="BI460" s="126"/>
      <c r="BJ460" s="126"/>
      <c r="BK460" s="126"/>
      <c r="BL460" s="126"/>
    </row>
    <row r="461" spans="1:67">
      <c r="A461" s="98" t="s">
        <v>128</v>
      </c>
      <c r="BH461" s="126"/>
      <c r="BI461" s="126"/>
      <c r="BJ461" s="126"/>
      <c r="BK461" s="126"/>
      <c r="BL461" s="126"/>
    </row>
    <row r="462" spans="1:67" ht="16" thickBot="1">
      <c r="BH462" s="126"/>
      <c r="BI462" s="126"/>
      <c r="BJ462" s="126"/>
      <c r="BK462" s="126"/>
      <c r="BL462" s="126"/>
    </row>
    <row r="463" spans="1:67" ht="16">
      <c r="A463" s="100" t="s">
        <v>286</v>
      </c>
      <c r="B463" s="101">
        <v>39448</v>
      </c>
      <c r="C463" s="101">
        <v>39479</v>
      </c>
      <c r="D463" s="101">
        <v>39508</v>
      </c>
      <c r="E463" s="101">
        <v>39539</v>
      </c>
      <c r="F463" s="101">
        <v>39569</v>
      </c>
      <c r="G463" s="101">
        <v>39600</v>
      </c>
      <c r="H463" s="101">
        <v>39630</v>
      </c>
      <c r="I463" s="101">
        <v>39661</v>
      </c>
      <c r="J463" s="101">
        <v>39692</v>
      </c>
      <c r="K463" s="101">
        <v>39722</v>
      </c>
      <c r="L463" s="101">
        <v>39753</v>
      </c>
      <c r="M463" s="102">
        <v>39783</v>
      </c>
      <c r="N463" s="101">
        <v>39814</v>
      </c>
      <c r="O463" s="101">
        <v>39845</v>
      </c>
      <c r="P463" s="101">
        <v>39873</v>
      </c>
      <c r="Q463" s="101">
        <v>39904</v>
      </c>
      <c r="R463" s="101">
        <v>39934</v>
      </c>
      <c r="S463" s="101">
        <v>39965</v>
      </c>
      <c r="T463" s="101">
        <v>39995</v>
      </c>
      <c r="U463" s="101">
        <v>40026</v>
      </c>
      <c r="V463" s="101">
        <v>40057</v>
      </c>
      <c r="W463" s="101">
        <v>40087</v>
      </c>
      <c r="X463" s="101">
        <v>40118</v>
      </c>
      <c r="Y463" s="102">
        <v>40148</v>
      </c>
      <c r="Z463" s="101">
        <v>40179</v>
      </c>
      <c r="AA463" s="101">
        <v>40210</v>
      </c>
      <c r="AB463" s="101">
        <v>40238</v>
      </c>
      <c r="AC463" s="101">
        <v>40269</v>
      </c>
      <c r="AD463" s="101">
        <v>40299</v>
      </c>
      <c r="AE463" s="101">
        <v>40330</v>
      </c>
      <c r="AF463" s="101">
        <v>40360</v>
      </c>
      <c r="AG463" s="101">
        <v>40391</v>
      </c>
      <c r="AH463" s="101">
        <v>40422</v>
      </c>
      <c r="AI463" s="101">
        <v>40452</v>
      </c>
      <c r="AJ463" s="101">
        <v>40483</v>
      </c>
      <c r="AK463" s="102">
        <v>40513</v>
      </c>
      <c r="AL463" s="101">
        <v>40544</v>
      </c>
      <c r="AM463" s="101">
        <v>40575</v>
      </c>
      <c r="AN463" s="101">
        <v>40603</v>
      </c>
      <c r="AO463" s="101">
        <v>40634</v>
      </c>
      <c r="AP463" s="101">
        <v>40664</v>
      </c>
      <c r="AQ463" s="101">
        <v>40695</v>
      </c>
      <c r="AR463" s="101">
        <v>40725</v>
      </c>
      <c r="AS463" s="101">
        <v>40756</v>
      </c>
      <c r="AT463" s="101">
        <v>40787</v>
      </c>
      <c r="AU463" s="101">
        <v>40817</v>
      </c>
      <c r="AV463" s="101">
        <v>40848</v>
      </c>
      <c r="AW463" s="102">
        <v>40878</v>
      </c>
      <c r="AX463" s="101">
        <v>40909</v>
      </c>
      <c r="AY463" s="101">
        <v>40940</v>
      </c>
      <c r="AZ463" s="101">
        <v>40969</v>
      </c>
      <c r="BA463" s="101">
        <v>41000</v>
      </c>
      <c r="BB463" s="101">
        <v>41030</v>
      </c>
      <c r="BC463" s="101">
        <v>41061</v>
      </c>
      <c r="BD463" s="101">
        <v>41091</v>
      </c>
      <c r="BE463" s="101">
        <v>41122</v>
      </c>
      <c r="BF463" s="101">
        <v>41153</v>
      </c>
      <c r="BG463" s="101">
        <v>41183</v>
      </c>
      <c r="BH463" s="126"/>
      <c r="BI463" s="126"/>
      <c r="BJ463" s="126"/>
      <c r="BK463" s="126"/>
      <c r="BL463" s="126"/>
      <c r="BO463" s="362" t="s">
        <v>380</v>
      </c>
    </row>
    <row r="464" spans="1:67">
      <c r="A464" s="75"/>
      <c r="M464" s="115"/>
      <c r="Y464" s="115"/>
      <c r="AK464" s="115"/>
      <c r="AW464" s="115"/>
      <c r="BH464" s="126"/>
      <c r="BI464" s="126"/>
      <c r="BJ464" s="126"/>
      <c r="BK464" s="126"/>
      <c r="BL464" s="126"/>
      <c r="BO464" s="267"/>
    </row>
    <row r="465" spans="1:67">
      <c r="A465" s="5" t="s">
        <v>23</v>
      </c>
      <c r="B465" s="126"/>
      <c r="C465" s="126"/>
      <c r="D465" s="126"/>
      <c r="E465" s="126"/>
      <c r="F465" s="126"/>
      <c r="G465" s="126"/>
      <c r="H465" s="126"/>
      <c r="I465" s="126"/>
      <c r="J465" s="126"/>
      <c r="K465" s="126"/>
      <c r="L465" s="126"/>
      <c r="M465" s="127"/>
      <c r="N465" s="126"/>
      <c r="O465" s="126"/>
      <c r="P465" s="126"/>
      <c r="Q465" s="126"/>
      <c r="R465" s="126"/>
      <c r="S465" s="126"/>
      <c r="T465" s="126"/>
      <c r="U465" s="126"/>
      <c r="V465" s="126"/>
      <c r="W465" s="126"/>
      <c r="X465" s="126"/>
      <c r="Y465" s="127"/>
      <c r="Z465" s="126"/>
      <c r="AA465" s="126"/>
      <c r="AB465" s="126"/>
      <c r="AC465" s="126"/>
      <c r="AD465" s="126"/>
      <c r="AE465" s="126"/>
      <c r="AF465" s="126"/>
      <c r="AG465" s="126"/>
      <c r="AH465" s="126"/>
      <c r="AI465" s="126"/>
      <c r="AJ465" s="126"/>
      <c r="AK465" s="127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>
        <f>AV$51*0.2097</f>
        <v>175.88974060979999</v>
      </c>
      <c r="AW465" s="127">
        <f>AW$51*0.2198</f>
        <v>175.93727029199999</v>
      </c>
      <c r="AX465" s="126">
        <f>0.2404*AX$51</f>
        <v>212.40734320000001</v>
      </c>
      <c r="AY465" s="126">
        <f>0.2582*AY$51</f>
        <v>203.05758284099997</v>
      </c>
      <c r="AZ465" s="126">
        <f>0.2535*AZ$51</f>
        <v>191.46465066300001</v>
      </c>
      <c r="BA465" s="126">
        <f>0.26*BA$51</f>
        <v>178.39291470000001</v>
      </c>
      <c r="BB465" s="126">
        <f>0.2632*BB$51</f>
        <v>183.48837844400001</v>
      </c>
      <c r="BC465" s="126">
        <f>0.2686*BC$51</f>
        <v>157.6066070654</v>
      </c>
      <c r="BD465" s="126">
        <f>0.2931*BD$51</f>
        <v>163.2459048339</v>
      </c>
      <c r="BE465" s="126">
        <f>0.3218*BE$51</f>
        <v>179.80355661120001</v>
      </c>
      <c r="BF465" s="126"/>
      <c r="BG465" s="126"/>
      <c r="BH465" s="126"/>
      <c r="BI465" s="126"/>
      <c r="BJ465" s="126"/>
      <c r="BK465" s="126"/>
      <c r="BL465" s="126"/>
      <c r="BO465" s="268">
        <f t="shared" ref="BO465:BO494" si="821">SUM(AS465:BE465)/SUM(AS$494:BE$494)</f>
        <v>0.25471799124322403</v>
      </c>
    </row>
    <row r="466" spans="1:67">
      <c r="A466" s="5" t="s">
        <v>247</v>
      </c>
      <c r="B466" s="126"/>
      <c r="C466" s="126"/>
      <c r="D466" s="126"/>
      <c r="E466" s="126"/>
      <c r="F466" s="126"/>
      <c r="G466" s="126"/>
      <c r="H466" s="126"/>
      <c r="I466" s="126"/>
      <c r="J466" s="126"/>
      <c r="K466" s="126"/>
      <c r="L466" s="126"/>
      <c r="M466" s="127"/>
      <c r="N466" s="126"/>
      <c r="O466" s="126"/>
      <c r="P466" s="126"/>
      <c r="Q466" s="126"/>
      <c r="R466" s="126"/>
      <c r="S466" s="126"/>
      <c r="T466" s="126"/>
      <c r="U466" s="126"/>
      <c r="V466" s="126"/>
      <c r="W466" s="126"/>
      <c r="X466" s="126"/>
      <c r="Y466" s="127"/>
      <c r="Z466" s="126"/>
      <c r="AA466" s="126"/>
      <c r="AB466" s="126"/>
      <c r="AC466" s="126"/>
      <c r="AD466" s="126"/>
      <c r="AE466" s="126"/>
      <c r="AF466" s="126"/>
      <c r="AG466" s="126"/>
      <c r="AH466" s="126"/>
      <c r="AI466" s="126"/>
      <c r="AJ466" s="126"/>
      <c r="AK466" s="127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>
        <f>AV$51*0.1366</f>
        <v>114.5757680844</v>
      </c>
      <c r="AW466" s="127">
        <f>AW$51*0.1403</f>
        <v>112.30208836200001</v>
      </c>
      <c r="AX466" s="126">
        <f>0.1297*AX$51</f>
        <v>114.5974726</v>
      </c>
      <c r="AY466" s="126">
        <f>0.125*AY$51</f>
        <v>98.304406874999998</v>
      </c>
      <c r="AZ466" s="126">
        <f>(0.1011+0.0279)*AZ$51</f>
        <v>97.431715722000007</v>
      </c>
      <c r="BA466" s="126">
        <f>(0.1076+0.0274)*BA$51</f>
        <v>92.627090324999998</v>
      </c>
      <c r="BB466" s="126">
        <f>(0.1122+0.0294)*BB$51</f>
        <v>98.715632172000014</v>
      </c>
      <c r="BC466" s="126">
        <f>(0.1123+0.0277)*BC$51</f>
        <v>82.147896459999984</v>
      </c>
      <c r="BD466" s="126">
        <f>(0.1095+0.026)*BD$51</f>
        <v>75.468509399500007</v>
      </c>
      <c r="BE466" s="126">
        <f>(0.1035+0.0246)*BE$51</f>
        <v>71.575001870400001</v>
      </c>
      <c r="BF466" s="126"/>
      <c r="BG466" s="126"/>
      <c r="BH466" s="126"/>
      <c r="BI466" s="126"/>
      <c r="BJ466" s="126"/>
      <c r="BK466" s="126"/>
      <c r="BL466" s="126"/>
      <c r="BO466" s="268">
        <f t="shared" si="821"/>
        <v>0.13394599528272491</v>
      </c>
    </row>
    <row r="467" spans="1:67">
      <c r="A467" s="5" t="s">
        <v>58</v>
      </c>
      <c r="B467" s="126"/>
      <c r="C467" s="126"/>
      <c r="D467" s="126"/>
      <c r="E467" s="126"/>
      <c r="F467" s="126"/>
      <c r="G467" s="126"/>
      <c r="H467" s="126"/>
      <c r="I467" s="126"/>
      <c r="J467" s="126"/>
      <c r="K467" s="126"/>
      <c r="L467" s="126"/>
      <c r="M467" s="127"/>
      <c r="N467" s="126"/>
      <c r="O467" s="126"/>
      <c r="P467" s="126"/>
      <c r="Q467" s="126"/>
      <c r="R467" s="126"/>
      <c r="S467" s="126"/>
      <c r="T467" s="126"/>
      <c r="U467" s="126"/>
      <c r="V467" s="126"/>
      <c r="W467" s="126"/>
      <c r="X467" s="126"/>
      <c r="Y467" s="127"/>
      <c r="Z467" s="126"/>
      <c r="AA467" s="126"/>
      <c r="AB467" s="126"/>
      <c r="AC467" s="126"/>
      <c r="AD467" s="126"/>
      <c r="AE467" s="126"/>
      <c r="AF467" s="126"/>
      <c r="AG467" s="126"/>
      <c r="AH467" s="126"/>
      <c r="AI467" s="126"/>
      <c r="AJ467" s="126"/>
      <c r="AK467" s="127"/>
      <c r="AL467" s="126"/>
      <c r="AM467" s="126"/>
      <c r="AN467" s="126"/>
      <c r="AO467" s="126"/>
      <c r="AP467" s="126"/>
      <c r="AQ467" s="126"/>
      <c r="AR467" s="126"/>
      <c r="AS467" s="126"/>
      <c r="AT467" s="126"/>
      <c r="AU467" s="126"/>
      <c r="AV467" s="4"/>
      <c r="AW467" s="3"/>
      <c r="AX467" s="4"/>
      <c r="AY467" s="4"/>
      <c r="AZ467" s="4"/>
      <c r="BA467" s="4"/>
      <c r="BB467" s="126">
        <f>0.0827*BB$51</f>
        <v>57.653833196500003</v>
      </c>
      <c r="BC467" s="126">
        <f>0.0805*BC$51</f>
        <v>47.235040464499995</v>
      </c>
      <c r="BD467" s="126">
        <f>0.0695*BD$51</f>
        <v>38.708940245500003</v>
      </c>
      <c r="BE467" s="126">
        <f>0.0654*BE$51</f>
        <v>36.541804233600004</v>
      </c>
      <c r="BF467" s="126"/>
      <c r="BG467" s="126"/>
      <c r="BH467" s="126"/>
      <c r="BI467" s="126"/>
      <c r="BJ467" s="126"/>
      <c r="BK467" s="126"/>
      <c r="BL467" s="126"/>
      <c r="BO467" s="268">
        <f t="shared" si="821"/>
        <v>2.5193517880297878E-2</v>
      </c>
    </row>
    <row r="468" spans="1:67">
      <c r="A468" s="5" t="s">
        <v>90</v>
      </c>
      <c r="B468" s="126"/>
      <c r="C468" s="126"/>
      <c r="D468" s="126"/>
      <c r="E468" s="126"/>
      <c r="F468" s="126"/>
      <c r="G468" s="126"/>
      <c r="H468" s="126"/>
      <c r="I468" s="126"/>
      <c r="J468" s="126"/>
      <c r="K468" s="126"/>
      <c r="L468" s="126"/>
      <c r="M468" s="127"/>
      <c r="N468" s="126"/>
      <c r="O468" s="126"/>
      <c r="P468" s="126"/>
      <c r="Q468" s="126"/>
      <c r="R468" s="126"/>
      <c r="S468" s="126"/>
      <c r="T468" s="126"/>
      <c r="U468" s="126"/>
      <c r="V468" s="126"/>
      <c r="W468" s="126"/>
      <c r="X468" s="126"/>
      <c r="Y468" s="127"/>
      <c r="Z468" s="126"/>
      <c r="AA468" s="126"/>
      <c r="AB468" s="126"/>
      <c r="AC468" s="126"/>
      <c r="AD468" s="126"/>
      <c r="AE468" s="126"/>
      <c r="AF468" s="126"/>
      <c r="AG468" s="126"/>
      <c r="AH468" s="126"/>
      <c r="AI468" s="126"/>
      <c r="AJ468" s="126"/>
      <c r="AK468" s="127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>
        <f>AV$51*0.077</f>
        <v>64.585169417999992</v>
      </c>
      <c r="AW468" s="127">
        <f>AW$51*0.0746</f>
        <v>59.713013484000001</v>
      </c>
      <c r="AX468" s="126">
        <f>0.0725*AX$51</f>
        <v>64.057954999999993</v>
      </c>
      <c r="AY468" s="126">
        <f>0.0643*AY$51</f>
        <v>50.567786896499996</v>
      </c>
      <c r="AZ468" s="126">
        <f>0.0638*AZ$51</f>
        <v>48.187158628399999</v>
      </c>
      <c r="BA468" s="126">
        <f>0.0625*BA$51</f>
        <v>42.882912187499997</v>
      </c>
      <c r="BB468" s="126">
        <f>0.0616*BB$51</f>
        <v>42.944088572000005</v>
      </c>
      <c r="BC468" s="126">
        <f>0.0643*BC$51</f>
        <v>37.729355302699993</v>
      </c>
      <c r="BD468" s="126">
        <f>0.0734*BD$51</f>
        <v>40.881096604600003</v>
      </c>
      <c r="BE468" s="126">
        <f>0.0698*BE$51</f>
        <v>39.000274243200003</v>
      </c>
      <c r="BF468" s="126"/>
      <c r="BG468" s="126"/>
      <c r="BH468" s="126"/>
      <c r="BI468" s="126"/>
      <c r="BJ468" s="126"/>
      <c r="BK468" s="126"/>
      <c r="BL468" s="126"/>
      <c r="BO468" s="268">
        <f t="shared" si="821"/>
        <v>6.8605953271033637E-2</v>
      </c>
    </row>
    <row r="469" spans="1:67">
      <c r="A469" s="5" t="s">
        <v>2</v>
      </c>
      <c r="B469" s="126"/>
      <c r="C469" s="126"/>
      <c r="D469" s="126"/>
      <c r="E469" s="126"/>
      <c r="F469" s="126"/>
      <c r="G469" s="126"/>
      <c r="H469" s="126"/>
      <c r="I469" s="126"/>
      <c r="J469" s="126"/>
      <c r="K469" s="126"/>
      <c r="L469" s="126"/>
      <c r="M469" s="127"/>
      <c r="N469" s="126"/>
      <c r="O469" s="126"/>
      <c r="P469" s="126"/>
      <c r="Q469" s="126"/>
      <c r="R469" s="126"/>
      <c r="S469" s="126"/>
      <c r="T469" s="126"/>
      <c r="U469" s="126"/>
      <c r="V469" s="126"/>
      <c r="W469" s="126"/>
      <c r="X469" s="126"/>
      <c r="Y469" s="127"/>
      <c r="Z469" s="126"/>
      <c r="AA469" s="126"/>
      <c r="AB469" s="126"/>
      <c r="AC469" s="126"/>
      <c r="AD469" s="126"/>
      <c r="AE469" s="126"/>
      <c r="AF469" s="126"/>
      <c r="AG469" s="126"/>
      <c r="AH469" s="126"/>
      <c r="AI469" s="126"/>
      <c r="AJ469" s="126"/>
      <c r="AK469" s="127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>
        <f>AV$51*0.0442</f>
        <v>37.073564782799998</v>
      </c>
      <c r="AW469" s="127">
        <f>AW$51*0.0435</f>
        <v>34.819250489999995</v>
      </c>
      <c r="AX469" s="126">
        <f>0.0441*AX$51</f>
        <v>38.964907799999999</v>
      </c>
      <c r="AY469" s="126">
        <f>0.044*AY$51</f>
        <v>34.603151219999994</v>
      </c>
      <c r="AZ469" s="126">
        <f>0.0416*AZ$51</f>
        <v>31.419840108799999</v>
      </c>
      <c r="BA469" s="126">
        <f>0.0436*BA$51</f>
        <v>29.915119541999999</v>
      </c>
      <c r="BB469" s="126">
        <f>0.0436*BB$51</f>
        <v>30.395491262000004</v>
      </c>
      <c r="BC469" s="126">
        <f>0.0463*BC$51</f>
        <v>27.167482900699998</v>
      </c>
      <c r="BD469" s="126">
        <f>0.0436*BD$51</f>
        <v>24.283594168400001</v>
      </c>
      <c r="BE469" s="126">
        <f>0.047*BE$51</f>
        <v>26.260929648000001</v>
      </c>
      <c r="BF469" s="126"/>
      <c r="BG469" s="126"/>
      <c r="BH469" s="126"/>
      <c r="BI469" s="126"/>
      <c r="BJ469" s="126"/>
      <c r="BK469" s="126"/>
      <c r="BL469" s="126"/>
      <c r="BO469" s="268">
        <f t="shared" si="821"/>
        <v>4.404096558698032E-2</v>
      </c>
    </row>
    <row r="470" spans="1:67">
      <c r="A470" s="5" t="s">
        <v>3</v>
      </c>
      <c r="B470" s="126"/>
      <c r="C470" s="126"/>
      <c r="D470" s="126"/>
      <c r="E470" s="126"/>
      <c r="F470" s="126"/>
      <c r="G470" s="126"/>
      <c r="H470" s="126"/>
      <c r="I470" s="126"/>
      <c r="J470" s="126"/>
      <c r="K470" s="126"/>
      <c r="L470" s="126"/>
      <c r="M470" s="127"/>
      <c r="N470" s="126"/>
      <c r="O470" s="126"/>
      <c r="P470" s="126"/>
      <c r="Q470" s="126"/>
      <c r="R470" s="126"/>
      <c r="S470" s="126"/>
      <c r="T470" s="126"/>
      <c r="U470" s="126"/>
      <c r="V470" s="126"/>
      <c r="W470" s="126"/>
      <c r="X470" s="126"/>
      <c r="Y470" s="127"/>
      <c r="Z470" s="126"/>
      <c r="AA470" s="126"/>
      <c r="AB470" s="126"/>
      <c r="AC470" s="126"/>
      <c r="AD470" s="126"/>
      <c r="AE470" s="126"/>
      <c r="AF470" s="126"/>
      <c r="AG470" s="126"/>
      <c r="AH470" s="126"/>
      <c r="AI470" s="126"/>
      <c r="AJ470" s="126"/>
      <c r="AK470" s="127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>
        <f>AV$51*0.0432</f>
        <v>36.234796348800003</v>
      </c>
      <c r="AW470" s="127">
        <f>AW$51*0.0418</f>
        <v>33.458498171999999</v>
      </c>
      <c r="AX470" s="126">
        <f>0.0457*AX$51</f>
        <v>40.378600599999999</v>
      </c>
      <c r="AY470" s="126">
        <f>0.0405*AY$51</f>
        <v>31.850627827500002</v>
      </c>
      <c r="AZ470" s="126">
        <f>0.0388*AZ$51</f>
        <v>29.305043178400002</v>
      </c>
      <c r="BA470" s="126">
        <f>0.0377*BA$51</f>
        <v>25.866972631499998</v>
      </c>
      <c r="BB470" s="126">
        <f>0.0361*BB$51</f>
        <v>25.166909049500003</v>
      </c>
      <c r="BC470" s="126">
        <f>0.0324*BC$51</f>
        <v>19.011370323599998</v>
      </c>
      <c r="BD470" s="126">
        <f>0.0341*BD$51</f>
        <v>18.992444062899999</v>
      </c>
      <c r="BE470" s="126">
        <f>0.0349*BE$51</f>
        <v>19.500137121600002</v>
      </c>
      <c r="BF470" s="126"/>
      <c r="BG470" s="126"/>
      <c r="BH470" s="126"/>
      <c r="BI470" s="126"/>
      <c r="BJ470" s="126"/>
      <c r="BK470" s="126"/>
      <c r="BL470" s="126"/>
      <c r="BO470" s="268">
        <f t="shared" si="821"/>
        <v>3.9126732157662443E-2</v>
      </c>
    </row>
    <row r="471" spans="1:67">
      <c r="A471" s="5" t="s">
        <v>10</v>
      </c>
      <c r="B471" s="126"/>
      <c r="C471" s="126"/>
      <c r="D471" s="126"/>
      <c r="E471" s="126"/>
      <c r="F471" s="126"/>
      <c r="G471" s="126"/>
      <c r="H471" s="126"/>
      <c r="I471" s="126"/>
      <c r="J471" s="126"/>
      <c r="K471" s="126"/>
      <c r="L471" s="126"/>
      <c r="M471" s="127"/>
      <c r="N471" s="126"/>
      <c r="O471" s="126"/>
      <c r="P471" s="126"/>
      <c r="Q471" s="126"/>
      <c r="R471" s="126"/>
      <c r="S471" s="126"/>
      <c r="T471" s="126"/>
      <c r="U471" s="126"/>
      <c r="V471" s="126"/>
      <c r="W471" s="126"/>
      <c r="X471" s="126"/>
      <c r="Y471" s="127"/>
      <c r="Z471" s="126"/>
      <c r="AA471" s="126"/>
      <c r="AB471" s="126"/>
      <c r="AC471" s="126"/>
      <c r="AD471" s="126"/>
      <c r="AE471" s="126"/>
      <c r="AF471" s="126"/>
      <c r="AG471" s="126"/>
      <c r="AH471" s="126"/>
      <c r="AI471" s="126"/>
      <c r="AJ471" s="126"/>
      <c r="AK471" s="127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>
        <f>AV$51*0.0372</f>
        <v>31.202185744799994</v>
      </c>
      <c r="AW471" s="127">
        <f>AW$51*0.0385</f>
        <v>30.817037790000001</v>
      </c>
      <c r="AX471" s="126">
        <f>0.0355*AX$51</f>
        <v>31.366308999999998</v>
      </c>
      <c r="AY471" s="126">
        <f>0.0316*AY$51</f>
        <v>24.851354058000002</v>
      </c>
      <c r="AZ471" s="126">
        <f>0.0297*AZ$51</f>
        <v>22.431953154600002</v>
      </c>
      <c r="BA471" s="126">
        <f>0.0298*BA$51</f>
        <v>20.446572530999997</v>
      </c>
      <c r="BB471" s="126">
        <f>0.0298*BB$51</f>
        <v>20.774899991000002</v>
      </c>
      <c r="BC471" s="126">
        <f>0.0291*BC$51</f>
        <v>17.075027049899997</v>
      </c>
      <c r="BD471" s="126">
        <f>0.0259*BD$51</f>
        <v>14.4253460771</v>
      </c>
      <c r="BE471" s="126">
        <f>0.0097*BE$51</f>
        <v>5.419808884800001</v>
      </c>
      <c r="BF471" s="126"/>
      <c r="BG471" s="126"/>
      <c r="BH471" s="126"/>
      <c r="BI471" s="126"/>
      <c r="BJ471" s="126"/>
      <c r="BK471" s="126"/>
      <c r="BL471" s="126"/>
      <c r="BO471" s="268">
        <f t="shared" si="821"/>
        <v>3.0601852923785533E-2</v>
      </c>
    </row>
    <row r="472" spans="1:67">
      <c r="A472" s="5" t="s">
        <v>11</v>
      </c>
      <c r="B472" s="126"/>
      <c r="C472" s="126"/>
      <c r="D472" s="126"/>
      <c r="E472" s="126"/>
      <c r="F472" s="126"/>
      <c r="G472" s="126"/>
      <c r="H472" s="126"/>
      <c r="I472" s="126"/>
      <c r="J472" s="126"/>
      <c r="K472" s="126"/>
      <c r="L472" s="126"/>
      <c r="M472" s="127"/>
      <c r="N472" s="126"/>
      <c r="O472" s="126"/>
      <c r="P472" s="126"/>
      <c r="Q472" s="126"/>
      <c r="R472" s="126"/>
      <c r="S472" s="126"/>
      <c r="T472" s="126"/>
      <c r="U472" s="126"/>
      <c r="V472" s="126"/>
      <c r="W472" s="126"/>
      <c r="X472" s="126"/>
      <c r="Y472" s="127"/>
      <c r="Z472" s="126"/>
      <c r="AA472" s="126"/>
      <c r="AB472" s="126"/>
      <c r="AC472" s="126"/>
      <c r="AD472" s="126"/>
      <c r="AE472" s="126"/>
      <c r="AF472" s="126"/>
      <c r="AG472" s="126"/>
      <c r="AH472" s="126"/>
      <c r="AI472" s="126"/>
      <c r="AJ472" s="126"/>
      <c r="AK472" s="127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>
        <f>AV$51*0.022</f>
        <v>18.452905547999997</v>
      </c>
      <c r="AW472" s="127">
        <f>AW$51*0.0206</f>
        <v>16.489116324000001</v>
      </c>
      <c r="AX472" s="126">
        <f>0.0259*AX$51</f>
        <v>22.884152199999999</v>
      </c>
      <c r="AY472" s="126">
        <f>0.0347*AY$51</f>
        <v>27.289303348500002</v>
      </c>
      <c r="AZ472" s="126">
        <f>0.0308*AZ$51</f>
        <v>23.262766234400001</v>
      </c>
      <c r="BA472" s="126">
        <f>0.0297*BA$51</f>
        <v>20.3779598715</v>
      </c>
      <c r="BB472" s="126">
        <f>0.0278*BB$51</f>
        <v>19.380611400999999</v>
      </c>
      <c r="BC472" s="126">
        <f>0.0287*BC$51</f>
        <v>16.840318774299998</v>
      </c>
      <c r="BD472" s="126">
        <f>0.0225*BD$51</f>
        <v>12.531671302499999</v>
      </c>
      <c r="BE472" s="126">
        <f>0.0159*BE$51</f>
        <v>8.884016625600001</v>
      </c>
      <c r="BF472" s="126"/>
      <c r="BG472" s="126"/>
      <c r="BH472" s="126"/>
      <c r="BI472" s="126"/>
      <c r="BJ472" s="126"/>
      <c r="BK472" s="126"/>
      <c r="BL472" s="126"/>
      <c r="BO472" s="268">
        <f t="shared" si="821"/>
        <v>2.6068062833559488E-2</v>
      </c>
    </row>
    <row r="473" spans="1:67">
      <c r="A473" s="5" t="s">
        <v>7</v>
      </c>
      <c r="B473" s="126"/>
      <c r="C473" s="126"/>
      <c r="D473" s="126"/>
      <c r="E473" s="126"/>
      <c r="F473" s="126"/>
      <c r="G473" s="126"/>
      <c r="H473" s="126"/>
      <c r="I473" s="126"/>
      <c r="J473" s="126"/>
      <c r="K473" s="126"/>
      <c r="L473" s="126"/>
      <c r="M473" s="127"/>
      <c r="N473" s="126"/>
      <c r="O473" s="126"/>
      <c r="P473" s="126"/>
      <c r="Q473" s="126"/>
      <c r="R473" s="126"/>
      <c r="S473" s="126"/>
      <c r="T473" s="126"/>
      <c r="U473" s="126"/>
      <c r="V473" s="126"/>
      <c r="W473" s="126"/>
      <c r="X473" s="126"/>
      <c r="Y473" s="127"/>
      <c r="Z473" s="126"/>
      <c r="AA473" s="126"/>
      <c r="AB473" s="126"/>
      <c r="AC473" s="126"/>
      <c r="AD473" s="126"/>
      <c r="AE473" s="126"/>
      <c r="AF473" s="126"/>
      <c r="AG473" s="126"/>
      <c r="AH473" s="126"/>
      <c r="AI473" s="126"/>
      <c r="AJ473" s="126"/>
      <c r="AK473" s="127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>
        <f>AV$51*0.0243</f>
        <v>20.382072946199997</v>
      </c>
      <c r="AW473" s="127">
        <f>AW$51*0.0236</f>
        <v>18.890443944000001</v>
      </c>
      <c r="AX473" s="126">
        <f>0.0232*AX$51</f>
        <v>20.4985456</v>
      </c>
      <c r="AY473" s="126">
        <f>0.0234*AY$51</f>
        <v>18.402584966999999</v>
      </c>
      <c r="AZ473" s="126">
        <f>0.025*AZ$51</f>
        <v>18.882115450000001</v>
      </c>
      <c r="BA473" s="126">
        <f>0.0231*BA$51</f>
        <v>15.849524344499999</v>
      </c>
      <c r="BB473" s="126">
        <f>0.0229*BB$51</f>
        <v>15.964604355500001</v>
      </c>
      <c r="BC473" s="126">
        <f>0.0208*BC$51</f>
        <v>12.204830331199998</v>
      </c>
      <c r="BD473" s="126">
        <f>0.0149*BD$51</f>
        <v>8.2987512180999996</v>
      </c>
      <c r="BE473" s="126">
        <f>0.0158*BE$51</f>
        <v>8.828142307200002</v>
      </c>
      <c r="BF473" s="126"/>
      <c r="BG473" s="126"/>
      <c r="BH473" s="126"/>
      <c r="BI473" s="126"/>
      <c r="BJ473" s="126"/>
      <c r="BK473" s="126"/>
      <c r="BL473" s="126"/>
      <c r="BO473" s="268">
        <f t="shared" si="821"/>
        <v>2.212536736242535E-2</v>
      </c>
    </row>
    <row r="474" spans="1:67">
      <c r="A474" s="5" t="s">
        <v>24</v>
      </c>
      <c r="B474" s="126"/>
      <c r="C474" s="126"/>
      <c r="D474" s="126"/>
      <c r="E474" s="126"/>
      <c r="F474" s="126"/>
      <c r="G474" s="126"/>
      <c r="H474" s="126"/>
      <c r="I474" s="126"/>
      <c r="J474" s="126"/>
      <c r="K474" s="126"/>
      <c r="L474" s="126"/>
      <c r="M474" s="127"/>
      <c r="N474" s="126"/>
      <c r="O474" s="126"/>
      <c r="P474" s="126"/>
      <c r="Q474" s="126"/>
      <c r="R474" s="126"/>
      <c r="S474" s="126"/>
      <c r="T474" s="126"/>
      <c r="U474" s="126"/>
      <c r="V474" s="126"/>
      <c r="W474" s="126"/>
      <c r="X474" s="126"/>
      <c r="Y474" s="127"/>
      <c r="Z474" s="126"/>
      <c r="AA474" s="126"/>
      <c r="AB474" s="126"/>
      <c r="AC474" s="126"/>
      <c r="AD474" s="126"/>
      <c r="AE474" s="126"/>
      <c r="AF474" s="126"/>
      <c r="AG474" s="126"/>
      <c r="AH474" s="126"/>
      <c r="AI474" s="126"/>
      <c r="AJ474" s="126"/>
      <c r="AK474" s="127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>
        <f>AV$51*0.0719</f>
        <v>60.307450404600004</v>
      </c>
      <c r="AW474" s="127">
        <f>AW$51*0.0691</f>
        <v>55.310579513999997</v>
      </c>
      <c r="AX474" s="126">
        <f>0.0708*AX$51</f>
        <v>62.555906399999998</v>
      </c>
      <c r="AY474" s="126">
        <f>0.0681*AY$51</f>
        <v>53.556240865499994</v>
      </c>
      <c r="AZ474" s="126">
        <f>0.0251*AZ$51</f>
        <v>18.957643911800002</v>
      </c>
      <c r="BA474" s="126">
        <f>0.0216*BA$51</f>
        <v>14.820334451999999</v>
      </c>
      <c r="BB474" s="126">
        <f>0.026*BB$51</f>
        <v>18.12575167</v>
      </c>
      <c r="BC474" s="126">
        <f>0.0286*BC$51</f>
        <v>16.781641705399998</v>
      </c>
      <c r="BD474" s="126">
        <f>(0.0074+0.006)*BD$51</f>
        <v>7.4633064646000005</v>
      </c>
      <c r="BE474" s="126">
        <f>(0.0044+0.0059)*BE$51</f>
        <v>5.7550547952000004</v>
      </c>
      <c r="BF474" s="126"/>
      <c r="BG474" s="126"/>
      <c r="BH474" s="126"/>
      <c r="BI474" s="126"/>
      <c r="BJ474" s="126"/>
      <c r="BK474" s="126"/>
      <c r="BL474" s="126"/>
      <c r="BO474" s="268">
        <f t="shared" si="821"/>
        <v>4.3863429964198113E-2</v>
      </c>
    </row>
    <row r="475" spans="1:67">
      <c r="A475" s="5" t="s">
        <v>246</v>
      </c>
      <c r="B475" s="126"/>
      <c r="C475" s="126"/>
      <c r="D475" s="126"/>
      <c r="E475" s="126"/>
      <c r="F475" s="126"/>
      <c r="G475" s="126"/>
      <c r="H475" s="126"/>
      <c r="I475" s="126"/>
      <c r="J475" s="126"/>
      <c r="K475" s="126"/>
      <c r="L475" s="126"/>
      <c r="M475" s="127"/>
      <c r="N475" s="126"/>
      <c r="O475" s="126"/>
      <c r="P475" s="126"/>
      <c r="Q475" s="126"/>
      <c r="R475" s="126"/>
      <c r="S475" s="126"/>
      <c r="T475" s="126"/>
      <c r="U475" s="126"/>
      <c r="V475" s="126"/>
      <c r="W475" s="126"/>
      <c r="X475" s="126"/>
      <c r="Y475" s="127"/>
      <c r="Z475" s="126"/>
      <c r="AA475" s="126"/>
      <c r="AB475" s="126"/>
      <c r="AC475" s="126"/>
      <c r="AD475" s="126"/>
      <c r="AE475" s="126"/>
      <c r="AF475" s="126"/>
      <c r="AG475" s="126"/>
      <c r="AH475" s="126"/>
      <c r="AI475" s="126"/>
      <c r="AJ475" s="126"/>
      <c r="AK475" s="127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>
        <f>AV$51*0.0206</f>
        <v>17.2786297404</v>
      </c>
      <c r="AW475" s="127">
        <f>AW$51*0.0186</f>
        <v>14.888231243999998</v>
      </c>
      <c r="AX475" s="126">
        <f>0.0196*AX$51</f>
        <v>17.317736799999999</v>
      </c>
      <c r="AY475" s="126">
        <f>0.0195*AY$51</f>
        <v>15.335487472499999</v>
      </c>
      <c r="AZ475" s="126">
        <f>0.0195*AZ$51</f>
        <v>14.728050051</v>
      </c>
      <c r="BA475" s="126">
        <f>0.0182*BA$51</f>
        <v>12.487504029</v>
      </c>
      <c r="BB475" s="126">
        <f>0.0171*BB$51</f>
        <v>11.921167444500002</v>
      </c>
      <c r="BC475" s="126">
        <f>0.0179*BC$51</f>
        <v>10.503195333099999</v>
      </c>
      <c r="BD475" s="126">
        <f>0.0168*BD$51</f>
        <v>9.3569812391999996</v>
      </c>
      <c r="BE475" s="126">
        <f>0.0183*BE$51</f>
        <v>10.2250002672</v>
      </c>
      <c r="BF475" s="126"/>
      <c r="BG475" s="126"/>
      <c r="BH475" s="126"/>
      <c r="BI475" s="126"/>
      <c r="BJ475" s="126"/>
      <c r="BK475" s="126"/>
      <c r="BL475" s="126"/>
      <c r="BO475" s="268">
        <f t="shared" si="821"/>
        <v>1.874650976798093E-2</v>
      </c>
    </row>
    <row r="476" spans="1:67">
      <c r="A476" s="5" t="s">
        <v>9</v>
      </c>
      <c r="B476" s="126"/>
      <c r="C476" s="126"/>
      <c r="D476" s="126"/>
      <c r="E476" s="126"/>
      <c r="F476" s="126"/>
      <c r="G476" s="126"/>
      <c r="H476" s="126"/>
      <c r="I476" s="126"/>
      <c r="J476" s="126"/>
      <c r="K476" s="126"/>
      <c r="L476" s="126"/>
      <c r="M476" s="127"/>
      <c r="N476" s="126"/>
      <c r="O476" s="126"/>
      <c r="P476" s="126"/>
      <c r="Q476" s="126"/>
      <c r="R476" s="126"/>
      <c r="S476" s="126"/>
      <c r="T476" s="126"/>
      <c r="U476" s="126"/>
      <c r="V476" s="126"/>
      <c r="W476" s="126"/>
      <c r="X476" s="126"/>
      <c r="Y476" s="127"/>
      <c r="Z476" s="126"/>
      <c r="AA476" s="126"/>
      <c r="AB476" s="126"/>
      <c r="AC476" s="126"/>
      <c r="AD476" s="126"/>
      <c r="AE476" s="126"/>
      <c r="AF476" s="126"/>
      <c r="AG476" s="126"/>
      <c r="AH476" s="126"/>
      <c r="AI476" s="126"/>
      <c r="AJ476" s="126"/>
      <c r="AK476" s="127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>
        <f>AV$51*0.0254</f>
        <v>21.304718223599998</v>
      </c>
      <c r="AW476" s="127">
        <f>AW$51*0.0205</f>
        <v>16.409072070000001</v>
      </c>
      <c r="AX476" s="126">
        <f>0.0177*AX$51</f>
        <v>15.638976599999999</v>
      </c>
      <c r="AY476" s="126">
        <f>0.0197*AY$51</f>
        <v>15.492774523499998</v>
      </c>
      <c r="AZ476" s="126">
        <f>0.0194*AZ$51</f>
        <v>14.652521589200001</v>
      </c>
      <c r="BA476" s="126">
        <f>0.0162*BA$51</f>
        <v>11.115250838999998</v>
      </c>
      <c r="BB476" s="126">
        <f>0.0168*BB$51</f>
        <v>11.712024156</v>
      </c>
      <c r="BC476" s="126">
        <f>0.0143*BC$51</f>
        <v>8.3908208526999992</v>
      </c>
      <c r="BD476" s="126">
        <f>0.0142*BD$51</f>
        <v>7.9088769998000004</v>
      </c>
      <c r="BE476" s="126">
        <f>0.0122*BE$51</f>
        <v>6.8166668448000012</v>
      </c>
      <c r="BF476" s="126"/>
      <c r="BG476" s="126"/>
      <c r="BH476" s="126"/>
      <c r="BI476" s="126"/>
      <c r="BJ476" s="126"/>
      <c r="BK476" s="126"/>
      <c r="BL476" s="126"/>
      <c r="BO476" s="268">
        <f t="shared" si="821"/>
        <v>1.8103135140750282E-2</v>
      </c>
    </row>
    <row r="477" spans="1:67">
      <c r="A477" s="5" t="s">
        <v>12</v>
      </c>
      <c r="B477" s="126"/>
      <c r="C477" s="126"/>
      <c r="D477" s="126"/>
      <c r="E477" s="126"/>
      <c r="F477" s="126"/>
      <c r="G477" s="126"/>
      <c r="H477" s="126"/>
      <c r="I477" s="126"/>
      <c r="J477" s="126"/>
      <c r="K477" s="126"/>
      <c r="L477" s="126"/>
      <c r="M477" s="127"/>
      <c r="N477" s="126"/>
      <c r="O477" s="126"/>
      <c r="P477" s="126"/>
      <c r="Q477" s="126"/>
      <c r="R477" s="126"/>
      <c r="S477" s="126"/>
      <c r="T477" s="126"/>
      <c r="U477" s="126"/>
      <c r="V477" s="126"/>
      <c r="W477" s="126"/>
      <c r="X477" s="126"/>
      <c r="Y477" s="127"/>
      <c r="Z477" s="126"/>
      <c r="AA477" s="126"/>
      <c r="AB477" s="126"/>
      <c r="AC477" s="126"/>
      <c r="AD477" s="126"/>
      <c r="AE477" s="126"/>
      <c r="AF477" s="126"/>
      <c r="AG477" s="126"/>
      <c r="AH477" s="126"/>
      <c r="AI477" s="126"/>
      <c r="AJ477" s="126"/>
      <c r="AK477" s="127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>
        <f>AV$51*0.0103</f>
        <v>8.6393148701999998</v>
      </c>
      <c r="AW477" s="127">
        <f>AW$51*0.0119</f>
        <v>9.5252662260000012</v>
      </c>
      <c r="AX477" s="126">
        <f>0.0123*AX$51</f>
        <v>10.867763399999999</v>
      </c>
      <c r="AY477" s="126">
        <f>0.0138*AY$51</f>
        <v>10.852806519</v>
      </c>
      <c r="AZ477" s="126">
        <f>0.0133*AZ$51</f>
        <v>10.045285419399999</v>
      </c>
      <c r="BA477" s="126">
        <f>0.0147*BA$51</f>
        <v>10.086060946499998</v>
      </c>
      <c r="BB477" s="126">
        <f>0.016*BB$51</f>
        <v>11.154308720000001</v>
      </c>
      <c r="BC477" s="126">
        <f>0.0144*BC$51</f>
        <v>8.449497921599999</v>
      </c>
      <c r="BD477" s="126">
        <f>0.0141*BD$51</f>
        <v>7.8531806828999997</v>
      </c>
      <c r="BE477" s="126">
        <f>0.0136*BE$51</f>
        <v>7.5989073023999998</v>
      </c>
      <c r="BF477" s="126"/>
      <c r="BG477" s="126"/>
      <c r="BH477" s="126"/>
      <c r="BI477" s="126"/>
      <c r="BJ477" s="126"/>
      <c r="BK477" s="126"/>
      <c r="BL477" s="126"/>
      <c r="BO477" s="268">
        <f t="shared" si="821"/>
        <v>1.3296397720313871E-2</v>
      </c>
    </row>
    <row r="478" spans="1:67">
      <c r="A478" s="5" t="s">
        <v>8</v>
      </c>
      <c r="B478" s="126"/>
      <c r="C478" s="126"/>
      <c r="D478" s="126"/>
      <c r="E478" s="126"/>
      <c r="F478" s="126"/>
      <c r="G478" s="126"/>
      <c r="H478" s="126"/>
      <c r="I478" s="126"/>
      <c r="J478" s="126"/>
      <c r="K478" s="126"/>
      <c r="L478" s="126"/>
      <c r="M478" s="127"/>
      <c r="N478" s="126"/>
      <c r="O478" s="126"/>
      <c r="P478" s="126"/>
      <c r="Q478" s="126"/>
      <c r="R478" s="126"/>
      <c r="S478" s="126"/>
      <c r="T478" s="126"/>
      <c r="U478" s="126"/>
      <c r="V478" s="126"/>
      <c r="W478" s="126"/>
      <c r="X478" s="126"/>
      <c r="Y478" s="127"/>
      <c r="Z478" s="126"/>
      <c r="AA478" s="126"/>
      <c r="AB478" s="126"/>
      <c r="AC478" s="126"/>
      <c r="AD478" s="126"/>
      <c r="AE478" s="126"/>
      <c r="AF478" s="126"/>
      <c r="AG478" s="126"/>
      <c r="AH478" s="126"/>
      <c r="AI478" s="126"/>
      <c r="AJ478" s="126"/>
      <c r="AK478" s="127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>
        <f>AV$51*0.0194</f>
        <v>16.2721076196</v>
      </c>
      <c r="AW478" s="127">
        <f>AW$51*0.018</f>
        <v>14.407965719999998</v>
      </c>
      <c r="AX478" s="126">
        <f>0.0177*AX$51</f>
        <v>15.638976599999999</v>
      </c>
      <c r="AY478" s="126">
        <f>0.0176*AY$51</f>
        <v>13.841260488000001</v>
      </c>
      <c r="AZ478" s="126">
        <f>0.0171*AZ$51</f>
        <v>12.915366967800001</v>
      </c>
      <c r="BA478" s="126">
        <f>0.0164*BA$51</f>
        <v>11.252476158</v>
      </c>
      <c r="BB478" s="126">
        <f>0.0152*BB$51</f>
        <v>10.596593284000001</v>
      </c>
      <c r="BC478" s="126">
        <f>0.0136*BC$51</f>
        <v>7.9800813703999989</v>
      </c>
      <c r="BD478" s="126">
        <f>0.0133*BD$51</f>
        <v>7.4076101476999998</v>
      </c>
      <c r="BE478" s="126">
        <f>0.0109*BE$51</f>
        <v>6.0903007056000007</v>
      </c>
      <c r="BF478" s="126"/>
      <c r="BG478" s="126"/>
      <c r="BH478" s="126"/>
      <c r="BI478" s="126"/>
      <c r="BJ478" s="126"/>
      <c r="BK478" s="126"/>
      <c r="BL478" s="126"/>
      <c r="BO478" s="268">
        <f t="shared" si="821"/>
        <v>1.6279564252049784E-2</v>
      </c>
    </row>
    <row r="479" spans="1:67">
      <c r="A479" s="5" t="s">
        <v>18</v>
      </c>
      <c r="B479" s="126"/>
      <c r="C479" s="126"/>
      <c r="D479" s="126"/>
      <c r="E479" s="126"/>
      <c r="F479" s="126"/>
      <c r="G479" s="126"/>
      <c r="H479" s="126"/>
      <c r="I479" s="126"/>
      <c r="J479" s="126"/>
      <c r="K479" s="126"/>
      <c r="L479" s="126"/>
      <c r="M479" s="127"/>
      <c r="N479" s="126"/>
      <c r="O479" s="126"/>
      <c r="P479" s="126"/>
      <c r="Q479" s="126"/>
      <c r="R479" s="126"/>
      <c r="S479" s="126"/>
      <c r="T479" s="126"/>
      <c r="U479" s="126"/>
      <c r="V479" s="126"/>
      <c r="W479" s="126"/>
      <c r="X479" s="126"/>
      <c r="Y479" s="127"/>
      <c r="Z479" s="126"/>
      <c r="AA479" s="126"/>
      <c r="AB479" s="126"/>
      <c r="AC479" s="126"/>
      <c r="AD479" s="126"/>
      <c r="AE479" s="126"/>
      <c r="AF479" s="126"/>
      <c r="AG479" s="126"/>
      <c r="AH479" s="126"/>
      <c r="AI479" s="126"/>
      <c r="AJ479" s="126"/>
      <c r="AK479" s="127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>
        <f>AV$51*0.0209</f>
        <v>17.530260270599999</v>
      </c>
      <c r="AW479" s="127">
        <f>AW$51*0.0745</f>
        <v>59.63296923</v>
      </c>
      <c r="AX479" s="126">
        <f>0.0199*AX$51</f>
        <v>17.582804200000002</v>
      </c>
      <c r="AY479" s="126">
        <f>0.0178*AY$51</f>
        <v>13.998547538999999</v>
      </c>
      <c r="AZ479" s="126">
        <f>0.0172*AZ$51</f>
        <v>12.9908954296</v>
      </c>
      <c r="BA479" s="126">
        <f>0.0167*BA$51</f>
        <v>11.458314136499999</v>
      </c>
      <c r="BB479" s="126">
        <f>0.0142*BB$51</f>
        <v>9.8994489890000015</v>
      </c>
      <c r="BC479" s="126">
        <f>0.0146*BC$51</f>
        <v>8.5668520593999986</v>
      </c>
      <c r="BD479" s="126">
        <f>0.016*BD$51</f>
        <v>8.9114107039999997</v>
      </c>
      <c r="BE479" s="126">
        <f>0.0166*BE$51</f>
        <v>9.2751368544000012</v>
      </c>
      <c r="BF479" s="126"/>
      <c r="BG479" s="126"/>
      <c r="BH479" s="126"/>
      <c r="BI479" s="126"/>
      <c r="BJ479" s="126"/>
      <c r="BK479" s="126"/>
      <c r="BL479" s="126"/>
      <c r="BO479" s="268">
        <f t="shared" si="821"/>
        <v>2.3753988107265724E-2</v>
      </c>
    </row>
    <row r="480" spans="1:67">
      <c r="A480" s="5" t="s">
        <v>200</v>
      </c>
      <c r="B480" s="126"/>
      <c r="C480" s="126"/>
      <c r="D480" s="126"/>
      <c r="E480" s="126"/>
      <c r="F480" s="126"/>
      <c r="G480" s="126"/>
      <c r="H480" s="126"/>
      <c r="I480" s="126"/>
      <c r="J480" s="126"/>
      <c r="K480" s="126"/>
      <c r="L480" s="126"/>
      <c r="M480" s="127"/>
      <c r="N480" s="126"/>
      <c r="O480" s="126"/>
      <c r="P480" s="126"/>
      <c r="Q480" s="126"/>
      <c r="R480" s="126"/>
      <c r="S480" s="126"/>
      <c r="T480" s="126"/>
      <c r="U480" s="126"/>
      <c r="V480" s="126"/>
      <c r="W480" s="126"/>
      <c r="X480" s="126"/>
      <c r="Y480" s="127"/>
      <c r="Z480" s="126"/>
      <c r="AA480" s="126"/>
      <c r="AB480" s="126"/>
      <c r="AC480" s="126"/>
      <c r="AD480" s="126"/>
      <c r="AE480" s="126"/>
      <c r="AF480" s="126"/>
      <c r="AG480" s="126"/>
      <c r="AH480" s="126"/>
      <c r="AI480" s="126"/>
      <c r="AJ480" s="126"/>
      <c r="AK480" s="127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>
        <f>AV$51*0.0157</f>
        <v>13.168664413799998</v>
      </c>
      <c r="AW480" s="127">
        <f>AW$51*0.0136</f>
        <v>10.886018543999999</v>
      </c>
      <c r="AX480" s="126">
        <f>0.0167*AX$51</f>
        <v>14.755418599999999</v>
      </c>
      <c r="AY480" s="126">
        <f>0.0176*AY$51</f>
        <v>13.841260488000001</v>
      </c>
      <c r="AZ480" s="126">
        <f>0.0187*AZ$51</f>
        <v>14.123822356600002</v>
      </c>
      <c r="BA480" s="126">
        <f>0.0186*BA$51</f>
        <v>12.761954666999998</v>
      </c>
      <c r="BB480" s="126">
        <f>0.0113*BB$51</f>
        <v>7.8777305335000003</v>
      </c>
      <c r="BC480" s="126">
        <f>0.0083*BC$51</f>
        <v>4.8701967186999999</v>
      </c>
      <c r="BD480" s="126">
        <f>0.0157*BD$51</f>
        <v>8.7443217532999995</v>
      </c>
      <c r="BE480" s="126">
        <f>0.0245*BE$51</f>
        <v>13.689208008000001</v>
      </c>
      <c r="BF480" s="126"/>
      <c r="BG480" s="126"/>
      <c r="BH480" s="126"/>
      <c r="BI480" s="126"/>
      <c r="BJ480" s="126"/>
      <c r="BK480" s="126"/>
      <c r="BL480" s="126"/>
      <c r="BO480" s="268">
        <f t="shared" si="821"/>
        <v>1.6044027579593532E-2</v>
      </c>
    </row>
    <row r="481" spans="1:67">
      <c r="A481" s="5" t="s">
        <v>61</v>
      </c>
      <c r="B481" s="126"/>
      <c r="C481" s="126"/>
      <c r="D481" s="126"/>
      <c r="E481" s="126"/>
      <c r="F481" s="126"/>
      <c r="G481" s="126"/>
      <c r="H481" s="126"/>
      <c r="I481" s="126"/>
      <c r="J481" s="126"/>
      <c r="K481" s="126"/>
      <c r="L481" s="126"/>
      <c r="M481" s="127"/>
      <c r="N481" s="126"/>
      <c r="O481" s="126"/>
      <c r="P481" s="126"/>
      <c r="Q481" s="126"/>
      <c r="R481" s="126"/>
      <c r="S481" s="126"/>
      <c r="T481" s="126"/>
      <c r="U481" s="126"/>
      <c r="V481" s="126"/>
      <c r="W481" s="126"/>
      <c r="X481" s="126"/>
      <c r="Y481" s="127"/>
      <c r="Z481" s="126"/>
      <c r="AA481" s="126"/>
      <c r="AB481" s="126"/>
      <c r="AC481" s="126"/>
      <c r="AD481" s="126"/>
      <c r="AE481" s="126"/>
      <c r="AF481" s="126"/>
      <c r="AG481" s="126"/>
      <c r="AH481" s="126"/>
      <c r="AI481" s="126"/>
      <c r="AJ481" s="126"/>
      <c r="AK481" s="127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4"/>
      <c r="AW481" s="3"/>
      <c r="AX481" s="4"/>
      <c r="AY481" s="4"/>
      <c r="AZ481" s="4"/>
      <c r="BA481" s="4"/>
      <c r="BB481" s="126">
        <f>0.0105*BB$51</f>
        <v>7.3200150975000007</v>
      </c>
      <c r="BC481" s="126">
        <f>0.011*BC$51</f>
        <v>6.4544775789999989</v>
      </c>
      <c r="BD481" s="126">
        <f>0.0092*BD$51</f>
        <v>5.1240611547999997</v>
      </c>
      <c r="BE481" s="126">
        <f>0.0078*BE$51</f>
        <v>4.3581968352000002</v>
      </c>
      <c r="BF481" s="126"/>
      <c r="BG481" s="126"/>
      <c r="BH481" s="126"/>
      <c r="BI481" s="126"/>
      <c r="BJ481" s="126"/>
      <c r="BK481" s="126"/>
      <c r="BL481" s="126"/>
      <c r="BO481" s="268">
        <f t="shared" si="821"/>
        <v>3.2525846884965096E-3</v>
      </c>
    </row>
    <row r="482" spans="1:67">
      <c r="A482" s="5" t="s">
        <v>13</v>
      </c>
      <c r="B482" s="126"/>
      <c r="C482" s="126"/>
      <c r="D482" s="126"/>
      <c r="E482" s="126"/>
      <c r="F482" s="126"/>
      <c r="G482" s="126"/>
      <c r="H482" s="126"/>
      <c r="I482" s="126"/>
      <c r="J482" s="126"/>
      <c r="K482" s="126"/>
      <c r="L482" s="126"/>
      <c r="M482" s="127"/>
      <c r="N482" s="126"/>
      <c r="O482" s="126"/>
      <c r="P482" s="126"/>
      <c r="Q482" s="126"/>
      <c r="R482" s="126"/>
      <c r="S482" s="126"/>
      <c r="T482" s="126"/>
      <c r="U482" s="126"/>
      <c r="V482" s="126"/>
      <c r="W482" s="126"/>
      <c r="X482" s="126"/>
      <c r="Y482" s="127"/>
      <c r="Z482" s="126"/>
      <c r="AA482" s="126"/>
      <c r="AB482" s="126"/>
      <c r="AC482" s="126"/>
      <c r="AD482" s="126"/>
      <c r="AE482" s="126"/>
      <c r="AF482" s="126"/>
      <c r="AG482" s="126"/>
      <c r="AH482" s="126"/>
      <c r="AI482" s="126"/>
      <c r="AJ482" s="126"/>
      <c r="AK482" s="127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>
        <f>AV$51*0.0067</f>
        <v>5.6197485077999998</v>
      </c>
      <c r="AW482" s="127">
        <f>AW$51*0.0116</f>
        <v>9.2851334639999994</v>
      </c>
      <c r="AX482" s="126">
        <f>0.0132*AX$51</f>
        <v>11.6629656</v>
      </c>
      <c r="AY482" s="126">
        <f>0.0149*AY$51</f>
        <v>11.717885299500001</v>
      </c>
      <c r="AZ482" s="126">
        <f>0.0148*AZ$51</f>
        <v>11.1782123464</v>
      </c>
      <c r="BA482" s="126">
        <f>0.01003*BA$51</f>
        <v>6.8818497478499996</v>
      </c>
      <c r="BB482" s="126">
        <f>0.0097*BB$51</f>
        <v>6.7622996615000011</v>
      </c>
      <c r="BC482" s="126">
        <f>0.0062*BC$51</f>
        <v>3.6379782717999993</v>
      </c>
      <c r="BD482" s="126">
        <f>0.0028*BD$51</f>
        <v>1.5594968731999999</v>
      </c>
      <c r="BE482" s="126">
        <f>0.0021*BE$51</f>
        <v>1.1733606863999999</v>
      </c>
      <c r="BF482" s="126"/>
      <c r="BG482" s="126"/>
      <c r="BH482" s="126"/>
      <c r="BI482" s="126"/>
      <c r="BJ482" s="126"/>
      <c r="BK482" s="126"/>
      <c r="BL482" s="126"/>
      <c r="BO482" s="268">
        <f t="shared" si="821"/>
        <v>9.7170111432543383E-3</v>
      </c>
    </row>
    <row r="483" spans="1:67">
      <c r="A483" s="5" t="s">
        <v>5</v>
      </c>
      <c r="B483" s="126"/>
      <c r="C483" s="126"/>
      <c r="D483" s="126"/>
      <c r="E483" s="126"/>
      <c r="F483" s="126"/>
      <c r="G483" s="126"/>
      <c r="H483" s="126"/>
      <c r="I483" s="126"/>
      <c r="J483" s="126"/>
      <c r="K483" s="126"/>
      <c r="L483" s="126"/>
      <c r="M483" s="127"/>
      <c r="N483" s="126"/>
      <c r="O483" s="126"/>
      <c r="P483" s="126"/>
      <c r="Q483" s="126"/>
      <c r="R483" s="126"/>
      <c r="S483" s="126"/>
      <c r="T483" s="126"/>
      <c r="U483" s="126"/>
      <c r="V483" s="126"/>
      <c r="W483" s="126"/>
      <c r="X483" s="126"/>
      <c r="Y483" s="127"/>
      <c r="Z483" s="126"/>
      <c r="AA483" s="126"/>
      <c r="AB483" s="126"/>
      <c r="AC483" s="126"/>
      <c r="AD483" s="126"/>
      <c r="AE483" s="126"/>
      <c r="AF483" s="126"/>
      <c r="AG483" s="126"/>
      <c r="AH483" s="126"/>
      <c r="AI483" s="126"/>
      <c r="AJ483" s="126"/>
      <c r="AK483" s="127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>
        <f>AV$51*0.0488</f>
        <v>40.9318995792</v>
      </c>
      <c r="AW483" s="127">
        <f>AW$51*0.0495</f>
        <v>39.621905730000002</v>
      </c>
      <c r="AX483" s="126">
        <f>0.0499*AX$51</f>
        <v>44.089544199999999</v>
      </c>
      <c r="AY483" s="126">
        <f>0.0542*AY$51</f>
        <v>42.624790820999998</v>
      </c>
      <c r="AZ483" s="126">
        <f>0.0559*AZ$51</f>
        <v>42.220410146200003</v>
      </c>
      <c r="BA483" s="126">
        <f>0.0449*BA$51</f>
        <v>30.8070841155</v>
      </c>
      <c r="BB483" s="126">
        <f>0.0095*BB$51</f>
        <v>6.6228708025000005</v>
      </c>
      <c r="BC483" s="126">
        <f>0.0077*BC$51</f>
        <v>4.5181343052999994</v>
      </c>
      <c r="BD483" s="126">
        <f>0.0068*BD$51</f>
        <v>3.7873495491999996</v>
      </c>
      <c r="BE483" s="126">
        <f>0.0064*BE$51</f>
        <v>3.5759563776000003</v>
      </c>
      <c r="BF483" s="126"/>
      <c r="BG483" s="126"/>
      <c r="BH483" s="126"/>
      <c r="BI483" s="126"/>
      <c r="BJ483" s="126"/>
      <c r="BK483" s="126"/>
      <c r="BL483" s="126"/>
      <c r="BO483" s="268">
        <f t="shared" si="821"/>
        <v>3.6194597972837285E-2</v>
      </c>
    </row>
    <row r="484" spans="1:67">
      <c r="A484" s="5" t="s">
        <v>62</v>
      </c>
      <c r="B484" s="126"/>
      <c r="C484" s="126"/>
      <c r="D484" s="126"/>
      <c r="E484" s="126"/>
      <c r="F484" s="126"/>
      <c r="G484" s="126"/>
      <c r="H484" s="126"/>
      <c r="I484" s="126"/>
      <c r="J484" s="126"/>
      <c r="K484" s="126"/>
      <c r="L484" s="126"/>
      <c r="M484" s="127"/>
      <c r="N484" s="126"/>
      <c r="O484" s="126"/>
      <c r="P484" s="126"/>
      <c r="Q484" s="126"/>
      <c r="R484" s="126"/>
      <c r="S484" s="126"/>
      <c r="T484" s="126"/>
      <c r="U484" s="126"/>
      <c r="V484" s="126"/>
      <c r="W484" s="126"/>
      <c r="X484" s="126"/>
      <c r="Y484" s="127"/>
      <c r="Z484" s="126"/>
      <c r="AA484" s="126"/>
      <c r="AB484" s="126"/>
      <c r="AC484" s="126"/>
      <c r="AD484" s="126"/>
      <c r="AE484" s="126"/>
      <c r="AF484" s="126"/>
      <c r="AG484" s="126"/>
      <c r="AH484" s="126"/>
      <c r="AI484" s="126"/>
      <c r="AJ484" s="126"/>
      <c r="AK484" s="127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4"/>
      <c r="AW484" s="3"/>
      <c r="AX484" s="4"/>
      <c r="AY484" s="4"/>
      <c r="AZ484" s="4"/>
      <c r="BA484" s="4"/>
      <c r="BB484" s="126">
        <f>0.0087*BB$51</f>
        <v>6.0651553665</v>
      </c>
      <c r="BC484" s="126">
        <f>0.0103*BC$51</f>
        <v>6.0437380966999994</v>
      </c>
      <c r="BD484" s="126">
        <f>0.0103*BD$51</f>
        <v>5.7367206406999998</v>
      </c>
      <c r="BE484" s="126">
        <f>0.0099*BE$51</f>
        <v>5.5315575216000008</v>
      </c>
      <c r="BF484" s="126"/>
      <c r="BG484" s="126"/>
      <c r="BH484" s="126"/>
      <c r="BI484" s="126"/>
      <c r="BJ484" s="126"/>
      <c r="BK484" s="126"/>
      <c r="BL484" s="126"/>
      <c r="BO484" s="268">
        <f t="shared" si="821"/>
        <v>3.2694262229410287E-3</v>
      </c>
    </row>
    <row r="485" spans="1:67">
      <c r="A485" s="5" t="s">
        <v>63</v>
      </c>
      <c r="B485" s="126"/>
      <c r="C485" s="126"/>
      <c r="D485" s="126"/>
      <c r="E485" s="126"/>
      <c r="F485" s="126"/>
      <c r="G485" s="126"/>
      <c r="H485" s="126"/>
      <c r="I485" s="126"/>
      <c r="J485" s="126"/>
      <c r="K485" s="126"/>
      <c r="L485" s="126"/>
      <c r="M485" s="127"/>
      <c r="N485" s="126"/>
      <c r="O485" s="126"/>
      <c r="P485" s="126"/>
      <c r="Q485" s="126"/>
      <c r="R485" s="126"/>
      <c r="S485" s="126"/>
      <c r="T485" s="126"/>
      <c r="U485" s="126"/>
      <c r="V485" s="126"/>
      <c r="W485" s="126"/>
      <c r="X485" s="126"/>
      <c r="Y485" s="127"/>
      <c r="Z485" s="126"/>
      <c r="AA485" s="126"/>
      <c r="AB485" s="126"/>
      <c r="AC485" s="126"/>
      <c r="AD485" s="126"/>
      <c r="AE485" s="126"/>
      <c r="AF485" s="126"/>
      <c r="AG485" s="126"/>
      <c r="AH485" s="126"/>
      <c r="AI485" s="126"/>
      <c r="AJ485" s="126"/>
      <c r="AK485" s="127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4"/>
      <c r="AW485" s="3"/>
      <c r="AX485" s="4"/>
      <c r="AY485" s="4"/>
      <c r="AZ485" s="4"/>
      <c r="BA485" s="4"/>
      <c r="BB485" s="126">
        <f>0.0083*BB$51</f>
        <v>5.7862976485000006</v>
      </c>
      <c r="BC485" s="126">
        <f>0.0092*BC$51</f>
        <v>5.3982903387999999</v>
      </c>
      <c r="BD485" s="126">
        <f>0.0095*BD$51</f>
        <v>5.2911501054999999</v>
      </c>
      <c r="BE485" s="126">
        <f>0.0075*BE$51</f>
        <v>4.1905738800000005</v>
      </c>
      <c r="BF485" s="126"/>
      <c r="BG485" s="126"/>
      <c r="BH485" s="126"/>
      <c r="BI485" s="126"/>
      <c r="BJ485" s="126"/>
      <c r="BK485" s="126"/>
      <c r="BL485" s="126"/>
      <c r="BO485" s="268">
        <f t="shared" si="821"/>
        <v>2.8902975679765252E-3</v>
      </c>
    </row>
    <row r="486" spans="1:67">
      <c r="A486" s="5" t="s">
        <v>60</v>
      </c>
      <c r="B486" s="126"/>
      <c r="C486" s="126"/>
      <c r="D486" s="126"/>
      <c r="E486" s="126"/>
      <c r="F486" s="126"/>
      <c r="G486" s="126"/>
      <c r="H486" s="126"/>
      <c r="I486" s="126"/>
      <c r="J486" s="126"/>
      <c r="K486" s="126"/>
      <c r="L486" s="126"/>
      <c r="M486" s="127"/>
      <c r="N486" s="126"/>
      <c r="O486" s="126"/>
      <c r="P486" s="126"/>
      <c r="Q486" s="126"/>
      <c r="R486" s="126"/>
      <c r="S486" s="126"/>
      <c r="T486" s="126"/>
      <c r="U486" s="126"/>
      <c r="V486" s="126"/>
      <c r="W486" s="126"/>
      <c r="X486" s="126"/>
      <c r="Y486" s="127"/>
      <c r="Z486" s="126"/>
      <c r="AA486" s="126"/>
      <c r="AB486" s="126"/>
      <c r="AC486" s="126"/>
      <c r="AD486" s="126"/>
      <c r="AE486" s="126"/>
      <c r="AF486" s="126"/>
      <c r="AG486" s="126"/>
      <c r="AH486" s="126"/>
      <c r="AI486" s="126"/>
      <c r="AJ486" s="126"/>
      <c r="AK486" s="127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4"/>
      <c r="AW486" s="3"/>
      <c r="AX486" s="4"/>
      <c r="AY486" s="4"/>
      <c r="AZ486" s="4"/>
      <c r="BA486" s="4"/>
      <c r="BB486" s="126">
        <f>0.0083*BB$51</f>
        <v>5.7862976485000006</v>
      </c>
      <c r="BC486" s="126">
        <f>0.0077*BC$51</f>
        <v>4.5181343052999994</v>
      </c>
      <c r="BD486" s="126">
        <f>0.0076*BD$51</f>
        <v>4.2329200843999999</v>
      </c>
      <c r="BE486" s="126">
        <f>0.0066*BE$51</f>
        <v>3.6877050144000001</v>
      </c>
      <c r="BF486" s="126"/>
      <c r="BG486" s="126"/>
      <c r="BH486" s="126"/>
      <c r="BI486" s="126"/>
      <c r="BJ486" s="126"/>
      <c r="BK486" s="126"/>
      <c r="BL486" s="126"/>
      <c r="BO486" s="268">
        <f t="shared" si="821"/>
        <v>2.5488746199463447E-3</v>
      </c>
    </row>
    <row r="487" spans="1:67">
      <c r="A487" s="5" t="s">
        <v>15</v>
      </c>
      <c r="B487" s="126"/>
      <c r="C487" s="126"/>
      <c r="D487" s="126"/>
      <c r="E487" s="126"/>
      <c r="F487" s="126"/>
      <c r="G487" s="126"/>
      <c r="H487" s="126"/>
      <c r="I487" s="126"/>
      <c r="J487" s="126"/>
      <c r="K487" s="126"/>
      <c r="L487" s="126"/>
      <c r="M487" s="127"/>
      <c r="N487" s="126"/>
      <c r="O487" s="126"/>
      <c r="P487" s="126"/>
      <c r="Q487" s="126"/>
      <c r="R487" s="126"/>
      <c r="S487" s="126"/>
      <c r="T487" s="126"/>
      <c r="U487" s="126"/>
      <c r="V487" s="126"/>
      <c r="W487" s="126"/>
      <c r="X487" s="126"/>
      <c r="Y487" s="127"/>
      <c r="Z487" s="126"/>
      <c r="AA487" s="126"/>
      <c r="AB487" s="126"/>
      <c r="AC487" s="126"/>
      <c r="AD487" s="126"/>
      <c r="AE487" s="126"/>
      <c r="AF487" s="126"/>
      <c r="AG487" s="126"/>
      <c r="AH487" s="126"/>
      <c r="AI487" s="126"/>
      <c r="AJ487" s="126"/>
      <c r="AK487" s="127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>
        <f>AV$51*0.0129</f>
        <v>10.8201127986</v>
      </c>
      <c r="AW487" s="127">
        <f>AW$51*0.0101</f>
        <v>8.0844696539999994</v>
      </c>
      <c r="AX487" s="126">
        <f>0.0093*AX$51</f>
        <v>8.217089399999999</v>
      </c>
      <c r="AY487" s="126">
        <f>0.0094*AY$51</f>
        <v>7.3924913970000006</v>
      </c>
      <c r="AZ487" s="126">
        <f>0.0097*AZ$51</f>
        <v>7.3262607946000005</v>
      </c>
      <c r="BA487" s="126">
        <f>0.0087*BA$51</f>
        <v>5.9693013764999989</v>
      </c>
      <c r="BB487" s="126">
        <f>0.0082*BB$51</f>
        <v>5.7165832190000012</v>
      </c>
      <c r="BC487" s="126">
        <f>0.0081*BC$51</f>
        <v>4.7528425808999994</v>
      </c>
      <c r="BD487" s="126">
        <f>0.0075*BD$51</f>
        <v>4.1772237675000001</v>
      </c>
      <c r="BE487" s="126">
        <f>0.008*BE$51</f>
        <v>4.469945472</v>
      </c>
      <c r="BF487" s="126"/>
      <c r="BG487" s="126"/>
      <c r="BH487" s="126"/>
      <c r="BI487" s="126"/>
      <c r="BJ487" s="126"/>
      <c r="BK487" s="126"/>
      <c r="BL487" s="126"/>
      <c r="BO487" s="268">
        <f t="shared" si="821"/>
        <v>9.3600145741551278E-3</v>
      </c>
    </row>
    <row r="488" spans="1:67">
      <c r="A488" s="5" t="s">
        <v>64</v>
      </c>
      <c r="B488" s="126"/>
      <c r="C488" s="126"/>
      <c r="D488" s="126"/>
      <c r="E488" s="126"/>
      <c r="F488" s="126"/>
      <c r="G488" s="126"/>
      <c r="H488" s="126"/>
      <c r="I488" s="126"/>
      <c r="J488" s="126"/>
      <c r="K488" s="126"/>
      <c r="L488" s="126"/>
      <c r="M488" s="127"/>
      <c r="N488" s="126"/>
      <c r="O488" s="126"/>
      <c r="P488" s="126"/>
      <c r="Q488" s="126"/>
      <c r="R488" s="126"/>
      <c r="S488" s="126"/>
      <c r="T488" s="126"/>
      <c r="U488" s="126"/>
      <c r="V488" s="126"/>
      <c r="W488" s="126"/>
      <c r="X488" s="126"/>
      <c r="Y488" s="127"/>
      <c r="Z488" s="126"/>
      <c r="AA488" s="126"/>
      <c r="AB488" s="126"/>
      <c r="AC488" s="126"/>
      <c r="AD488" s="126"/>
      <c r="AE488" s="126"/>
      <c r="AF488" s="126"/>
      <c r="AG488" s="126"/>
      <c r="AH488" s="126"/>
      <c r="AI488" s="126"/>
      <c r="AJ488" s="126"/>
      <c r="AK488" s="127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4"/>
      <c r="AW488" s="3"/>
      <c r="AX488" s="4"/>
      <c r="AY488" s="4"/>
      <c r="AZ488" s="4"/>
      <c r="BA488" s="4"/>
      <c r="BB488" s="126">
        <f>0.008*BB$51</f>
        <v>5.5771543600000006</v>
      </c>
      <c r="BC488" s="126">
        <f>0.0074*BC$51</f>
        <v>4.3421030986</v>
      </c>
      <c r="BD488" s="126">
        <f>0.0067*BD$51</f>
        <v>3.7316532323000002</v>
      </c>
      <c r="BE488" s="126">
        <f>0.0063*BE$51</f>
        <v>3.5200820592000004</v>
      </c>
      <c r="BF488" s="126"/>
      <c r="BG488" s="126"/>
      <c r="BH488" s="126"/>
      <c r="BI488" s="126"/>
      <c r="BJ488" s="126"/>
      <c r="BK488" s="126"/>
      <c r="BL488" s="126"/>
      <c r="BO488" s="268">
        <f t="shared" si="821"/>
        <v>2.4014579210202688E-3</v>
      </c>
    </row>
    <row r="489" spans="1:67">
      <c r="A489" s="5" t="s">
        <v>14</v>
      </c>
      <c r="B489" s="126"/>
      <c r="C489" s="126"/>
      <c r="D489" s="126"/>
      <c r="E489" s="126"/>
      <c r="F489" s="126"/>
      <c r="G489" s="126"/>
      <c r="H489" s="126"/>
      <c r="I489" s="126"/>
      <c r="J489" s="126"/>
      <c r="K489" s="126"/>
      <c r="L489" s="126"/>
      <c r="M489" s="127"/>
      <c r="N489" s="126"/>
      <c r="O489" s="126"/>
      <c r="P489" s="126"/>
      <c r="Q489" s="126"/>
      <c r="R489" s="126"/>
      <c r="S489" s="126"/>
      <c r="T489" s="126"/>
      <c r="U489" s="126"/>
      <c r="V489" s="126"/>
      <c r="W489" s="126"/>
      <c r="X489" s="126"/>
      <c r="Y489" s="127"/>
      <c r="Z489" s="126"/>
      <c r="AA489" s="126"/>
      <c r="AB489" s="126"/>
      <c r="AC489" s="126"/>
      <c r="AD489" s="126"/>
      <c r="AE489" s="126"/>
      <c r="AF489" s="126"/>
      <c r="AG489" s="126"/>
      <c r="AH489" s="126"/>
      <c r="AI489" s="126"/>
      <c r="AJ489" s="126"/>
      <c r="AK489" s="127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>
        <f>AV$51*0.0108</f>
        <v>9.0586990872000008</v>
      </c>
      <c r="AW489" s="127">
        <f>AW$51*0.011</f>
        <v>8.8048679399999994</v>
      </c>
      <c r="AX489" s="126">
        <f>0.0142*AX$51</f>
        <v>12.5465236</v>
      </c>
      <c r="AY489" s="126">
        <f>0.0168*AY$51</f>
        <v>13.212112283999998</v>
      </c>
      <c r="AZ489" s="126">
        <f>0.0154*AZ$51</f>
        <v>11.6313831172</v>
      </c>
      <c r="BA489" s="126">
        <f>0.0097*BA$51</f>
        <v>6.6554279715</v>
      </c>
      <c r="BB489" s="126">
        <f>0.005*BB$51</f>
        <v>3.4857214750000005</v>
      </c>
      <c r="BC489" s="126">
        <f>0.0112*BC$51</f>
        <v>6.5718317167999993</v>
      </c>
      <c r="BD489" s="126">
        <f>0.0055*BD$51</f>
        <v>3.0632974294999999</v>
      </c>
      <c r="BE489" s="126">
        <f>0.0062*BE$51</f>
        <v>3.4642077408</v>
      </c>
      <c r="BF489" s="126"/>
      <c r="BG489" s="126"/>
      <c r="BH489" s="126"/>
      <c r="BI489" s="126"/>
      <c r="BJ489" s="126"/>
      <c r="BK489" s="126"/>
      <c r="BL489" s="126"/>
      <c r="BO489" s="268">
        <f t="shared" si="821"/>
        <v>1.097782839759019E-2</v>
      </c>
    </row>
    <row r="490" spans="1:67">
      <c r="A490" s="5" t="s">
        <v>213</v>
      </c>
      <c r="B490" s="126"/>
      <c r="C490" s="126"/>
      <c r="D490" s="126"/>
      <c r="E490" s="126"/>
      <c r="F490" s="126"/>
      <c r="G490" s="126"/>
      <c r="H490" s="126"/>
      <c r="I490" s="126"/>
      <c r="J490" s="126"/>
      <c r="K490" s="126"/>
      <c r="L490" s="126"/>
      <c r="M490" s="127"/>
      <c r="N490" s="126"/>
      <c r="O490" s="126"/>
      <c r="P490" s="126"/>
      <c r="Q490" s="126"/>
      <c r="R490" s="126"/>
      <c r="S490" s="126"/>
      <c r="T490" s="126"/>
      <c r="U490" s="126"/>
      <c r="V490" s="126"/>
      <c r="W490" s="126"/>
      <c r="X490" s="126"/>
      <c r="Y490" s="127"/>
      <c r="Z490" s="126"/>
      <c r="AA490" s="126"/>
      <c r="AB490" s="126"/>
      <c r="AC490" s="126"/>
      <c r="AD490" s="126"/>
      <c r="AE490" s="126"/>
      <c r="AF490" s="126"/>
      <c r="AG490" s="126"/>
      <c r="AH490" s="126"/>
      <c r="AI490" s="126"/>
      <c r="AJ490" s="126"/>
      <c r="AK490" s="127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4"/>
      <c r="AW490" s="3"/>
      <c r="AX490" s="4"/>
      <c r="AY490" s="4"/>
      <c r="AZ490" s="4"/>
      <c r="BA490" s="4"/>
      <c r="BB490" s="4"/>
      <c r="BC490" s="126">
        <f>0.0092*BC$51</f>
        <v>5.3982903387999999</v>
      </c>
      <c r="BD490" s="126">
        <f>0.0095*BD$51</f>
        <v>5.2911501054999999</v>
      </c>
      <c r="BE490" s="126">
        <f>0.0075*BE$51</f>
        <v>4.1905738800000005</v>
      </c>
      <c r="BF490" s="126"/>
      <c r="BG490" s="126"/>
      <c r="BH490" s="126"/>
      <c r="BI490" s="126"/>
      <c r="BJ490" s="126"/>
      <c r="BK490" s="126"/>
      <c r="BL490" s="126"/>
      <c r="BO490" s="268">
        <f t="shared" si="821"/>
        <v>2.081051968516916E-3</v>
      </c>
    </row>
    <row r="491" spans="1:67">
      <c r="A491" s="5" t="s">
        <v>378</v>
      </c>
      <c r="B491" s="126"/>
      <c r="C491" s="126"/>
      <c r="D491" s="126"/>
      <c r="E491" s="126"/>
      <c r="F491" s="126"/>
      <c r="G491" s="126"/>
      <c r="H491" s="126"/>
      <c r="I491" s="126"/>
      <c r="J491" s="126"/>
      <c r="K491" s="126"/>
      <c r="L491" s="126"/>
      <c r="M491" s="127"/>
      <c r="N491" s="126"/>
      <c r="O491" s="126"/>
      <c r="P491" s="126"/>
      <c r="Q491" s="126"/>
      <c r="R491" s="126"/>
      <c r="S491" s="126"/>
      <c r="T491" s="126"/>
      <c r="U491" s="126"/>
      <c r="V491" s="126"/>
      <c r="W491" s="126"/>
      <c r="X491" s="126"/>
      <c r="Y491" s="127"/>
      <c r="Z491" s="126"/>
      <c r="AA491" s="126"/>
      <c r="AB491" s="126"/>
      <c r="AC491" s="126"/>
      <c r="AD491" s="126"/>
      <c r="AE491" s="126"/>
      <c r="AF491" s="126"/>
      <c r="AG491" s="126"/>
      <c r="AH491" s="126"/>
      <c r="AI491" s="126"/>
      <c r="AJ491" s="126"/>
      <c r="AK491" s="127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4"/>
      <c r="AW491" s="3"/>
      <c r="AX491" s="4"/>
      <c r="AY491" s="4"/>
      <c r="AZ491" s="4"/>
      <c r="BA491" s="4"/>
      <c r="BB491" s="4"/>
      <c r="BC491" s="126">
        <f>0.0079*BC$51</f>
        <v>4.6354884430999999</v>
      </c>
      <c r="BD491" s="126">
        <f>0.0073*BD$51</f>
        <v>4.0658311336999997</v>
      </c>
      <c r="BE491" s="126">
        <f>0.0078*BE$51</f>
        <v>4.3581968352000002</v>
      </c>
      <c r="BF491" s="126"/>
      <c r="BG491" s="126"/>
      <c r="BH491" s="126"/>
      <c r="BI491" s="126"/>
      <c r="BJ491" s="126"/>
      <c r="BK491" s="126"/>
      <c r="BL491" s="126"/>
      <c r="BO491" s="268">
        <f t="shared" si="821"/>
        <v>1.82644530742749E-3</v>
      </c>
    </row>
    <row r="492" spans="1:67">
      <c r="A492" s="5" t="s">
        <v>4</v>
      </c>
      <c r="B492" s="126"/>
      <c r="C492" s="126"/>
      <c r="D492" s="126"/>
      <c r="E492" s="126"/>
      <c r="F492" s="126"/>
      <c r="G492" s="126"/>
      <c r="H492" s="126"/>
      <c r="I492" s="126"/>
      <c r="J492" s="126"/>
      <c r="K492" s="126"/>
      <c r="L492" s="126"/>
      <c r="M492" s="127"/>
      <c r="N492" s="126"/>
      <c r="O492" s="126"/>
      <c r="P492" s="126"/>
      <c r="Q492" s="126"/>
      <c r="R492" s="126"/>
      <c r="S492" s="126"/>
      <c r="T492" s="126"/>
      <c r="U492" s="126"/>
      <c r="V492" s="126"/>
      <c r="W492" s="126"/>
      <c r="X492" s="126"/>
      <c r="Y492" s="127"/>
      <c r="Z492" s="126"/>
      <c r="AA492" s="126"/>
      <c r="AB492" s="126"/>
      <c r="AC492" s="126"/>
      <c r="AD492" s="126"/>
      <c r="AE492" s="126"/>
      <c r="AF492" s="126"/>
      <c r="AG492" s="126"/>
      <c r="AH492" s="126"/>
      <c r="AI492" s="126"/>
      <c r="AJ492" s="126"/>
      <c r="AK492" s="127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>
        <f>AV$51*0.0491</f>
        <v>41.183530109399996</v>
      </c>
      <c r="AW492" s="127">
        <f>AW$51*0.046</f>
        <v>36.820356840000002</v>
      </c>
      <c r="AX492" s="126">
        <f>0.0193*AX$51</f>
        <v>17.052669399999999</v>
      </c>
      <c r="AY492" s="4"/>
      <c r="AZ492" s="4"/>
      <c r="BA492" s="4"/>
      <c r="BB492" s="126">
        <f>0.0103*BB$51</f>
        <v>7.180586238500001</v>
      </c>
      <c r="BC492" s="126">
        <f>0.0112*BC$51</f>
        <v>6.5718317167999993</v>
      </c>
      <c r="BD492" s="126">
        <f>0.0099*BD$51</f>
        <v>5.5139353731000007</v>
      </c>
      <c r="BE492" s="126">
        <f>0.0105*BE$51</f>
        <v>5.8668034320000011</v>
      </c>
      <c r="BF492" s="126"/>
      <c r="BG492" s="126"/>
      <c r="BH492" s="126"/>
      <c r="BI492" s="126"/>
      <c r="BJ492" s="126"/>
      <c r="BK492" s="126"/>
      <c r="BL492" s="126"/>
      <c r="BO492" s="268">
        <f t="shared" si="821"/>
        <v>1.6809193432977362E-2</v>
      </c>
    </row>
    <row r="493" spans="1:67">
      <c r="A493" s="5" t="s">
        <v>203</v>
      </c>
      <c r="B493" s="126"/>
      <c r="C493" s="126"/>
      <c r="D493" s="126"/>
      <c r="E493" s="126"/>
      <c r="F493" s="126"/>
      <c r="G493" s="126"/>
      <c r="H493" s="126"/>
      <c r="I493" s="126"/>
      <c r="J493" s="126"/>
      <c r="K493" s="126"/>
      <c r="L493" s="126"/>
      <c r="M493" s="127"/>
      <c r="N493" s="126"/>
      <c r="O493" s="126"/>
      <c r="P493" s="126"/>
      <c r="Q493" s="126"/>
      <c r="R493" s="126"/>
      <c r="S493" s="126"/>
      <c r="T493" s="126"/>
      <c r="U493" s="126"/>
      <c r="V493" s="126"/>
      <c r="W493" s="126"/>
      <c r="X493" s="126"/>
      <c r="Y493" s="127"/>
      <c r="Z493" s="126"/>
      <c r="AA493" s="126"/>
      <c r="AB493" s="126"/>
      <c r="AC493" s="126"/>
      <c r="AD493" s="126"/>
      <c r="AE493" s="126"/>
      <c r="AF493" s="126"/>
      <c r="AG493" s="126"/>
      <c r="AH493" s="126"/>
      <c r="AI493" s="126"/>
      <c r="AJ493" s="126"/>
      <c r="AK493" s="127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>
        <f>AV51-SUM(AV465:AV492)</f>
        <v>78.25709489220003</v>
      </c>
      <c r="AW493" s="127">
        <f>AW51-SUM(AW465:AW492)</f>
        <v>34.338984965999998</v>
      </c>
      <c r="AX493" s="126">
        <f t="shared" ref="AX493:BE493" si="822">AX$51-SUM(AX465:AX492)</f>
        <v>90.476339200000098</v>
      </c>
      <c r="AY493" s="126">
        <f t="shared" si="822"/>
        <v>85.642799269500188</v>
      </c>
      <c r="AZ493" s="126">
        <f t="shared" si="822"/>
        <v>122.1295227306</v>
      </c>
      <c r="BA493" s="126">
        <f t="shared" si="822"/>
        <v>125.47197042765004</v>
      </c>
      <c r="BB493" s="126">
        <f t="shared" si="822"/>
        <v>61.069840242000055</v>
      </c>
      <c r="BC493" s="126">
        <f t="shared" si="822"/>
        <v>41.367333574499753</v>
      </c>
      <c r="BD493" s="126">
        <f t="shared" si="822"/>
        <v>50.906433646600078</v>
      </c>
      <c r="BE493" s="126">
        <f t="shared" si="822"/>
        <v>55.092077942400181</v>
      </c>
      <c r="BF493" s="126"/>
      <c r="BG493" s="126"/>
      <c r="BH493" s="126"/>
      <c r="BI493" s="126"/>
      <c r="BJ493" s="126"/>
      <c r="BK493" s="126"/>
      <c r="BL493" s="126"/>
      <c r="BO493" s="268">
        <f t="shared" si="821"/>
        <v>0.10415772510901494</v>
      </c>
    </row>
    <row r="494" spans="1:67">
      <c r="A494" s="161" t="s">
        <v>256</v>
      </c>
      <c r="B494" s="162"/>
      <c r="C494" s="162"/>
      <c r="D494" s="162"/>
      <c r="E494" s="162"/>
      <c r="F494" s="162"/>
      <c r="G494" s="162"/>
      <c r="H494" s="163"/>
      <c r="I494" s="163"/>
      <c r="J494" s="163"/>
      <c r="K494" s="163"/>
      <c r="L494" s="163"/>
      <c r="M494" s="261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262"/>
      <c r="Z494" s="164"/>
      <c r="AA494" s="164"/>
      <c r="AB494" s="164"/>
      <c r="AC494" s="164"/>
      <c r="AD494" s="164"/>
      <c r="AE494" s="164"/>
      <c r="AF494" s="164"/>
      <c r="AG494" s="164"/>
      <c r="AH494" s="164"/>
      <c r="AI494" s="164"/>
      <c r="AJ494" s="164"/>
      <c r="AK494" s="262"/>
      <c r="AL494" s="164"/>
      <c r="AM494" s="164"/>
      <c r="AN494" s="164"/>
      <c r="AO494" s="164"/>
      <c r="AP494" s="164"/>
      <c r="AQ494" s="164"/>
      <c r="AR494" s="164"/>
      <c r="AS494" s="164"/>
      <c r="AT494" s="164"/>
      <c r="AU494" s="164"/>
      <c r="AV494" s="164">
        <f t="shared" ref="AV494:BE494" si="823">SUM(AV465:AV493)</f>
        <v>838.76843399999996</v>
      </c>
      <c r="AW494" s="262">
        <f t="shared" si="823"/>
        <v>800.44254000000001</v>
      </c>
      <c r="AX494" s="164">
        <f t="shared" si="823"/>
        <v>883.55799999999999</v>
      </c>
      <c r="AY494" s="164">
        <f t="shared" si="823"/>
        <v>786.43525499999998</v>
      </c>
      <c r="AZ494" s="164">
        <f t="shared" si="823"/>
        <v>755.28461800000002</v>
      </c>
      <c r="BA494" s="164">
        <f t="shared" si="823"/>
        <v>686.12659499999995</v>
      </c>
      <c r="BB494" s="164">
        <f t="shared" si="823"/>
        <v>697.14429500000006</v>
      </c>
      <c r="BC494" s="164">
        <f t="shared" si="823"/>
        <v>586.77068899999995</v>
      </c>
      <c r="BD494" s="164">
        <f t="shared" si="823"/>
        <v>556.96316899999999</v>
      </c>
      <c r="BE494" s="164">
        <f t="shared" si="823"/>
        <v>558.74318400000004</v>
      </c>
      <c r="BF494" s="164">
        <f t="shared" ref="BF494:BG494" si="824">SUM(BF465:BF493)</f>
        <v>0</v>
      </c>
      <c r="BG494" s="164">
        <f t="shared" si="824"/>
        <v>0</v>
      </c>
      <c r="BH494" s="126"/>
      <c r="BI494" s="126"/>
      <c r="BJ494" s="126"/>
      <c r="BK494" s="126"/>
      <c r="BL494" s="126"/>
      <c r="BO494" s="269">
        <f t="shared" si="821"/>
        <v>1</v>
      </c>
    </row>
    <row r="495" spans="1:67" ht="16" thickBot="1">
      <c r="A495" s="217"/>
      <c r="B495" s="218"/>
      <c r="C495" s="218"/>
      <c r="D495" s="218"/>
      <c r="E495" s="218"/>
      <c r="F495" s="218"/>
      <c r="G495" s="218"/>
      <c r="H495" s="218"/>
      <c r="I495" s="218"/>
      <c r="J495" s="218"/>
      <c r="K495" s="218"/>
      <c r="L495" s="218"/>
      <c r="M495" s="219"/>
      <c r="N495" s="218"/>
      <c r="O495" s="218"/>
      <c r="P495" s="218"/>
      <c r="Q495" s="218"/>
      <c r="R495" s="218"/>
      <c r="S495" s="218"/>
      <c r="T495" s="218"/>
      <c r="U495" s="218"/>
      <c r="V495" s="218"/>
      <c r="W495" s="218"/>
      <c r="X495" s="218"/>
      <c r="Y495" s="219"/>
      <c r="Z495" s="218"/>
      <c r="AA495" s="218"/>
      <c r="AB495" s="218"/>
      <c r="AC495" s="218"/>
      <c r="AD495" s="218"/>
      <c r="AE495" s="218"/>
      <c r="AF495" s="218"/>
      <c r="AG495" s="218"/>
      <c r="AH495" s="218"/>
      <c r="AI495" s="218"/>
      <c r="AJ495" s="218"/>
      <c r="AK495" s="219"/>
      <c r="AL495" s="218"/>
      <c r="AM495" s="218"/>
      <c r="AN495" s="218"/>
      <c r="AO495" s="218"/>
      <c r="AP495" s="218"/>
      <c r="AQ495" s="218"/>
      <c r="AR495" s="218"/>
      <c r="AS495" s="218"/>
      <c r="AT495" s="218"/>
      <c r="AU495" s="218"/>
      <c r="AV495" s="218"/>
      <c r="AW495" s="219"/>
      <c r="AX495" s="218"/>
      <c r="AY495" s="218"/>
      <c r="AZ495" s="218"/>
      <c r="BA495" s="218"/>
      <c r="BB495" s="218"/>
      <c r="BC495" s="218"/>
      <c r="BD495" s="218"/>
      <c r="BE495" s="218"/>
      <c r="BF495" s="218"/>
      <c r="BG495" s="218"/>
      <c r="BH495" s="126"/>
      <c r="BI495" s="126"/>
      <c r="BJ495" s="126"/>
      <c r="BK495" s="126"/>
      <c r="BL495" s="126"/>
      <c r="BO495" s="355"/>
    </row>
    <row r="496" spans="1:67">
      <c r="BH496" s="126"/>
      <c r="BI496" s="126"/>
      <c r="BJ496" s="126"/>
      <c r="BK496" s="126"/>
      <c r="BL496" s="126"/>
    </row>
    <row r="497" spans="1:67">
      <c r="BH497" s="126"/>
      <c r="BI497" s="126"/>
      <c r="BJ497" s="126"/>
      <c r="BK497" s="126"/>
      <c r="BL497" s="126"/>
    </row>
    <row r="498" spans="1:67">
      <c r="A498" s="291" t="s">
        <v>0</v>
      </c>
      <c r="B498" s="413"/>
      <c r="C498" s="413"/>
      <c r="D498" s="413"/>
      <c r="E498" s="413"/>
      <c r="F498" s="413"/>
      <c r="G498" s="413"/>
      <c r="H498" s="413"/>
      <c r="I498" s="413"/>
      <c r="J498" s="413"/>
      <c r="K498" s="413"/>
      <c r="L498" s="413"/>
      <c r="M498" s="413"/>
      <c r="N498" s="413"/>
      <c r="O498" s="413"/>
      <c r="P498" s="413"/>
      <c r="Q498" s="413"/>
      <c r="R498" s="413"/>
      <c r="S498" s="413"/>
      <c r="T498" s="413"/>
      <c r="U498" s="413"/>
      <c r="V498" s="413"/>
      <c r="W498" s="413"/>
      <c r="X498" s="413"/>
      <c r="Y498" s="413"/>
      <c r="Z498" s="413"/>
      <c r="AA498" s="413"/>
      <c r="AB498" s="413"/>
      <c r="AC498" s="413"/>
      <c r="AD498" s="413"/>
      <c r="AE498" s="413"/>
      <c r="AF498" s="413"/>
      <c r="AG498" s="413"/>
      <c r="AH498" s="413"/>
      <c r="AI498" s="413"/>
      <c r="AJ498" s="413"/>
      <c r="AK498" s="413"/>
      <c r="AL498" s="413"/>
      <c r="AM498" s="413"/>
      <c r="AN498" s="413"/>
      <c r="AO498" s="413"/>
      <c r="AP498" s="413"/>
      <c r="AQ498" s="413"/>
      <c r="AR498" s="413"/>
      <c r="AS498" s="413"/>
      <c r="AT498" s="413"/>
      <c r="AU498" s="413"/>
      <c r="AV498" s="413"/>
      <c r="AW498" s="413"/>
      <c r="AX498" s="413"/>
      <c r="AY498" s="413"/>
      <c r="AZ498" s="413"/>
      <c r="BA498" s="413"/>
      <c r="BB498" s="413"/>
      <c r="BC498" s="413"/>
      <c r="BD498" s="413"/>
      <c r="BE498" s="413"/>
      <c r="BF498" s="413"/>
      <c r="BG498" s="413"/>
      <c r="BH498" s="126"/>
      <c r="BI498" s="126"/>
      <c r="BJ498" s="126"/>
      <c r="BK498" s="126"/>
      <c r="BL498" s="126"/>
      <c r="BN498" s="413"/>
      <c r="BO498" s="413"/>
    </row>
    <row r="499" spans="1:67" ht="16" thickBot="1">
      <c r="A499" s="413"/>
      <c r="B499" s="413"/>
      <c r="C499" s="413"/>
      <c r="D499" s="413"/>
      <c r="E499" s="413"/>
      <c r="F499" s="413"/>
      <c r="G499" s="413"/>
      <c r="H499" s="413"/>
      <c r="I499" s="413"/>
      <c r="J499" s="413"/>
      <c r="K499" s="413"/>
      <c r="L499" s="413"/>
      <c r="M499" s="413"/>
      <c r="N499" s="413"/>
      <c r="O499" s="413"/>
      <c r="P499" s="413"/>
      <c r="Q499" s="413"/>
      <c r="R499" s="413"/>
      <c r="S499" s="413"/>
      <c r="T499" s="413"/>
      <c r="U499" s="413"/>
      <c r="V499" s="413"/>
      <c r="W499" s="413"/>
      <c r="X499" s="413"/>
      <c r="Y499" s="413"/>
      <c r="Z499" s="413"/>
      <c r="AA499" s="413"/>
      <c r="AB499" s="413"/>
      <c r="AC499" s="413"/>
      <c r="AD499" s="413"/>
      <c r="AE499" s="413"/>
      <c r="AF499" s="413"/>
      <c r="AG499" s="413"/>
      <c r="AH499" s="413"/>
      <c r="AI499" s="413"/>
      <c r="AJ499" s="413"/>
      <c r="AK499" s="413"/>
      <c r="AL499" s="413"/>
      <c r="AM499" s="413"/>
      <c r="AN499" s="413"/>
      <c r="AO499" s="413"/>
      <c r="AP499" s="413"/>
      <c r="AQ499" s="413"/>
      <c r="AR499" s="413"/>
      <c r="AS499" s="413"/>
      <c r="AT499" s="413"/>
      <c r="AU499" s="413"/>
      <c r="AV499" s="413"/>
      <c r="AW499" s="413"/>
      <c r="AX499" s="413"/>
      <c r="AY499" s="413"/>
      <c r="AZ499" s="413"/>
      <c r="BA499" s="413"/>
      <c r="BB499" s="413"/>
      <c r="BC499" s="413"/>
      <c r="BD499" s="413"/>
      <c r="BE499" s="413"/>
      <c r="BF499" s="413"/>
      <c r="BG499" s="413"/>
      <c r="BH499" s="126"/>
      <c r="BI499" s="126"/>
      <c r="BJ499" s="126"/>
      <c r="BK499" s="126"/>
      <c r="BL499" s="126"/>
      <c r="BN499" s="413"/>
      <c r="BO499" s="413"/>
    </row>
    <row r="500" spans="1:67" ht="16">
      <c r="A500" s="523" t="s">
        <v>150</v>
      </c>
      <c r="B500" s="524">
        <v>39448</v>
      </c>
      <c r="C500" s="524">
        <v>39479</v>
      </c>
      <c r="D500" s="524">
        <v>39508</v>
      </c>
      <c r="E500" s="524">
        <v>39539</v>
      </c>
      <c r="F500" s="524">
        <v>39569</v>
      </c>
      <c r="G500" s="524">
        <v>39600</v>
      </c>
      <c r="H500" s="524">
        <v>39630</v>
      </c>
      <c r="I500" s="524">
        <v>39661</v>
      </c>
      <c r="J500" s="524">
        <v>39692</v>
      </c>
      <c r="K500" s="524">
        <v>39722</v>
      </c>
      <c r="L500" s="524">
        <v>39753</v>
      </c>
      <c r="M500" s="525">
        <v>39783</v>
      </c>
      <c r="N500" s="524">
        <v>39814</v>
      </c>
      <c r="O500" s="524">
        <v>39845</v>
      </c>
      <c r="P500" s="524">
        <v>39873</v>
      </c>
      <c r="Q500" s="524">
        <v>39904</v>
      </c>
      <c r="R500" s="524">
        <v>39934</v>
      </c>
      <c r="S500" s="524">
        <v>39965</v>
      </c>
      <c r="T500" s="524">
        <v>39995</v>
      </c>
      <c r="U500" s="524">
        <v>40026</v>
      </c>
      <c r="V500" s="524">
        <v>40057</v>
      </c>
      <c r="W500" s="524">
        <v>40087</v>
      </c>
      <c r="X500" s="524">
        <v>40118</v>
      </c>
      <c r="Y500" s="525">
        <v>40148</v>
      </c>
      <c r="Z500" s="524">
        <v>40179</v>
      </c>
      <c r="AA500" s="524">
        <v>40210</v>
      </c>
      <c r="AB500" s="524">
        <v>40238</v>
      </c>
      <c r="AC500" s="524">
        <v>40269</v>
      </c>
      <c r="AD500" s="524">
        <v>40299</v>
      </c>
      <c r="AE500" s="524">
        <v>40330</v>
      </c>
      <c r="AF500" s="524">
        <v>40360</v>
      </c>
      <c r="AG500" s="524">
        <v>40391</v>
      </c>
      <c r="AH500" s="524">
        <v>40422</v>
      </c>
      <c r="AI500" s="524">
        <v>40452</v>
      </c>
      <c r="AJ500" s="524">
        <v>40483</v>
      </c>
      <c r="AK500" s="525">
        <v>40513</v>
      </c>
      <c r="AL500" s="524">
        <v>40544</v>
      </c>
      <c r="AM500" s="524">
        <v>40575</v>
      </c>
      <c r="AN500" s="524">
        <v>40603</v>
      </c>
      <c r="AO500" s="524">
        <v>40634</v>
      </c>
      <c r="AP500" s="524">
        <v>40664</v>
      </c>
      <c r="AQ500" s="524">
        <v>40695</v>
      </c>
      <c r="AR500" s="524">
        <v>40725</v>
      </c>
      <c r="AS500" s="524">
        <v>40756</v>
      </c>
      <c r="AT500" s="524">
        <v>40787</v>
      </c>
      <c r="AU500" s="524">
        <v>40817</v>
      </c>
      <c r="AV500" s="524">
        <v>40848</v>
      </c>
      <c r="AW500" s="525">
        <v>40878</v>
      </c>
      <c r="AX500" s="524">
        <v>40909</v>
      </c>
      <c r="AY500" s="101">
        <v>40940</v>
      </c>
      <c r="AZ500" s="101">
        <v>40969</v>
      </c>
      <c r="BA500" s="101">
        <v>41000</v>
      </c>
      <c r="BB500" s="101">
        <v>41030</v>
      </c>
      <c r="BC500" s="101">
        <v>41061</v>
      </c>
      <c r="BD500" s="101">
        <v>41091</v>
      </c>
      <c r="BE500" s="101">
        <v>41122</v>
      </c>
      <c r="BF500" s="101">
        <v>41153</v>
      </c>
      <c r="BG500" s="101">
        <v>41183</v>
      </c>
      <c r="BH500" s="126"/>
      <c r="BI500" s="126"/>
      <c r="BJ500" s="126"/>
      <c r="BK500" s="126"/>
      <c r="BL500" s="126"/>
      <c r="BN500" s="413"/>
      <c r="BO500" s="362" t="s">
        <v>380</v>
      </c>
    </row>
    <row r="501" spans="1:67">
      <c r="A501" s="526"/>
      <c r="B501" s="413"/>
      <c r="C501" s="413"/>
      <c r="D501" s="413"/>
      <c r="E501" s="413"/>
      <c r="F501" s="413"/>
      <c r="G501" s="413"/>
      <c r="H501" s="413"/>
      <c r="I501" s="413"/>
      <c r="J501" s="413"/>
      <c r="K501" s="413"/>
      <c r="L501" s="413"/>
      <c r="M501" s="527"/>
      <c r="N501" s="413"/>
      <c r="O501" s="413"/>
      <c r="P501" s="413"/>
      <c r="Q501" s="413"/>
      <c r="R501" s="413"/>
      <c r="S501" s="413"/>
      <c r="T501" s="413"/>
      <c r="U501" s="413"/>
      <c r="V501" s="413"/>
      <c r="W501" s="413"/>
      <c r="X501" s="413"/>
      <c r="Y501" s="527"/>
      <c r="Z501" s="413"/>
      <c r="AA501" s="413"/>
      <c r="AB501" s="413"/>
      <c r="AC501" s="413"/>
      <c r="AD501" s="413"/>
      <c r="AE501" s="413"/>
      <c r="AF501" s="413"/>
      <c r="AG501" s="413"/>
      <c r="AH501" s="413"/>
      <c r="AI501" s="413"/>
      <c r="AJ501" s="413"/>
      <c r="AK501" s="527"/>
      <c r="AL501" s="413"/>
      <c r="AM501" s="413"/>
      <c r="AN501" s="413"/>
      <c r="AO501" s="413"/>
      <c r="AP501" s="413"/>
      <c r="AQ501" s="413"/>
      <c r="AR501" s="413"/>
      <c r="AS501" s="413"/>
      <c r="AT501" s="413"/>
      <c r="AU501" s="413"/>
      <c r="AV501" s="413"/>
      <c r="AW501" s="527"/>
      <c r="AX501" s="413"/>
      <c r="AY501" s="413"/>
      <c r="AZ501" s="413"/>
      <c r="BA501" s="413"/>
      <c r="BB501" s="413"/>
      <c r="BC501" s="413"/>
      <c r="BD501" s="413"/>
      <c r="BE501" s="413"/>
      <c r="BF501" s="413"/>
      <c r="BG501" s="413"/>
      <c r="BH501" s="126"/>
      <c r="BI501" s="126"/>
      <c r="BJ501" s="126"/>
      <c r="BK501" s="126"/>
      <c r="BL501" s="126"/>
      <c r="BN501" s="413"/>
      <c r="BO501" s="267"/>
    </row>
    <row r="502" spans="1:67">
      <c r="A502" s="528" t="s">
        <v>23</v>
      </c>
      <c r="B502" s="529"/>
      <c r="C502" s="529"/>
      <c r="D502" s="529"/>
      <c r="E502" s="529"/>
      <c r="F502" s="529"/>
      <c r="G502" s="529"/>
      <c r="H502" s="529"/>
      <c r="I502" s="529"/>
      <c r="J502" s="529"/>
      <c r="K502" s="529"/>
      <c r="L502" s="529"/>
      <c r="M502" s="530"/>
      <c r="N502" s="529"/>
      <c r="O502" s="529"/>
      <c r="P502" s="529"/>
      <c r="Q502" s="529"/>
      <c r="R502" s="529"/>
      <c r="S502" s="529"/>
      <c r="T502" s="529"/>
      <c r="U502" s="529"/>
      <c r="V502" s="529"/>
      <c r="W502" s="529"/>
      <c r="X502" s="529"/>
      <c r="Y502" s="530"/>
      <c r="Z502" s="529"/>
      <c r="AA502" s="529"/>
      <c r="AB502" s="529"/>
      <c r="AC502" s="529"/>
      <c r="AD502" s="529"/>
      <c r="AE502" s="529"/>
      <c r="AF502" s="529"/>
      <c r="AG502" s="529"/>
      <c r="AH502" s="529"/>
      <c r="AI502" s="529"/>
      <c r="AJ502" s="529"/>
      <c r="AK502" s="530"/>
      <c r="AL502" s="529"/>
      <c r="AM502" s="529"/>
      <c r="AN502" s="529"/>
      <c r="AO502" s="529"/>
      <c r="AP502" s="529"/>
      <c r="AQ502" s="529"/>
      <c r="AR502" s="529"/>
      <c r="AS502" s="529"/>
      <c r="AT502" s="529"/>
      <c r="AU502" s="529"/>
      <c r="AV502" s="529">
        <f t="shared" ref="AV502:BE502" si="825">AV430+AV465</f>
        <v>216.65920061579999</v>
      </c>
      <c r="AW502" s="530">
        <f t="shared" si="825"/>
        <v>218.5597631617</v>
      </c>
      <c r="AX502" s="529">
        <f t="shared" si="825"/>
        <v>260.16514340000003</v>
      </c>
      <c r="AY502" s="529">
        <f t="shared" si="825"/>
        <v>248.62147579299997</v>
      </c>
      <c r="AZ502" s="529">
        <f t="shared" si="825"/>
        <v>233.65391641800002</v>
      </c>
      <c r="BA502" s="529">
        <f t="shared" si="825"/>
        <v>223.107446001</v>
      </c>
      <c r="BB502" s="529">
        <f t="shared" si="825"/>
        <v>224.4106635288</v>
      </c>
      <c r="BC502" s="529">
        <f t="shared" si="825"/>
        <v>191.92622767340001</v>
      </c>
      <c r="BD502" s="529">
        <f t="shared" si="825"/>
        <v>199.0881691454</v>
      </c>
      <c r="BE502" s="529">
        <f t="shared" si="825"/>
        <v>215.15836621140002</v>
      </c>
      <c r="BF502" s="529"/>
      <c r="BG502" s="529"/>
      <c r="BH502" s="126"/>
      <c r="BI502" s="126"/>
      <c r="BJ502" s="126"/>
      <c r="BK502" s="126"/>
      <c r="BL502" s="126"/>
      <c r="BN502" s="413"/>
      <c r="BO502" s="268">
        <f>SUM(AS502:BE502)/SUM(AS$526:BE$526)</f>
        <v>0.27043650930363372</v>
      </c>
    </row>
    <row r="503" spans="1:67">
      <c r="A503" s="528" t="s">
        <v>247</v>
      </c>
      <c r="B503" s="529"/>
      <c r="C503" s="529"/>
      <c r="D503" s="529"/>
      <c r="E503" s="529"/>
      <c r="F503" s="529"/>
      <c r="G503" s="529"/>
      <c r="H503" s="529"/>
      <c r="I503" s="529"/>
      <c r="J503" s="529"/>
      <c r="K503" s="529"/>
      <c r="L503" s="529"/>
      <c r="M503" s="530"/>
      <c r="N503" s="529"/>
      <c r="O503" s="529"/>
      <c r="P503" s="529"/>
      <c r="Q503" s="529"/>
      <c r="R503" s="529"/>
      <c r="S503" s="529"/>
      <c r="T503" s="529"/>
      <c r="U503" s="529"/>
      <c r="V503" s="529"/>
      <c r="W503" s="529"/>
      <c r="X503" s="529"/>
      <c r="Y503" s="530"/>
      <c r="Z503" s="529"/>
      <c r="AA503" s="529"/>
      <c r="AB503" s="529"/>
      <c r="AC503" s="529"/>
      <c r="AD503" s="529"/>
      <c r="AE503" s="529"/>
      <c r="AF503" s="529"/>
      <c r="AG503" s="529"/>
      <c r="AH503" s="529"/>
      <c r="AI503" s="529"/>
      <c r="AJ503" s="529"/>
      <c r="AK503" s="530"/>
      <c r="AL503" s="529"/>
      <c r="AM503" s="529"/>
      <c r="AN503" s="529"/>
      <c r="AO503" s="529"/>
      <c r="AP503" s="529"/>
      <c r="AQ503" s="529"/>
      <c r="AR503" s="529"/>
      <c r="AS503" s="529"/>
      <c r="AT503" s="529"/>
      <c r="AU503" s="529"/>
      <c r="AV503" s="529">
        <f t="shared" ref="AV503:BE503" si="826">AV431+AV466</f>
        <v>129.07261865039999</v>
      </c>
      <c r="AW503" s="530">
        <f t="shared" si="826"/>
        <v>127.3482087934</v>
      </c>
      <c r="AX503" s="529">
        <f t="shared" si="826"/>
        <v>129.9759478</v>
      </c>
      <c r="AY503" s="529">
        <f t="shared" si="826"/>
        <v>112.8390341798</v>
      </c>
      <c r="AZ503" s="529">
        <f t="shared" si="826"/>
        <v>111.069366333</v>
      </c>
      <c r="BA503" s="529">
        <f t="shared" si="826"/>
        <v>106.0128232548</v>
      </c>
      <c r="BB503" s="529">
        <f t="shared" si="826"/>
        <v>110.90942607520002</v>
      </c>
      <c r="BC503" s="529">
        <f t="shared" si="826"/>
        <v>92.04159958839999</v>
      </c>
      <c r="BD503" s="529">
        <f t="shared" si="826"/>
        <v>84.989782201500006</v>
      </c>
      <c r="BE503" s="529">
        <f t="shared" si="826"/>
        <v>80.623720960200004</v>
      </c>
      <c r="BF503" s="529"/>
      <c r="BG503" s="529"/>
      <c r="BH503" s="126"/>
      <c r="BI503" s="126"/>
      <c r="BJ503" s="126"/>
      <c r="BK503" s="126"/>
      <c r="BL503" s="126"/>
      <c r="BN503" s="413"/>
      <c r="BO503" s="268">
        <f t="shared" ref="BO503:BO526" si="827">SUM(AS503:BE503)/SUM(AS$526:BE$526)</f>
        <v>0.13148622803529442</v>
      </c>
    </row>
    <row r="504" spans="1:67">
      <c r="A504" s="528" t="s">
        <v>90</v>
      </c>
      <c r="B504" s="529"/>
      <c r="C504" s="529"/>
      <c r="D504" s="529"/>
      <c r="E504" s="529"/>
      <c r="F504" s="529"/>
      <c r="G504" s="529"/>
      <c r="H504" s="529"/>
      <c r="I504" s="529"/>
      <c r="J504" s="529"/>
      <c r="K504" s="529"/>
      <c r="L504" s="529"/>
      <c r="M504" s="530"/>
      <c r="N504" s="529"/>
      <c r="O504" s="529"/>
      <c r="P504" s="529"/>
      <c r="Q504" s="529"/>
      <c r="R504" s="529"/>
      <c r="S504" s="529"/>
      <c r="T504" s="529"/>
      <c r="U504" s="529"/>
      <c r="V504" s="529"/>
      <c r="W504" s="529"/>
      <c r="X504" s="529"/>
      <c r="Y504" s="530"/>
      <c r="Z504" s="529"/>
      <c r="AA504" s="529"/>
      <c r="AB504" s="529"/>
      <c r="AC504" s="529"/>
      <c r="AD504" s="529"/>
      <c r="AE504" s="529"/>
      <c r="AF504" s="529"/>
      <c r="AG504" s="529"/>
      <c r="AH504" s="529"/>
      <c r="AI504" s="529"/>
      <c r="AJ504" s="529"/>
      <c r="AK504" s="530"/>
      <c r="AL504" s="529"/>
      <c r="AM504" s="529"/>
      <c r="AN504" s="529"/>
      <c r="AO504" s="529"/>
      <c r="AP504" s="529"/>
      <c r="AQ504" s="529"/>
      <c r="AR504" s="529"/>
      <c r="AS504" s="529"/>
      <c r="AT504" s="529"/>
      <c r="AU504" s="529"/>
      <c r="AV504" s="529">
        <f t="shared" ref="AV504:BE504" si="828">AV432+AV468</f>
        <v>77.006014684499988</v>
      </c>
      <c r="AW504" s="530">
        <f t="shared" si="828"/>
        <v>72.586896300099994</v>
      </c>
      <c r="AX504" s="529">
        <f t="shared" si="828"/>
        <v>77.786788799999997</v>
      </c>
      <c r="AY504" s="529">
        <f t="shared" si="828"/>
        <v>63.422404740499999</v>
      </c>
      <c r="AZ504" s="529">
        <f t="shared" si="828"/>
        <v>58.846743421399999</v>
      </c>
      <c r="BA504" s="529">
        <f t="shared" si="828"/>
        <v>52.444149994499995</v>
      </c>
      <c r="BB504" s="529">
        <f t="shared" si="828"/>
        <v>52.531159091600003</v>
      </c>
      <c r="BC504" s="529">
        <f t="shared" si="828"/>
        <v>45.916014801899991</v>
      </c>
      <c r="BD504" s="529">
        <f t="shared" si="828"/>
        <v>48.554830009100002</v>
      </c>
      <c r="BE504" s="529">
        <f t="shared" si="828"/>
        <v>45.632801321400002</v>
      </c>
      <c r="BF504" s="529"/>
      <c r="BG504" s="529"/>
      <c r="BH504" s="126"/>
      <c r="BI504" s="126"/>
      <c r="BJ504" s="126"/>
      <c r="BK504" s="126"/>
      <c r="BL504" s="126"/>
      <c r="BN504" s="413"/>
      <c r="BO504" s="268">
        <f t="shared" si="827"/>
        <v>7.2080168626011423E-2</v>
      </c>
    </row>
    <row r="505" spans="1:67">
      <c r="A505" s="5" t="s">
        <v>58</v>
      </c>
      <c r="B505" s="529"/>
      <c r="C505" s="529"/>
      <c r="D505" s="529"/>
      <c r="E505" s="529"/>
      <c r="F505" s="529"/>
      <c r="G505" s="529"/>
      <c r="H505" s="529"/>
      <c r="I505" s="529"/>
      <c r="J505" s="529"/>
      <c r="K505" s="529"/>
      <c r="L505" s="529"/>
      <c r="M505" s="530"/>
      <c r="N505" s="529"/>
      <c r="O505" s="529"/>
      <c r="P505" s="529"/>
      <c r="Q505" s="529"/>
      <c r="R505" s="529"/>
      <c r="S505" s="529"/>
      <c r="T505" s="529"/>
      <c r="U505" s="529"/>
      <c r="V505" s="529"/>
      <c r="W505" s="529"/>
      <c r="X505" s="529"/>
      <c r="Y505" s="530"/>
      <c r="Z505" s="529"/>
      <c r="AA505" s="529"/>
      <c r="AB505" s="529"/>
      <c r="AC505" s="529"/>
      <c r="AD505" s="529"/>
      <c r="AE505" s="529"/>
      <c r="AF505" s="529"/>
      <c r="AG505" s="529"/>
      <c r="AH505" s="529"/>
      <c r="AI505" s="529"/>
      <c r="AJ505" s="529"/>
      <c r="AK505" s="530"/>
      <c r="AL505" s="529"/>
      <c r="AM505" s="529"/>
      <c r="AN505" s="529"/>
      <c r="AO505" s="529"/>
      <c r="AP505" s="529"/>
      <c r="AQ505" s="529"/>
      <c r="AR505" s="529"/>
      <c r="AS505" s="529"/>
      <c r="AT505" s="529"/>
      <c r="AU505" s="529"/>
      <c r="AV505" s="1"/>
      <c r="AW505" s="2"/>
      <c r="AX505" s="1"/>
      <c r="AY505" s="1"/>
      <c r="AZ505" s="1"/>
      <c r="BA505" s="1"/>
      <c r="BB505" s="529">
        <f>BB434+BB467</f>
        <v>62.725491662500005</v>
      </c>
      <c r="BC505" s="529">
        <f>BC434+BC467</f>
        <v>51.355182417699993</v>
      </c>
      <c r="BD505" s="529">
        <f>BD434+BD467</f>
        <v>41.699376107500001</v>
      </c>
      <c r="BE505" s="529">
        <f>BE434+BE467</f>
        <v>39.038002603200006</v>
      </c>
      <c r="BF505" s="529"/>
      <c r="BG505" s="529"/>
      <c r="BH505" s="126"/>
      <c r="BI505" s="126"/>
      <c r="BJ505" s="126"/>
      <c r="BK505" s="126"/>
      <c r="BL505" s="126"/>
      <c r="BN505" s="413"/>
      <c r="BO505" s="268">
        <f t="shared" si="827"/>
        <v>2.3611672469032598E-2</v>
      </c>
    </row>
    <row r="506" spans="1:67">
      <c r="A506" s="528" t="s">
        <v>2</v>
      </c>
      <c r="B506" s="529"/>
      <c r="C506" s="529"/>
      <c r="D506" s="529"/>
      <c r="E506" s="529"/>
      <c r="F506" s="529"/>
      <c r="G506" s="529"/>
      <c r="H506" s="529"/>
      <c r="I506" s="529"/>
      <c r="J506" s="529"/>
      <c r="K506" s="529"/>
      <c r="L506" s="529"/>
      <c r="M506" s="530"/>
      <c r="N506" s="529"/>
      <c r="O506" s="529"/>
      <c r="P506" s="529"/>
      <c r="Q506" s="529"/>
      <c r="R506" s="529"/>
      <c r="S506" s="529"/>
      <c r="T506" s="529"/>
      <c r="U506" s="529"/>
      <c r="V506" s="529"/>
      <c r="W506" s="529"/>
      <c r="X506" s="529"/>
      <c r="Y506" s="530"/>
      <c r="Z506" s="529"/>
      <c r="AA506" s="529"/>
      <c r="AB506" s="529"/>
      <c r="AC506" s="529"/>
      <c r="AD506" s="529"/>
      <c r="AE506" s="529"/>
      <c r="AF506" s="529"/>
      <c r="AG506" s="529"/>
      <c r="AH506" s="529"/>
      <c r="AI506" s="529"/>
      <c r="AJ506" s="529"/>
      <c r="AK506" s="530"/>
      <c r="AL506" s="529"/>
      <c r="AM506" s="529"/>
      <c r="AN506" s="529"/>
      <c r="AO506" s="529"/>
      <c r="AP506" s="529"/>
      <c r="AQ506" s="529"/>
      <c r="AR506" s="529"/>
      <c r="AS506" s="529"/>
      <c r="AT506" s="529"/>
      <c r="AU506" s="529"/>
      <c r="AV506" s="529">
        <f t="shared" ref="AV506:BE506" si="829">AV433+AV469</f>
        <v>43.817649795299999</v>
      </c>
      <c r="AW506" s="530">
        <f t="shared" si="829"/>
        <v>41.691866673999996</v>
      </c>
      <c r="AX506" s="529">
        <f t="shared" si="829"/>
        <v>46.763212600000003</v>
      </c>
      <c r="AY506" s="529">
        <f t="shared" si="829"/>
        <v>41.501371884799994</v>
      </c>
      <c r="AZ506" s="529">
        <f t="shared" si="829"/>
        <v>37.624143896299998</v>
      </c>
      <c r="BA506" s="529">
        <f t="shared" si="829"/>
        <v>35.766368068200002</v>
      </c>
      <c r="BB506" s="529">
        <f t="shared" si="829"/>
        <v>36.077930102400003</v>
      </c>
      <c r="BC506" s="529">
        <f t="shared" si="829"/>
        <v>31.957929943899998</v>
      </c>
      <c r="BD506" s="529">
        <f t="shared" si="829"/>
        <v>28.520044972899999</v>
      </c>
      <c r="BE506" s="529">
        <f t="shared" si="829"/>
        <v>30.373256449199999</v>
      </c>
      <c r="BF506" s="529"/>
      <c r="BG506" s="529"/>
      <c r="BH506" s="126"/>
      <c r="BI506" s="126"/>
      <c r="BJ506" s="126"/>
      <c r="BK506" s="126"/>
      <c r="BL506" s="126"/>
      <c r="BN506" s="413"/>
      <c r="BO506" s="268">
        <f t="shared" si="827"/>
        <v>4.5339636378619062E-2</v>
      </c>
    </row>
    <row r="507" spans="1:67">
      <c r="A507" s="528" t="s">
        <v>24</v>
      </c>
      <c r="B507" s="529"/>
      <c r="C507" s="529"/>
      <c r="D507" s="529"/>
      <c r="E507" s="529"/>
      <c r="F507" s="529"/>
      <c r="G507" s="529"/>
      <c r="H507" s="529"/>
      <c r="I507" s="529"/>
      <c r="J507" s="529"/>
      <c r="K507" s="529"/>
      <c r="L507" s="529"/>
      <c r="M507" s="530"/>
      <c r="N507" s="529"/>
      <c r="O507" s="529"/>
      <c r="P507" s="529"/>
      <c r="Q507" s="529"/>
      <c r="R507" s="529"/>
      <c r="S507" s="529"/>
      <c r="T507" s="529"/>
      <c r="U507" s="529"/>
      <c r="V507" s="529"/>
      <c r="W507" s="529"/>
      <c r="X507" s="529"/>
      <c r="Y507" s="530"/>
      <c r="Z507" s="529"/>
      <c r="AA507" s="529"/>
      <c r="AB507" s="529"/>
      <c r="AC507" s="529"/>
      <c r="AD507" s="529"/>
      <c r="AE507" s="529"/>
      <c r="AF507" s="529"/>
      <c r="AG507" s="529"/>
      <c r="AH507" s="529"/>
      <c r="AI507" s="529"/>
      <c r="AJ507" s="529"/>
      <c r="AK507" s="530"/>
      <c r="AL507" s="529"/>
      <c r="AM507" s="529"/>
      <c r="AN507" s="529"/>
      <c r="AO507" s="529"/>
      <c r="AP507" s="529"/>
      <c r="AQ507" s="529"/>
      <c r="AR507" s="529"/>
      <c r="AS507" s="529"/>
      <c r="AT507" s="529"/>
      <c r="AU507" s="529"/>
      <c r="AV507" s="529">
        <f t="shared" ref="AV507:BE507" si="830">AV446+AV474</f>
        <v>65.201896797149999</v>
      </c>
      <c r="AW507" s="530">
        <f t="shared" si="830"/>
        <v>60.808672461199997</v>
      </c>
      <c r="AX507" s="529">
        <f t="shared" si="830"/>
        <v>69.345339600000003</v>
      </c>
      <c r="AY507" s="529">
        <f t="shared" si="830"/>
        <v>59.767184932699998</v>
      </c>
      <c r="AZ507" s="529">
        <f t="shared" si="830"/>
        <v>21.2266464398</v>
      </c>
      <c r="BA507" s="529">
        <f t="shared" si="830"/>
        <v>16.698230260799999</v>
      </c>
      <c r="BB507" s="529">
        <f t="shared" si="830"/>
        <v>20.165321848799998</v>
      </c>
      <c r="BC507" s="529">
        <f t="shared" si="830"/>
        <v>18.515497538199998</v>
      </c>
      <c r="BD507" s="529">
        <f t="shared" si="830"/>
        <v>8.7952534721000006</v>
      </c>
      <c r="BE507" s="529">
        <f t="shared" si="830"/>
        <v>6.7311323628000004</v>
      </c>
      <c r="BF507" s="529"/>
      <c r="BG507" s="529"/>
      <c r="BH507" s="126"/>
      <c r="BI507" s="126"/>
      <c r="BJ507" s="126"/>
      <c r="BK507" s="126"/>
      <c r="BL507" s="126"/>
      <c r="BN507" s="413"/>
      <c r="BO507" s="268">
        <f t="shared" si="827"/>
        <v>4.2086836176958728E-2</v>
      </c>
    </row>
    <row r="508" spans="1:67">
      <c r="A508" s="528" t="s">
        <v>3</v>
      </c>
      <c r="B508" s="529"/>
      <c r="C508" s="529"/>
      <c r="D508" s="529"/>
      <c r="E508" s="529"/>
      <c r="F508" s="529"/>
      <c r="G508" s="529"/>
      <c r="H508" s="529"/>
      <c r="I508" s="529"/>
      <c r="J508" s="529"/>
      <c r="K508" s="529"/>
      <c r="L508" s="529"/>
      <c r="M508" s="530"/>
      <c r="N508" s="529"/>
      <c r="O508" s="529"/>
      <c r="P508" s="529"/>
      <c r="Q508" s="529"/>
      <c r="R508" s="529"/>
      <c r="S508" s="529"/>
      <c r="T508" s="529"/>
      <c r="U508" s="529"/>
      <c r="V508" s="529"/>
      <c r="W508" s="529"/>
      <c r="X508" s="529"/>
      <c r="Y508" s="530"/>
      <c r="Z508" s="529"/>
      <c r="AA508" s="529"/>
      <c r="AB508" s="529"/>
      <c r="AC508" s="529"/>
      <c r="AD508" s="529"/>
      <c r="AE508" s="529"/>
      <c r="AF508" s="529"/>
      <c r="AG508" s="529"/>
      <c r="AH508" s="529"/>
      <c r="AI508" s="529"/>
      <c r="AJ508" s="529"/>
      <c r="AK508" s="530"/>
      <c r="AL508" s="529"/>
      <c r="AM508" s="529"/>
      <c r="AN508" s="529"/>
      <c r="AO508" s="529"/>
      <c r="AP508" s="529"/>
      <c r="AQ508" s="529"/>
      <c r="AR508" s="529"/>
      <c r="AS508" s="529"/>
      <c r="AT508" s="529"/>
      <c r="AU508" s="529"/>
      <c r="AV508" s="529">
        <f t="shared" ref="AV508:BE508" si="831">AV435+AV470</f>
        <v>40.820774157300008</v>
      </c>
      <c r="AW508" s="530">
        <f t="shared" si="831"/>
        <v>38.625232838899997</v>
      </c>
      <c r="AX508" s="529">
        <f t="shared" si="831"/>
        <v>46.145528800000001</v>
      </c>
      <c r="AY508" s="529">
        <f t="shared" si="831"/>
        <v>36.559745255500005</v>
      </c>
      <c r="AZ508" s="529">
        <f t="shared" si="831"/>
        <v>34.1266735504</v>
      </c>
      <c r="BA508" s="529">
        <f t="shared" si="831"/>
        <v>30.389953390499997</v>
      </c>
      <c r="BB508" s="529">
        <f t="shared" si="831"/>
        <v>29.017006766700003</v>
      </c>
      <c r="BC508" s="529">
        <f t="shared" si="831"/>
        <v>22.210959953199996</v>
      </c>
      <c r="BD508" s="529">
        <f t="shared" si="831"/>
        <v>22.068811989899999</v>
      </c>
      <c r="BE508" s="529">
        <f t="shared" si="831"/>
        <v>22.388366645400001</v>
      </c>
      <c r="BF508" s="529"/>
      <c r="BG508" s="529"/>
      <c r="BH508" s="126"/>
      <c r="BI508" s="126"/>
      <c r="BJ508" s="126"/>
      <c r="BK508" s="126"/>
      <c r="BL508" s="126"/>
      <c r="BN508" s="413"/>
      <c r="BO508" s="268">
        <f t="shared" si="827"/>
        <v>3.9068734165052542E-2</v>
      </c>
    </row>
    <row r="509" spans="1:67">
      <c r="A509" s="528" t="s">
        <v>4</v>
      </c>
      <c r="B509" s="529"/>
      <c r="C509" s="529"/>
      <c r="D509" s="529"/>
      <c r="E509" s="529"/>
      <c r="F509" s="529"/>
      <c r="G509" s="529"/>
      <c r="H509" s="529"/>
      <c r="I509" s="529"/>
      <c r="J509" s="529"/>
      <c r="K509" s="529"/>
      <c r="L509" s="529"/>
      <c r="M509" s="530"/>
      <c r="N509" s="529"/>
      <c r="O509" s="529"/>
      <c r="P509" s="529"/>
      <c r="Q509" s="529"/>
      <c r="R509" s="529"/>
      <c r="S509" s="529"/>
      <c r="T509" s="529"/>
      <c r="U509" s="529"/>
      <c r="V509" s="529"/>
      <c r="W509" s="529"/>
      <c r="X509" s="529"/>
      <c r="Y509" s="530"/>
      <c r="Z509" s="529"/>
      <c r="AA509" s="529"/>
      <c r="AB509" s="529"/>
      <c r="AC509" s="529"/>
      <c r="AD509" s="529"/>
      <c r="AE509" s="529"/>
      <c r="AF509" s="529"/>
      <c r="AG509" s="529"/>
      <c r="AH509" s="529"/>
      <c r="AI509" s="529"/>
      <c r="AJ509" s="529"/>
      <c r="AK509" s="530"/>
      <c r="AL509" s="529"/>
      <c r="AM509" s="529"/>
      <c r="AN509" s="529"/>
      <c r="AO509" s="529"/>
      <c r="AP509" s="529"/>
      <c r="AQ509" s="529"/>
      <c r="AR509" s="529"/>
      <c r="AS509" s="529"/>
      <c r="AT509" s="529"/>
      <c r="AU509" s="529"/>
      <c r="AV509" s="529">
        <f>AV455+AV492</f>
        <v>45.570117578399994</v>
      </c>
      <c r="AW509" s="530">
        <f>AW455+AW492</f>
        <v>41.496190350900001</v>
      </c>
      <c r="AX509" s="529">
        <f>AX455+AX492</f>
        <v>19.329447200000001</v>
      </c>
      <c r="AY509" s="1"/>
      <c r="AZ509" s="1"/>
      <c r="BA509" s="1"/>
      <c r="BB509" s="1"/>
      <c r="BC509" s="1"/>
      <c r="BD509" s="1"/>
      <c r="BE509" s="1"/>
      <c r="BF509" s="1"/>
      <c r="BG509" s="1"/>
      <c r="BH509" s="126"/>
      <c r="BI509" s="126"/>
      <c r="BJ509" s="126"/>
      <c r="BK509" s="126"/>
      <c r="BL509" s="126"/>
      <c r="BN509" s="413"/>
      <c r="BO509" s="268">
        <f t="shared" si="827"/>
        <v>1.289501504721831E-2</v>
      </c>
    </row>
    <row r="510" spans="1:67">
      <c r="A510" s="528" t="s">
        <v>5</v>
      </c>
      <c r="B510" s="529"/>
      <c r="C510" s="529"/>
      <c r="D510" s="529"/>
      <c r="E510" s="529"/>
      <c r="F510" s="529"/>
      <c r="G510" s="529"/>
      <c r="H510" s="529"/>
      <c r="I510" s="529"/>
      <c r="J510" s="529"/>
      <c r="K510" s="529"/>
      <c r="L510" s="529"/>
      <c r="M510" s="530"/>
      <c r="N510" s="529"/>
      <c r="O510" s="529"/>
      <c r="P510" s="529"/>
      <c r="Q510" s="529"/>
      <c r="R510" s="529"/>
      <c r="S510" s="529"/>
      <c r="T510" s="529"/>
      <c r="U510" s="529"/>
      <c r="V510" s="529"/>
      <c r="W510" s="529"/>
      <c r="X510" s="529"/>
      <c r="Y510" s="530"/>
      <c r="Z510" s="529"/>
      <c r="AA510" s="529"/>
      <c r="AB510" s="529"/>
      <c r="AC510" s="529"/>
      <c r="AD510" s="529"/>
      <c r="AE510" s="529"/>
      <c r="AF510" s="529"/>
      <c r="AG510" s="529"/>
      <c r="AH510" s="529"/>
      <c r="AI510" s="529"/>
      <c r="AJ510" s="529"/>
      <c r="AK510" s="530"/>
      <c r="AL510" s="529"/>
      <c r="AM510" s="529"/>
      <c r="AN510" s="529"/>
      <c r="AO510" s="529"/>
      <c r="AP510" s="529"/>
      <c r="AQ510" s="529"/>
      <c r="AR510" s="529"/>
      <c r="AS510" s="529"/>
      <c r="AT510" s="529"/>
      <c r="AU510" s="529"/>
      <c r="AV510" s="529">
        <f t="shared" ref="AV510:BE510" si="832">AV443+AV483</f>
        <v>44.532654533699997</v>
      </c>
      <c r="AW510" s="530">
        <f t="shared" si="832"/>
        <v>43.671840267</v>
      </c>
      <c r="AX510" s="529">
        <f t="shared" si="832"/>
        <v>48.833967399999999</v>
      </c>
      <c r="AY510" s="529">
        <f t="shared" si="832"/>
        <v>47.130270738599997</v>
      </c>
      <c r="AZ510" s="529">
        <f t="shared" si="832"/>
        <v>46.640237987200003</v>
      </c>
      <c r="BA510" s="529">
        <f t="shared" si="832"/>
        <v>33.406366728900004</v>
      </c>
      <c r="BB510" s="529">
        <f t="shared" si="832"/>
        <v>7.7680840045000004</v>
      </c>
      <c r="BC510" s="529">
        <f t="shared" si="832"/>
        <v>5.286750808499999</v>
      </c>
      <c r="BD510" s="529">
        <f t="shared" si="832"/>
        <v>4.586517753699999</v>
      </c>
      <c r="BE510" s="529">
        <f t="shared" si="832"/>
        <v>4.3920212292</v>
      </c>
      <c r="BF510" s="529"/>
      <c r="BG510" s="529"/>
      <c r="BH510" s="126"/>
      <c r="BI510" s="126"/>
      <c r="BJ510" s="126"/>
      <c r="BK510" s="126"/>
      <c r="BL510" s="126"/>
      <c r="BN510" s="413"/>
      <c r="BO510" s="268">
        <f t="shared" si="827"/>
        <v>3.4692938989206556E-2</v>
      </c>
    </row>
    <row r="511" spans="1:67">
      <c r="A511" s="5" t="s">
        <v>18</v>
      </c>
      <c r="B511" s="529"/>
      <c r="C511" s="529"/>
      <c r="D511" s="529"/>
      <c r="E511" s="529"/>
      <c r="F511" s="529"/>
      <c r="G511" s="529"/>
      <c r="H511" s="529"/>
      <c r="I511" s="529"/>
      <c r="J511" s="529"/>
      <c r="K511" s="529"/>
      <c r="L511" s="529"/>
      <c r="M511" s="530"/>
      <c r="N511" s="529"/>
      <c r="O511" s="529"/>
      <c r="P511" s="529"/>
      <c r="Q511" s="529"/>
      <c r="R511" s="529"/>
      <c r="S511" s="529"/>
      <c r="T511" s="529"/>
      <c r="U511" s="529"/>
      <c r="V511" s="529"/>
      <c r="W511" s="529"/>
      <c r="X511" s="529"/>
      <c r="Y511" s="530"/>
      <c r="Z511" s="529"/>
      <c r="AA511" s="529"/>
      <c r="AB511" s="529"/>
      <c r="AC511" s="529"/>
      <c r="AD511" s="529"/>
      <c r="AE511" s="529"/>
      <c r="AF511" s="529"/>
      <c r="AG511" s="529"/>
      <c r="AH511" s="529"/>
      <c r="AI511" s="529"/>
      <c r="AJ511" s="529"/>
      <c r="AK511" s="530"/>
      <c r="AL511" s="529"/>
      <c r="AM511" s="529"/>
      <c r="AN511" s="529"/>
      <c r="AO511" s="529"/>
      <c r="AP511" s="529"/>
      <c r="AQ511" s="529"/>
      <c r="AR511" s="529"/>
      <c r="AS511" s="529"/>
      <c r="AT511" s="529"/>
      <c r="AU511" s="529"/>
      <c r="AV511" s="529">
        <f t="shared" ref="AV511:BE511" si="833">AV437+AV479</f>
        <v>21.330405564599999</v>
      </c>
      <c r="AW511" s="530">
        <f t="shared" si="833"/>
        <v>63.646086180300003</v>
      </c>
      <c r="AX511" s="529">
        <f t="shared" si="833"/>
        <v>22.095459600000002</v>
      </c>
      <c r="AY511" s="529">
        <f t="shared" si="833"/>
        <v>17.676750070599997</v>
      </c>
      <c r="AZ511" s="529">
        <f t="shared" si="833"/>
        <v>16.311675171099999</v>
      </c>
      <c r="BA511" s="529">
        <f t="shared" si="833"/>
        <v>14.721730633499998</v>
      </c>
      <c r="BB511" s="529">
        <f t="shared" si="833"/>
        <v>12.811562559800002</v>
      </c>
      <c r="BC511" s="529">
        <f t="shared" si="833"/>
        <v>10.935263377399998</v>
      </c>
      <c r="BD511" s="529">
        <f t="shared" si="833"/>
        <v>11.188610426499999</v>
      </c>
      <c r="BE511" s="529">
        <f t="shared" si="833"/>
        <v>11.419307248800001</v>
      </c>
      <c r="BF511" s="529"/>
      <c r="BG511" s="529"/>
      <c r="BH511" s="126"/>
      <c r="BI511" s="126"/>
      <c r="BJ511" s="126"/>
      <c r="BK511" s="126"/>
      <c r="BL511" s="126"/>
      <c r="BN511" s="413"/>
      <c r="BO511" s="268">
        <f t="shared" si="827"/>
        <v>2.4498700440783731E-2</v>
      </c>
    </row>
    <row r="512" spans="1:67">
      <c r="A512" s="528" t="s">
        <v>246</v>
      </c>
      <c r="B512" s="529"/>
      <c r="C512" s="529"/>
      <c r="D512" s="529"/>
      <c r="E512" s="529"/>
      <c r="F512" s="529"/>
      <c r="G512" s="529"/>
      <c r="H512" s="529"/>
      <c r="I512" s="529"/>
      <c r="J512" s="529"/>
      <c r="K512" s="529"/>
      <c r="L512" s="529"/>
      <c r="M512" s="530"/>
      <c r="N512" s="529"/>
      <c r="O512" s="529"/>
      <c r="P512" s="529"/>
      <c r="Q512" s="529"/>
      <c r="R512" s="529"/>
      <c r="S512" s="529"/>
      <c r="T512" s="529"/>
      <c r="U512" s="529"/>
      <c r="V512" s="529"/>
      <c r="W512" s="529"/>
      <c r="X512" s="529"/>
      <c r="Y512" s="530"/>
      <c r="Z512" s="529"/>
      <c r="AA512" s="529"/>
      <c r="AB512" s="529"/>
      <c r="AC512" s="529"/>
      <c r="AD512" s="529"/>
      <c r="AE512" s="529"/>
      <c r="AF512" s="529"/>
      <c r="AG512" s="529"/>
      <c r="AH512" s="529"/>
      <c r="AI512" s="529"/>
      <c r="AJ512" s="529"/>
      <c r="AK512" s="530"/>
      <c r="AL512" s="529"/>
      <c r="AM512" s="529"/>
      <c r="AN512" s="529"/>
      <c r="AO512" s="529"/>
      <c r="AP512" s="529"/>
      <c r="AQ512" s="529"/>
      <c r="AR512" s="529"/>
      <c r="AS512" s="529"/>
      <c r="AT512" s="529"/>
      <c r="AU512" s="529"/>
      <c r="AV512" s="529">
        <f t="shared" ref="AV512:BE512" si="834">AV439+AV475</f>
        <v>19.671313814400001</v>
      </c>
      <c r="AW512" s="530">
        <f t="shared" si="834"/>
        <v>17.2936469084</v>
      </c>
      <c r="AX512" s="529">
        <f t="shared" si="834"/>
        <v>20.017150000000001</v>
      </c>
      <c r="AY512" s="529">
        <f t="shared" si="834"/>
        <v>17.817319630499998</v>
      </c>
      <c r="AZ512" s="529">
        <f t="shared" si="834"/>
        <v>17.0797766295</v>
      </c>
      <c r="BA512" s="529">
        <f t="shared" si="834"/>
        <v>14.5371586008</v>
      </c>
      <c r="BB512" s="529">
        <f t="shared" si="834"/>
        <v>13.938924038500002</v>
      </c>
      <c r="BC512" s="529">
        <f t="shared" si="834"/>
        <v>12.299612974299999</v>
      </c>
      <c r="BD512" s="529">
        <f t="shared" si="834"/>
        <v>11.0326565067</v>
      </c>
      <c r="BE512" s="529">
        <f t="shared" si="834"/>
        <v>11.785124248200001</v>
      </c>
      <c r="BF512" s="529"/>
      <c r="BG512" s="529"/>
      <c r="BH512" s="126"/>
      <c r="BI512" s="126"/>
      <c r="BJ512" s="126"/>
      <c r="BK512" s="126"/>
      <c r="BL512" s="126"/>
      <c r="BN512" s="413"/>
      <c r="BO512" s="268">
        <f t="shared" si="827"/>
        <v>1.8843069338715743E-2</v>
      </c>
    </row>
    <row r="513" spans="1:67">
      <c r="A513" s="528" t="s">
        <v>7</v>
      </c>
      <c r="B513" s="529"/>
      <c r="C513" s="529"/>
      <c r="D513" s="529"/>
      <c r="E513" s="529"/>
      <c r="F513" s="529"/>
      <c r="G513" s="529"/>
      <c r="H513" s="529"/>
      <c r="I513" s="529"/>
      <c r="J513" s="529"/>
      <c r="K513" s="529"/>
      <c r="L513" s="529"/>
      <c r="M513" s="530"/>
      <c r="N513" s="529"/>
      <c r="O513" s="529"/>
      <c r="P513" s="529"/>
      <c r="Q513" s="529"/>
      <c r="R513" s="529"/>
      <c r="S513" s="529"/>
      <c r="T513" s="529"/>
      <c r="U513" s="529"/>
      <c r="V513" s="529"/>
      <c r="W513" s="529"/>
      <c r="X513" s="529"/>
      <c r="Y513" s="530"/>
      <c r="Z513" s="529"/>
      <c r="AA513" s="529"/>
      <c r="AB513" s="529"/>
      <c r="AC513" s="529"/>
      <c r="AD513" s="529"/>
      <c r="AE513" s="529"/>
      <c r="AF513" s="529"/>
      <c r="AG513" s="529"/>
      <c r="AH513" s="529"/>
      <c r="AI513" s="529"/>
      <c r="AJ513" s="529"/>
      <c r="AK513" s="530"/>
      <c r="AL513" s="529"/>
      <c r="AM513" s="529"/>
      <c r="AN513" s="529"/>
      <c r="AO513" s="529"/>
      <c r="AP513" s="529"/>
      <c r="AQ513" s="529"/>
      <c r="AR513" s="529"/>
      <c r="AS513" s="529"/>
      <c r="AT513" s="529"/>
      <c r="AU513" s="529"/>
      <c r="AV513" s="529">
        <f t="shared" ref="AV513:BE513" si="835">AV438+AV473</f>
        <v>22.227020028749997</v>
      </c>
      <c r="AW513" s="530">
        <f t="shared" si="835"/>
        <v>20.866321096900002</v>
      </c>
      <c r="AX513" s="529">
        <f t="shared" si="835"/>
        <v>23.375192999999999</v>
      </c>
      <c r="AY513" s="529">
        <f t="shared" si="835"/>
        <v>21.724421855399999</v>
      </c>
      <c r="AZ513" s="529">
        <f t="shared" si="835"/>
        <v>22.049264812000001</v>
      </c>
      <c r="BA513" s="529">
        <f t="shared" si="835"/>
        <v>18.551862215699998</v>
      </c>
      <c r="BB513" s="529">
        <f t="shared" si="835"/>
        <v>18.6585820783</v>
      </c>
      <c r="BC513" s="529">
        <f t="shared" si="835"/>
        <v>14.305119613199999</v>
      </c>
      <c r="BD513" s="529">
        <f t="shared" si="835"/>
        <v>10.197849854599999</v>
      </c>
      <c r="BE513" s="529">
        <f t="shared" si="835"/>
        <v>10.516276461000002</v>
      </c>
      <c r="BF513" s="529"/>
      <c r="BG513" s="529"/>
      <c r="BH513" s="126"/>
      <c r="BI513" s="126"/>
      <c r="BJ513" s="126"/>
      <c r="BK513" s="126"/>
      <c r="BL513" s="126"/>
      <c r="BN513" s="413"/>
      <c r="BO513" s="268">
        <f t="shared" si="827"/>
        <v>2.2115337546921424E-2</v>
      </c>
    </row>
    <row r="514" spans="1:67">
      <c r="A514" s="528" t="s">
        <v>8</v>
      </c>
      <c r="B514" s="529"/>
      <c r="C514" s="529"/>
      <c r="D514" s="529"/>
      <c r="E514" s="529"/>
      <c r="F514" s="529"/>
      <c r="G514" s="529"/>
      <c r="H514" s="529"/>
      <c r="I514" s="529"/>
      <c r="J514" s="529"/>
      <c r="K514" s="529"/>
      <c r="L514" s="529"/>
      <c r="M514" s="530"/>
      <c r="N514" s="529"/>
      <c r="O514" s="529"/>
      <c r="P514" s="529"/>
      <c r="Q514" s="529"/>
      <c r="R514" s="529"/>
      <c r="S514" s="529"/>
      <c r="T514" s="529"/>
      <c r="U514" s="529"/>
      <c r="V514" s="529"/>
      <c r="W514" s="529"/>
      <c r="X514" s="529"/>
      <c r="Y514" s="530"/>
      <c r="Z514" s="529"/>
      <c r="AA514" s="529"/>
      <c r="AB514" s="529"/>
      <c r="AC514" s="529"/>
      <c r="AD514" s="529"/>
      <c r="AE514" s="529"/>
      <c r="AF514" s="529"/>
      <c r="AG514" s="529"/>
      <c r="AH514" s="529"/>
      <c r="AI514" s="529"/>
      <c r="AJ514" s="529"/>
      <c r="AK514" s="530"/>
      <c r="AL514" s="529"/>
      <c r="AM514" s="529"/>
      <c r="AN514" s="529"/>
      <c r="AO514" s="529"/>
      <c r="AP514" s="529"/>
      <c r="AQ514" s="529"/>
      <c r="AR514" s="529"/>
      <c r="AS514" s="529"/>
      <c r="AT514" s="529"/>
      <c r="AU514" s="529"/>
      <c r="AV514" s="529">
        <f t="shared" ref="AV514:BE514" si="836">AV440+AV478</f>
        <v>17.8555014921</v>
      </c>
      <c r="AW514" s="530">
        <f t="shared" si="836"/>
        <v>16.138392294899997</v>
      </c>
      <c r="AX514" s="529">
        <f t="shared" si="836"/>
        <v>17.7248868</v>
      </c>
      <c r="AY514" s="529">
        <f t="shared" si="836"/>
        <v>15.890362936400001</v>
      </c>
      <c r="AZ514" s="529">
        <f t="shared" si="836"/>
        <v>14.841655572300001</v>
      </c>
      <c r="BA514" s="529">
        <f t="shared" si="836"/>
        <v>12.8899096986</v>
      </c>
      <c r="BB514" s="529">
        <f t="shared" si="836"/>
        <v>12.4725615768</v>
      </c>
      <c r="BC514" s="529">
        <f t="shared" si="836"/>
        <v>9.2849419455999982</v>
      </c>
      <c r="BD514" s="529">
        <f t="shared" si="836"/>
        <v>8.5934726447000003</v>
      </c>
      <c r="BE514" s="529">
        <f t="shared" si="836"/>
        <v>7.0423763658000009</v>
      </c>
      <c r="BF514" s="529"/>
      <c r="BG514" s="529"/>
      <c r="BH514" s="126"/>
      <c r="BI514" s="126"/>
      <c r="BJ514" s="126"/>
      <c r="BK514" s="126"/>
      <c r="BL514" s="126"/>
      <c r="BN514" s="413"/>
      <c r="BO514" s="268">
        <f t="shared" si="827"/>
        <v>1.6087180508400634E-2</v>
      </c>
    </row>
    <row r="515" spans="1:67">
      <c r="A515" s="528" t="s">
        <v>9</v>
      </c>
      <c r="B515" s="529"/>
      <c r="C515" s="529"/>
      <c r="D515" s="529"/>
      <c r="E515" s="529"/>
      <c r="F515" s="529"/>
      <c r="G515" s="529"/>
      <c r="H515" s="529"/>
      <c r="I515" s="529"/>
      <c r="J515" s="529"/>
      <c r="K515" s="529"/>
      <c r="L515" s="529"/>
      <c r="M515" s="530"/>
      <c r="N515" s="529"/>
      <c r="O515" s="529"/>
      <c r="P515" s="529"/>
      <c r="Q515" s="529"/>
      <c r="R515" s="529"/>
      <c r="S515" s="529"/>
      <c r="T515" s="529"/>
      <c r="U515" s="529"/>
      <c r="V515" s="529"/>
      <c r="W515" s="529"/>
      <c r="X515" s="529"/>
      <c r="Y515" s="530"/>
      <c r="Z515" s="529"/>
      <c r="AA515" s="529"/>
      <c r="AB515" s="529"/>
      <c r="AC515" s="529"/>
      <c r="AD515" s="529"/>
      <c r="AE515" s="529"/>
      <c r="AF515" s="529"/>
      <c r="AG515" s="529"/>
      <c r="AH515" s="529"/>
      <c r="AI515" s="529"/>
      <c r="AJ515" s="529"/>
      <c r="AK515" s="530"/>
      <c r="AL515" s="529"/>
      <c r="AM515" s="529"/>
      <c r="AN515" s="529"/>
      <c r="AO515" s="529"/>
      <c r="AP515" s="529"/>
      <c r="AQ515" s="529"/>
      <c r="AR515" s="529"/>
      <c r="AS515" s="529"/>
      <c r="AT515" s="529"/>
      <c r="AU515" s="529"/>
      <c r="AV515" s="529">
        <f t="shared" ref="AV515:BE515" si="837">AV447+AV476</f>
        <v>23.322079305599999</v>
      </c>
      <c r="AW515" s="530">
        <f t="shared" si="837"/>
        <v>18.127226115999999</v>
      </c>
      <c r="AX515" s="529">
        <f t="shared" si="837"/>
        <v>16.947783000000001</v>
      </c>
      <c r="AY515" s="529">
        <f t="shared" si="837"/>
        <v>16.689144897099997</v>
      </c>
      <c r="AZ515" s="529">
        <f t="shared" si="837"/>
        <v>15.7042988027</v>
      </c>
      <c r="BA515" s="529">
        <f t="shared" si="837"/>
        <v>11.996945822399997</v>
      </c>
      <c r="BB515" s="529">
        <f t="shared" si="837"/>
        <v>12.584567548000001</v>
      </c>
      <c r="BC515" s="529">
        <f t="shared" si="837"/>
        <v>9.0164389366999984</v>
      </c>
      <c r="BD515" s="529">
        <f t="shared" si="837"/>
        <v>8.4588422158000007</v>
      </c>
      <c r="BE515" s="529">
        <f t="shared" si="837"/>
        <v>7.2967049928000014</v>
      </c>
      <c r="BF515" s="529"/>
      <c r="BG515" s="529"/>
      <c r="BH515" s="126"/>
      <c r="BI515" s="126"/>
      <c r="BJ515" s="126"/>
      <c r="BK515" s="126"/>
      <c r="BL515" s="126"/>
      <c r="BN515" s="413"/>
      <c r="BO515" s="268">
        <f t="shared" si="827"/>
        <v>1.698525843011358E-2</v>
      </c>
    </row>
    <row r="516" spans="1:67">
      <c r="A516" s="528" t="s">
        <v>10</v>
      </c>
      <c r="B516" s="529"/>
      <c r="C516" s="529"/>
      <c r="D516" s="529"/>
      <c r="E516" s="529"/>
      <c r="F516" s="529"/>
      <c r="G516" s="529"/>
      <c r="H516" s="529"/>
      <c r="I516" s="529"/>
      <c r="J516" s="529"/>
      <c r="K516" s="529"/>
      <c r="L516" s="529"/>
      <c r="M516" s="530"/>
      <c r="N516" s="529"/>
      <c r="O516" s="529"/>
      <c r="P516" s="529"/>
      <c r="Q516" s="529"/>
      <c r="R516" s="529"/>
      <c r="S516" s="529"/>
      <c r="T516" s="529"/>
      <c r="U516" s="529"/>
      <c r="V516" s="529"/>
      <c r="W516" s="529"/>
      <c r="X516" s="529"/>
      <c r="Y516" s="530"/>
      <c r="Z516" s="529"/>
      <c r="AA516" s="529"/>
      <c r="AB516" s="529"/>
      <c r="AC516" s="529"/>
      <c r="AD516" s="529"/>
      <c r="AE516" s="529"/>
      <c r="AF516" s="529"/>
      <c r="AG516" s="529"/>
      <c r="AH516" s="529"/>
      <c r="AI516" s="529"/>
      <c r="AJ516" s="529"/>
      <c r="AK516" s="530"/>
      <c r="AL516" s="529"/>
      <c r="AM516" s="529"/>
      <c r="AN516" s="529"/>
      <c r="AO516" s="529"/>
      <c r="AP516" s="529"/>
      <c r="AQ516" s="529"/>
      <c r="AR516" s="529"/>
      <c r="AS516" s="529"/>
      <c r="AT516" s="529"/>
      <c r="AU516" s="529"/>
      <c r="AV516" s="529">
        <f t="shared" ref="AV516:BE516" si="838">AV449+AV471</f>
        <v>31.577508736799995</v>
      </c>
      <c r="AW516" s="530">
        <f t="shared" si="838"/>
        <v>31.246576301499999</v>
      </c>
      <c r="AX516" s="529">
        <f t="shared" si="838"/>
        <v>31.979811999999999</v>
      </c>
      <c r="AY516" s="529">
        <f t="shared" si="838"/>
        <v>25.424084556</v>
      </c>
      <c r="AZ516" s="529">
        <f t="shared" si="838"/>
        <v>22.951932900600003</v>
      </c>
      <c r="BA516" s="529">
        <f t="shared" si="838"/>
        <v>20.916046483199999</v>
      </c>
      <c r="BB516" s="529">
        <f t="shared" si="838"/>
        <v>21.1893581022</v>
      </c>
      <c r="BC516" s="529">
        <f t="shared" si="838"/>
        <v>17.700645133899997</v>
      </c>
      <c r="BD516" s="529">
        <f t="shared" si="838"/>
        <v>14.9924977061</v>
      </c>
      <c r="BE516" s="529">
        <f t="shared" si="838"/>
        <v>5.4278095206000012</v>
      </c>
      <c r="BF516" s="529"/>
      <c r="BG516" s="529"/>
      <c r="BH516" s="126"/>
      <c r="BI516" s="126"/>
      <c r="BJ516" s="126"/>
      <c r="BK516" s="126"/>
      <c r="BL516" s="126"/>
      <c r="BN516" s="413"/>
      <c r="BO516" s="268">
        <f t="shared" si="827"/>
        <v>2.7076524137380757E-2</v>
      </c>
    </row>
    <row r="517" spans="1:67">
      <c r="A517" s="528" t="s">
        <v>11</v>
      </c>
      <c r="B517" s="529"/>
      <c r="C517" s="529"/>
      <c r="D517" s="529"/>
      <c r="E517" s="529"/>
      <c r="F517" s="529"/>
      <c r="G517" s="529"/>
      <c r="H517" s="529"/>
      <c r="I517" s="529"/>
      <c r="J517" s="529"/>
      <c r="K517" s="529"/>
      <c r="L517" s="529"/>
      <c r="M517" s="530"/>
      <c r="N517" s="529"/>
      <c r="O517" s="529"/>
      <c r="P517" s="529"/>
      <c r="Q517" s="529"/>
      <c r="R517" s="529"/>
      <c r="S517" s="529"/>
      <c r="T517" s="529"/>
      <c r="U517" s="529"/>
      <c r="V517" s="529"/>
      <c r="W517" s="529"/>
      <c r="X517" s="529"/>
      <c r="Y517" s="530"/>
      <c r="Z517" s="529"/>
      <c r="AA517" s="529"/>
      <c r="AB517" s="529"/>
      <c r="AC517" s="529"/>
      <c r="AD517" s="529"/>
      <c r="AE517" s="529"/>
      <c r="AF517" s="529"/>
      <c r="AG517" s="529"/>
      <c r="AH517" s="529"/>
      <c r="AI517" s="529"/>
      <c r="AJ517" s="529"/>
      <c r="AK517" s="530"/>
      <c r="AL517" s="529"/>
      <c r="AM517" s="529"/>
      <c r="AN517" s="529"/>
      <c r="AO517" s="529"/>
      <c r="AP517" s="529"/>
      <c r="AQ517" s="529"/>
      <c r="AR517" s="529"/>
      <c r="AS517" s="529"/>
      <c r="AT517" s="529"/>
      <c r="AU517" s="529"/>
      <c r="AV517" s="529">
        <f t="shared" ref="AV517:BE517" si="839">AV436+AV472</f>
        <v>20.517182003999999</v>
      </c>
      <c r="AW517" s="530">
        <f t="shared" si="839"/>
        <v>18.734989112700003</v>
      </c>
      <c r="AX517" s="529">
        <f t="shared" si="839"/>
        <v>26.006200799999998</v>
      </c>
      <c r="AY517" s="529">
        <f t="shared" si="839"/>
        <v>30.649322270100001</v>
      </c>
      <c r="AZ517" s="529">
        <f t="shared" si="839"/>
        <v>26.5008219254</v>
      </c>
      <c r="BA517" s="529">
        <f t="shared" si="839"/>
        <v>23.194803584700001</v>
      </c>
      <c r="BB517" s="529">
        <f t="shared" si="839"/>
        <v>22.303631764199999</v>
      </c>
      <c r="BC517" s="529">
        <f t="shared" si="839"/>
        <v>19.092543876699999</v>
      </c>
      <c r="BD517" s="529">
        <f t="shared" si="839"/>
        <v>14.276092221999999</v>
      </c>
      <c r="BE517" s="529">
        <f t="shared" si="839"/>
        <v>10.284127890600001</v>
      </c>
      <c r="BF517" s="529"/>
      <c r="BG517" s="529"/>
      <c r="BH517" s="126"/>
      <c r="BI517" s="126"/>
      <c r="BJ517" s="126"/>
      <c r="BK517" s="126"/>
      <c r="BL517" s="126"/>
      <c r="BN517" s="413"/>
      <c r="BO517" s="268">
        <f t="shared" si="827"/>
        <v>2.5640738305797859E-2</v>
      </c>
    </row>
    <row r="518" spans="1:67">
      <c r="A518" s="528" t="s">
        <v>200</v>
      </c>
      <c r="B518" s="529"/>
      <c r="C518" s="529"/>
      <c r="D518" s="529"/>
      <c r="E518" s="529"/>
      <c r="F518" s="529"/>
      <c r="G518" s="529"/>
      <c r="H518" s="529"/>
      <c r="I518" s="529"/>
      <c r="J518" s="529"/>
      <c r="K518" s="529"/>
      <c r="L518" s="529"/>
      <c r="M518" s="530"/>
      <c r="N518" s="529"/>
      <c r="O518" s="529"/>
      <c r="P518" s="529"/>
      <c r="Q518" s="529"/>
      <c r="R518" s="529"/>
      <c r="S518" s="529"/>
      <c r="T518" s="529"/>
      <c r="U518" s="529"/>
      <c r="V518" s="529"/>
      <c r="W518" s="529"/>
      <c r="X518" s="529"/>
      <c r="Y518" s="530"/>
      <c r="Z518" s="529"/>
      <c r="AA518" s="529"/>
      <c r="AB518" s="529"/>
      <c r="AC518" s="529"/>
      <c r="AD518" s="529"/>
      <c r="AE518" s="529"/>
      <c r="AF518" s="529"/>
      <c r="AG518" s="529"/>
      <c r="AH518" s="529"/>
      <c r="AI518" s="529"/>
      <c r="AJ518" s="529"/>
      <c r="AK518" s="530"/>
      <c r="AL518" s="529"/>
      <c r="AM518" s="529"/>
      <c r="AN518" s="529"/>
      <c r="AO518" s="529"/>
      <c r="AP518" s="529"/>
      <c r="AQ518" s="529"/>
      <c r="AR518" s="529"/>
      <c r="AS518" s="529"/>
      <c r="AT518" s="529"/>
      <c r="AU518" s="529"/>
      <c r="AV518" s="529">
        <f t="shared" ref="AV518:BE518" si="840">AV448+AV480</f>
        <v>14.189073798299999</v>
      </c>
      <c r="AW518" s="530">
        <f t="shared" si="840"/>
        <v>11.945137788069999</v>
      </c>
      <c r="AX518" s="529">
        <f t="shared" si="840"/>
        <v>16.023324799999997</v>
      </c>
      <c r="AY518" s="529">
        <f t="shared" si="840"/>
        <v>15.088540239200002</v>
      </c>
      <c r="AZ518" s="529">
        <f t="shared" si="840"/>
        <v>15.163781848600001</v>
      </c>
      <c r="BA518" s="529">
        <f t="shared" si="840"/>
        <v>13.597847313599997</v>
      </c>
      <c r="BB518" s="529">
        <f t="shared" si="840"/>
        <v>8.5539516623000011</v>
      </c>
      <c r="BC518" s="529">
        <f t="shared" si="840"/>
        <v>5.3528163834999996</v>
      </c>
      <c r="BD518" s="529">
        <f t="shared" si="840"/>
        <v>9.1653888717999994</v>
      </c>
      <c r="BE518" s="529">
        <f t="shared" si="840"/>
        <v>14.145244248600001</v>
      </c>
      <c r="BF518" s="529"/>
      <c r="BG518" s="529"/>
      <c r="BH518" s="126"/>
      <c r="BI518" s="126"/>
      <c r="BJ518" s="126"/>
      <c r="BK518" s="126"/>
      <c r="BL518" s="126"/>
      <c r="BN518" s="413"/>
      <c r="BO518" s="268">
        <f t="shared" si="827"/>
        <v>1.493470868678427E-2</v>
      </c>
    </row>
    <row r="519" spans="1:67">
      <c r="A519" s="528" t="s">
        <v>12</v>
      </c>
      <c r="B519" s="529"/>
      <c r="C519" s="529"/>
      <c r="D519" s="529"/>
      <c r="E519" s="529"/>
      <c r="F519" s="529"/>
      <c r="G519" s="529"/>
      <c r="H519" s="529"/>
      <c r="I519" s="529"/>
      <c r="J519" s="529"/>
      <c r="K519" s="529"/>
      <c r="L519" s="529"/>
      <c r="M519" s="530"/>
      <c r="N519" s="529"/>
      <c r="O519" s="529"/>
      <c r="P519" s="529"/>
      <c r="Q519" s="529"/>
      <c r="R519" s="529"/>
      <c r="S519" s="529"/>
      <c r="T519" s="529"/>
      <c r="U519" s="529"/>
      <c r="V519" s="529"/>
      <c r="W519" s="529"/>
      <c r="X519" s="529"/>
      <c r="Y519" s="530"/>
      <c r="Z519" s="529"/>
      <c r="AA519" s="529"/>
      <c r="AB519" s="529"/>
      <c r="AC519" s="529"/>
      <c r="AD519" s="529"/>
      <c r="AE519" s="529"/>
      <c r="AF519" s="529"/>
      <c r="AG519" s="529"/>
      <c r="AH519" s="529"/>
      <c r="AI519" s="529"/>
      <c r="AJ519" s="529"/>
      <c r="AK519" s="530"/>
      <c r="AL519" s="529"/>
      <c r="AM519" s="529"/>
      <c r="AN519" s="529"/>
      <c r="AO519" s="529"/>
      <c r="AP519" s="529"/>
      <c r="AQ519" s="529"/>
      <c r="AR519" s="529"/>
      <c r="AS519" s="529"/>
      <c r="AT519" s="529"/>
      <c r="AU519" s="529"/>
      <c r="AV519" s="529">
        <f t="shared" ref="AV519:BE519" si="841">AV442+AV477</f>
        <v>9.8004703766999999</v>
      </c>
      <c r="AW519" s="530">
        <f t="shared" si="841"/>
        <v>10.740246587100001</v>
      </c>
      <c r="AX519" s="529">
        <f t="shared" si="841"/>
        <v>12.326537199999999</v>
      </c>
      <c r="AY519" s="529">
        <f t="shared" si="841"/>
        <v>12.3673605026</v>
      </c>
      <c r="AZ519" s="529">
        <f t="shared" si="841"/>
        <v>11.4752297209</v>
      </c>
      <c r="BA519" s="529">
        <f t="shared" si="841"/>
        <v>11.608988645099998</v>
      </c>
      <c r="BB519" s="529">
        <f t="shared" si="841"/>
        <v>12.790327580000001</v>
      </c>
      <c r="BC519" s="529">
        <f t="shared" si="841"/>
        <v>9.7811707003999988</v>
      </c>
      <c r="BD519" s="529">
        <f t="shared" si="841"/>
        <v>9.0906024188999996</v>
      </c>
      <c r="BE519" s="529">
        <f t="shared" si="841"/>
        <v>8.7029950427999996</v>
      </c>
      <c r="BF519" s="529"/>
      <c r="BG519" s="529"/>
      <c r="BH519" s="126"/>
      <c r="BI519" s="126"/>
      <c r="BJ519" s="126"/>
      <c r="BK519" s="126"/>
      <c r="BL519" s="126"/>
      <c r="BN519" s="413"/>
      <c r="BO519" s="268">
        <f t="shared" si="827"/>
        <v>1.3172338456875437E-2</v>
      </c>
    </row>
    <row r="520" spans="1:67">
      <c r="A520" s="528" t="s">
        <v>13</v>
      </c>
      <c r="B520" s="529"/>
      <c r="C520" s="529"/>
      <c r="D520" s="529"/>
      <c r="E520" s="529"/>
      <c r="F520" s="529"/>
      <c r="G520" s="529"/>
      <c r="H520" s="529"/>
      <c r="I520" s="529"/>
      <c r="J520" s="529"/>
      <c r="K520" s="529"/>
      <c r="L520" s="529"/>
      <c r="M520" s="530"/>
      <c r="N520" s="529"/>
      <c r="O520" s="529"/>
      <c r="P520" s="529"/>
      <c r="Q520" s="529"/>
      <c r="R520" s="529"/>
      <c r="S520" s="529"/>
      <c r="T520" s="529"/>
      <c r="U520" s="529"/>
      <c r="V520" s="529"/>
      <c r="W520" s="529"/>
      <c r="X520" s="529"/>
      <c r="Y520" s="530"/>
      <c r="Z520" s="529"/>
      <c r="AA520" s="529"/>
      <c r="AB520" s="529"/>
      <c r="AC520" s="529"/>
      <c r="AD520" s="529"/>
      <c r="AE520" s="529"/>
      <c r="AF520" s="529"/>
      <c r="AG520" s="529"/>
      <c r="AH520" s="529"/>
      <c r="AI520" s="529"/>
      <c r="AJ520" s="529"/>
      <c r="AK520" s="530"/>
      <c r="AL520" s="529"/>
      <c r="AM520" s="529"/>
      <c r="AN520" s="529"/>
      <c r="AO520" s="529"/>
      <c r="AP520" s="529"/>
      <c r="AQ520" s="529"/>
      <c r="AR520" s="529"/>
      <c r="AS520" s="529"/>
      <c r="AT520" s="529"/>
      <c r="AU520" s="529"/>
      <c r="AV520" s="529">
        <f t="shared" ref="AV520:BE520" si="842">AV441+AV482</f>
        <v>5.6197485077999998</v>
      </c>
      <c r="AW520" s="530">
        <f t="shared" si="842"/>
        <v>9.2851334639999994</v>
      </c>
      <c r="AX520" s="529">
        <f t="shared" si="842"/>
        <v>12.276468599999999</v>
      </c>
      <c r="AY520" s="529">
        <f t="shared" si="842"/>
        <v>13.6269869595</v>
      </c>
      <c r="AZ520" s="529">
        <f t="shared" si="842"/>
        <v>13.1281363939</v>
      </c>
      <c r="BA520" s="529">
        <f t="shared" si="842"/>
        <v>8.5994373778500002</v>
      </c>
      <c r="BB520" s="529">
        <f t="shared" si="842"/>
        <v>8.4964796531000015</v>
      </c>
      <c r="BC520" s="529">
        <f t="shared" si="842"/>
        <v>4.4244695773999991</v>
      </c>
      <c r="BD520" s="529">
        <f t="shared" si="842"/>
        <v>1.6024629056999999</v>
      </c>
      <c r="BE520" s="529">
        <f t="shared" si="842"/>
        <v>1.1813613221999999</v>
      </c>
      <c r="BF520" s="529"/>
      <c r="BG520" s="529"/>
      <c r="BH520" s="126"/>
      <c r="BI520" s="126"/>
      <c r="BJ520" s="126"/>
      <c r="BK520" s="126"/>
      <c r="BL520" s="126"/>
      <c r="BN520" s="413"/>
      <c r="BO520" s="268">
        <f t="shared" si="827"/>
        <v>9.4826603380694478E-3</v>
      </c>
    </row>
    <row r="521" spans="1:67">
      <c r="A521" s="528" t="s">
        <v>14</v>
      </c>
      <c r="B521" s="529"/>
      <c r="C521" s="529"/>
      <c r="D521" s="529"/>
      <c r="E521" s="529"/>
      <c r="F521" s="529"/>
      <c r="G521" s="529"/>
      <c r="H521" s="529"/>
      <c r="I521" s="529"/>
      <c r="J521" s="529"/>
      <c r="K521" s="529"/>
      <c r="L521" s="529"/>
      <c r="M521" s="530"/>
      <c r="N521" s="529"/>
      <c r="O521" s="529"/>
      <c r="P521" s="529"/>
      <c r="Q521" s="529"/>
      <c r="R521" s="529"/>
      <c r="S521" s="529"/>
      <c r="T521" s="529"/>
      <c r="U521" s="529"/>
      <c r="V521" s="529"/>
      <c r="W521" s="529"/>
      <c r="X521" s="529"/>
      <c r="Y521" s="530"/>
      <c r="Z521" s="529"/>
      <c r="AA521" s="529"/>
      <c r="AB521" s="529"/>
      <c r="AC521" s="529"/>
      <c r="AD521" s="529"/>
      <c r="AE521" s="529"/>
      <c r="AF521" s="529"/>
      <c r="AG521" s="529"/>
      <c r="AH521" s="529"/>
      <c r="AI521" s="529"/>
      <c r="AJ521" s="529"/>
      <c r="AK521" s="530"/>
      <c r="AL521" s="529"/>
      <c r="AM521" s="529"/>
      <c r="AN521" s="529"/>
      <c r="AO521" s="529"/>
      <c r="AP521" s="529"/>
      <c r="AQ521" s="529"/>
      <c r="AR521" s="529"/>
      <c r="AS521" s="529"/>
      <c r="AT521" s="529"/>
      <c r="AU521" s="529"/>
      <c r="AV521" s="529">
        <f t="shared" ref="AV521:BE521" si="843">AV450+AV489</f>
        <v>9.4340220792</v>
      </c>
      <c r="AW521" s="530">
        <f t="shared" si="843"/>
        <v>9.087136104699999</v>
      </c>
      <c r="AX521" s="529">
        <f t="shared" si="843"/>
        <v>12.887358600000001</v>
      </c>
      <c r="AY521" s="529">
        <f t="shared" si="843"/>
        <v>13.568477927199998</v>
      </c>
      <c r="AZ521" s="529">
        <f t="shared" si="843"/>
        <v>11.903190711700001</v>
      </c>
      <c r="BA521" s="529">
        <f t="shared" si="843"/>
        <v>6.8386373187</v>
      </c>
      <c r="BB521" s="529">
        <f t="shared" si="843"/>
        <v>3.6384165686000003</v>
      </c>
      <c r="BC521" s="529">
        <f t="shared" si="843"/>
        <v>6.6790805311999994</v>
      </c>
      <c r="BD521" s="529">
        <f t="shared" si="843"/>
        <v>3.1664159074999998</v>
      </c>
      <c r="BE521" s="529">
        <f t="shared" si="843"/>
        <v>3.6162198210000001</v>
      </c>
      <c r="BF521" s="529"/>
      <c r="BG521" s="529"/>
      <c r="BH521" s="126"/>
      <c r="BI521" s="126"/>
      <c r="BJ521" s="126"/>
      <c r="BK521" s="126"/>
      <c r="BL521" s="126"/>
      <c r="BN521" s="413"/>
      <c r="BO521" s="268">
        <f t="shared" si="827"/>
        <v>9.7951431136188375E-3</v>
      </c>
    </row>
    <row r="522" spans="1:67">
      <c r="A522" s="528" t="s">
        <v>15</v>
      </c>
      <c r="B522" s="529"/>
      <c r="C522" s="529"/>
      <c r="D522" s="529"/>
      <c r="E522" s="529"/>
      <c r="F522" s="529"/>
      <c r="G522" s="529"/>
      <c r="H522" s="529"/>
      <c r="I522" s="529"/>
      <c r="J522" s="529"/>
      <c r="K522" s="529"/>
      <c r="L522" s="529"/>
      <c r="M522" s="530"/>
      <c r="N522" s="529"/>
      <c r="O522" s="529"/>
      <c r="P522" s="529"/>
      <c r="Q522" s="529"/>
      <c r="R522" s="529"/>
      <c r="S522" s="529"/>
      <c r="T522" s="529"/>
      <c r="U522" s="529"/>
      <c r="V522" s="529"/>
      <c r="W522" s="529"/>
      <c r="X522" s="529"/>
      <c r="Y522" s="530"/>
      <c r="Z522" s="529"/>
      <c r="AA522" s="529"/>
      <c r="AB522" s="529"/>
      <c r="AC522" s="529"/>
      <c r="AD522" s="529"/>
      <c r="AE522" s="529"/>
      <c r="AF522" s="529"/>
      <c r="AG522" s="529"/>
      <c r="AH522" s="529"/>
      <c r="AI522" s="529"/>
      <c r="AJ522" s="529"/>
      <c r="AK522" s="530"/>
      <c r="AL522" s="529"/>
      <c r="AM522" s="529"/>
      <c r="AN522" s="529"/>
      <c r="AO522" s="529"/>
      <c r="AP522" s="529"/>
      <c r="AQ522" s="529"/>
      <c r="AR522" s="529"/>
      <c r="AS522" s="529"/>
      <c r="AT522" s="529"/>
      <c r="AU522" s="529"/>
      <c r="AV522" s="529">
        <f t="shared" ref="AV522:BE522" si="844">AV451+AV487</f>
        <v>11.2071646341</v>
      </c>
      <c r="AW522" s="530">
        <f t="shared" si="844"/>
        <v>8.5508257521999997</v>
      </c>
      <c r="AX522" s="529">
        <f t="shared" si="844"/>
        <v>9.1305271999999995</v>
      </c>
      <c r="AY522" s="529">
        <f t="shared" si="844"/>
        <v>8.181586749800001</v>
      </c>
      <c r="AZ522" s="529">
        <f t="shared" si="844"/>
        <v>8.1062304136000005</v>
      </c>
      <c r="BA522" s="529">
        <f t="shared" si="844"/>
        <v>6.6792375968999984</v>
      </c>
      <c r="BB522" s="529">
        <f t="shared" si="844"/>
        <v>5.7842053318800009</v>
      </c>
      <c r="BC522" s="529">
        <f t="shared" si="844"/>
        <v>5.2712118504999994</v>
      </c>
      <c r="BD522" s="529">
        <f t="shared" si="844"/>
        <v>4.6154772990000001</v>
      </c>
      <c r="BE522" s="529">
        <f t="shared" si="844"/>
        <v>4.8859785336000003</v>
      </c>
      <c r="BF522" s="529"/>
      <c r="BG522" s="529"/>
      <c r="BH522" s="126"/>
      <c r="BI522" s="126"/>
      <c r="BJ522" s="126"/>
      <c r="BK522" s="126"/>
      <c r="BL522" s="126"/>
      <c r="BN522" s="413"/>
      <c r="BO522" s="268">
        <f t="shared" si="827"/>
        <v>8.7762859656259212E-3</v>
      </c>
    </row>
    <row r="523" spans="1:67">
      <c r="A523" s="5" t="s">
        <v>377</v>
      </c>
      <c r="B523" s="529"/>
      <c r="C523" s="529"/>
      <c r="D523" s="529"/>
      <c r="E523" s="529"/>
      <c r="F523" s="529"/>
      <c r="G523" s="529"/>
      <c r="H523" s="529"/>
      <c r="I523" s="529"/>
      <c r="J523" s="529"/>
      <c r="K523" s="529"/>
      <c r="L523" s="529"/>
      <c r="M523" s="530"/>
      <c r="N523" s="529"/>
      <c r="O523" s="529"/>
      <c r="P523" s="529"/>
      <c r="Q523" s="529"/>
      <c r="R523" s="529"/>
      <c r="S523" s="529"/>
      <c r="T523" s="529"/>
      <c r="U523" s="529"/>
      <c r="V523" s="529"/>
      <c r="W523" s="529"/>
      <c r="X523" s="529"/>
      <c r="Y523" s="530"/>
      <c r="Z523" s="529"/>
      <c r="AA523" s="529"/>
      <c r="AB523" s="529"/>
      <c r="AC523" s="529"/>
      <c r="AD523" s="529"/>
      <c r="AE523" s="529"/>
      <c r="AF523" s="529"/>
      <c r="AG523" s="529"/>
      <c r="AH523" s="529"/>
      <c r="AI523" s="529"/>
      <c r="AJ523" s="529"/>
      <c r="AK523" s="530"/>
      <c r="AL523" s="529"/>
      <c r="AM523" s="529"/>
      <c r="AN523" s="529"/>
      <c r="AO523" s="529"/>
      <c r="AP523" s="529"/>
      <c r="AQ523" s="529"/>
      <c r="AR523" s="529"/>
      <c r="AS523" s="529"/>
      <c r="AT523" s="529"/>
      <c r="AU523" s="529"/>
      <c r="AV523" s="4"/>
      <c r="AW523" s="3"/>
      <c r="AX523" s="4"/>
      <c r="AY523" s="4"/>
      <c r="AZ523" s="4"/>
      <c r="BA523" s="4"/>
      <c r="BB523" s="4"/>
      <c r="BC523" s="529">
        <f>BC452+BC488</f>
        <v>5.0839073982</v>
      </c>
      <c r="BD523" s="529">
        <f>BD452+BD488</f>
        <v>4.4277029588000003</v>
      </c>
      <c r="BE523" s="529">
        <f>BE452+BE488</f>
        <v>4.1681335590000002</v>
      </c>
      <c r="BF523" s="529"/>
      <c r="BG523" s="529"/>
      <c r="BH523" s="126"/>
      <c r="BI523" s="126"/>
      <c r="BJ523" s="126"/>
      <c r="BK523" s="126"/>
      <c r="BL523" s="126"/>
      <c r="BN523" s="413"/>
      <c r="BO523" s="268">
        <f t="shared" si="827"/>
        <v>1.6579656154941348E-3</v>
      </c>
    </row>
    <row r="524" spans="1:67">
      <c r="A524" s="5" t="s">
        <v>378</v>
      </c>
      <c r="B524" s="529"/>
      <c r="C524" s="529"/>
      <c r="D524" s="529"/>
      <c r="E524" s="529"/>
      <c r="F524" s="529"/>
      <c r="G524" s="529"/>
      <c r="H524" s="529"/>
      <c r="I524" s="529"/>
      <c r="J524" s="529"/>
      <c r="K524" s="529"/>
      <c r="L524" s="529"/>
      <c r="M524" s="530"/>
      <c r="N524" s="529"/>
      <c r="O524" s="529"/>
      <c r="P524" s="529"/>
      <c r="Q524" s="529"/>
      <c r="R524" s="529"/>
      <c r="S524" s="529"/>
      <c r="T524" s="529"/>
      <c r="U524" s="529"/>
      <c r="V524" s="529"/>
      <c r="W524" s="529"/>
      <c r="X524" s="529"/>
      <c r="Y524" s="530"/>
      <c r="Z524" s="529"/>
      <c r="AA524" s="529"/>
      <c r="AB524" s="529"/>
      <c r="AC524" s="529"/>
      <c r="AD524" s="529"/>
      <c r="AE524" s="529"/>
      <c r="AF524" s="529"/>
      <c r="AG524" s="529"/>
      <c r="AH524" s="529"/>
      <c r="AI524" s="529"/>
      <c r="AJ524" s="529"/>
      <c r="AK524" s="530"/>
      <c r="AL524" s="529"/>
      <c r="AM524" s="529"/>
      <c r="AN524" s="529"/>
      <c r="AO524" s="529"/>
      <c r="AP524" s="529"/>
      <c r="AQ524" s="529"/>
      <c r="AR524" s="529"/>
      <c r="AS524" s="529"/>
      <c r="AT524" s="529"/>
      <c r="AU524" s="529"/>
      <c r="AV524" s="4"/>
      <c r="AW524" s="3"/>
      <c r="AX524" s="4"/>
      <c r="AY524" s="4"/>
      <c r="AZ524" s="4"/>
      <c r="BA524" s="4"/>
      <c r="BB524" s="4"/>
      <c r="BC524" s="529">
        <f>BC453+BC491</f>
        <v>5.2968561319000003</v>
      </c>
      <c r="BD524" s="529">
        <f>BD453+BD491</f>
        <v>4.7876604796999995</v>
      </c>
      <c r="BE524" s="529">
        <f>BE453+BE491</f>
        <v>4.9822464275999998</v>
      </c>
      <c r="BF524" s="529"/>
      <c r="BG524" s="529"/>
      <c r="BH524" s="126"/>
      <c r="BI524" s="126"/>
      <c r="BJ524" s="126"/>
      <c r="BK524" s="126"/>
      <c r="BL524" s="126"/>
      <c r="BN524" s="413"/>
      <c r="BO524" s="268">
        <f t="shared" si="827"/>
        <v>1.8260703715786948E-3</v>
      </c>
    </row>
    <row r="525" spans="1:67">
      <c r="A525" s="528" t="s">
        <v>216</v>
      </c>
      <c r="B525" s="529"/>
      <c r="C525" s="529"/>
      <c r="D525" s="529"/>
      <c r="E525" s="529"/>
      <c r="F525" s="529"/>
      <c r="G525" s="529"/>
      <c r="H525" s="529"/>
      <c r="I525" s="529"/>
      <c r="J525" s="529"/>
      <c r="K525" s="529"/>
      <c r="L525" s="529"/>
      <c r="M525" s="530"/>
      <c r="N525" s="529"/>
      <c r="O525" s="529"/>
      <c r="P525" s="529"/>
      <c r="Q525" s="529"/>
      <c r="R525" s="529"/>
      <c r="S525" s="529"/>
      <c r="T525" s="529"/>
      <c r="U525" s="529"/>
      <c r="V525" s="529"/>
      <c r="W525" s="529"/>
      <c r="X525" s="529"/>
      <c r="Y525" s="530"/>
      <c r="Z525" s="529"/>
      <c r="AA525" s="529"/>
      <c r="AB525" s="529"/>
      <c r="AC525" s="529"/>
      <c r="AD525" s="529"/>
      <c r="AE525" s="529"/>
      <c r="AF525" s="529"/>
      <c r="AG525" s="529"/>
      <c r="AH525" s="529"/>
      <c r="AI525" s="529"/>
      <c r="AJ525" s="529"/>
      <c r="AK525" s="530"/>
      <c r="AL525" s="529"/>
      <c r="AM525" s="529"/>
      <c r="AN525" s="529"/>
      <c r="AO525" s="529"/>
      <c r="AP525" s="529"/>
      <c r="AQ525" s="529"/>
      <c r="AR525" s="529"/>
      <c r="AS525" s="529"/>
      <c r="AT525" s="529"/>
      <c r="AU525" s="529"/>
      <c r="AV525" s="126">
        <f>AV526-SUM(AV502:AV524)</f>
        <v>86.624451845100225</v>
      </c>
      <c r="AW525" s="530">
        <f t="shared" ref="AW525:BC525" si="845">AW526-SUM(AW502:AW524)</f>
        <v>42.717440446029968</v>
      </c>
      <c r="AX525" s="126">
        <f t="shared" si="845"/>
        <v>100.75592280000012</v>
      </c>
      <c r="AY525" s="126">
        <f t="shared" si="845"/>
        <v>95.162852880699916</v>
      </c>
      <c r="AZ525" s="126">
        <f t="shared" si="845"/>
        <v>135.05811005160001</v>
      </c>
      <c r="BA525" s="126">
        <f t="shared" si="845"/>
        <v>138.67449401024987</v>
      </c>
      <c r="BB525" s="126">
        <f t="shared" si="845"/>
        <v>109.38456745582005</v>
      </c>
      <c r="BC525" s="126">
        <f t="shared" si="845"/>
        <v>82.410459843899844</v>
      </c>
      <c r="BD525" s="126">
        <f t="shared" ref="BD525:BE525" si="846">BD526-SUM(BD502:BD524)</f>
        <v>88.996715930100095</v>
      </c>
      <c r="BE525" s="126">
        <f t="shared" si="846"/>
        <v>88.957968534599786</v>
      </c>
      <c r="BF525" s="126"/>
      <c r="BG525" s="126"/>
      <c r="BH525" s="126"/>
      <c r="BI525" s="126"/>
      <c r="BJ525" s="126"/>
      <c r="BK525" s="126"/>
      <c r="BL525" s="126"/>
      <c r="BN525" s="413"/>
      <c r="BO525" s="268">
        <f t="shared" si="827"/>
        <v>0.11741027955281216</v>
      </c>
    </row>
    <row r="526" spans="1:67">
      <c r="A526" s="531" t="s">
        <v>129</v>
      </c>
      <c r="B526" s="532"/>
      <c r="C526" s="532"/>
      <c r="D526" s="532"/>
      <c r="E526" s="532"/>
      <c r="F526" s="532"/>
      <c r="G526" s="532"/>
      <c r="H526" s="533"/>
      <c r="I526" s="533"/>
      <c r="J526" s="533"/>
      <c r="K526" s="533"/>
      <c r="L526" s="533"/>
      <c r="M526" s="534"/>
      <c r="N526" s="535"/>
      <c r="O526" s="535"/>
      <c r="P526" s="535"/>
      <c r="Q526" s="535"/>
      <c r="R526" s="535"/>
      <c r="S526" s="535"/>
      <c r="T526" s="535"/>
      <c r="U526" s="535"/>
      <c r="V526" s="535"/>
      <c r="W526" s="535"/>
      <c r="X526" s="535"/>
      <c r="Y526" s="536"/>
      <c r="Z526" s="535"/>
      <c r="AA526" s="535"/>
      <c r="AB526" s="535"/>
      <c r="AC526" s="535"/>
      <c r="AD526" s="535"/>
      <c r="AE526" s="535"/>
      <c r="AF526" s="535"/>
      <c r="AG526" s="535"/>
      <c r="AH526" s="535"/>
      <c r="AI526" s="535"/>
      <c r="AJ526" s="535"/>
      <c r="AK526" s="536"/>
      <c r="AL526" s="535"/>
      <c r="AM526" s="535"/>
      <c r="AN526" s="535"/>
      <c r="AO526" s="535"/>
      <c r="AP526" s="535"/>
      <c r="AQ526" s="535"/>
      <c r="AR526" s="535"/>
      <c r="AS526" s="535"/>
      <c r="AT526" s="535"/>
      <c r="AU526" s="535"/>
      <c r="AV526" s="535">
        <f t="shared" ref="AV526:BE526" si="847">AV457+AV494</f>
        <v>956.05686900000001</v>
      </c>
      <c r="AW526" s="535">
        <f t="shared" si="847"/>
        <v>923.16782899999998</v>
      </c>
      <c r="AX526" s="535">
        <f t="shared" si="847"/>
        <v>1019.8920000000001</v>
      </c>
      <c r="AY526" s="535">
        <f t="shared" si="847"/>
        <v>913.70869900000002</v>
      </c>
      <c r="AZ526" s="535">
        <f t="shared" si="847"/>
        <v>873.46183300000007</v>
      </c>
      <c r="BA526" s="535">
        <f t="shared" si="847"/>
        <v>800.63243699999998</v>
      </c>
      <c r="BB526" s="535">
        <f t="shared" si="847"/>
        <v>806.212219</v>
      </c>
      <c r="BC526" s="535">
        <f t="shared" si="847"/>
        <v>676.14470099999994</v>
      </c>
      <c r="BD526" s="535">
        <f t="shared" si="847"/>
        <v>642.89523399999996</v>
      </c>
      <c r="BE526" s="535">
        <f t="shared" si="847"/>
        <v>638.74954200000002</v>
      </c>
      <c r="BF526" s="535">
        <f t="shared" ref="BF526:BG526" si="848">BF457+BF494</f>
        <v>0</v>
      </c>
      <c r="BG526" s="535">
        <f t="shared" si="848"/>
        <v>0</v>
      </c>
      <c r="BH526" s="126"/>
      <c r="BI526" s="126"/>
      <c r="BJ526" s="126"/>
      <c r="BK526" s="126"/>
      <c r="BL526" s="126"/>
      <c r="BN526" s="413"/>
      <c r="BO526" s="269">
        <f t="shared" si="827"/>
        <v>1</v>
      </c>
    </row>
    <row r="527" spans="1:67" ht="16" thickBot="1">
      <c r="A527" s="537"/>
      <c r="B527" s="538"/>
      <c r="C527" s="538"/>
      <c r="D527" s="538"/>
      <c r="E527" s="538"/>
      <c r="F527" s="538"/>
      <c r="G527" s="538"/>
      <c r="H527" s="538"/>
      <c r="I527" s="538"/>
      <c r="J527" s="538"/>
      <c r="K527" s="538"/>
      <c r="L527" s="538"/>
      <c r="M527" s="539"/>
      <c r="N527" s="538"/>
      <c r="O527" s="538"/>
      <c r="P527" s="538"/>
      <c r="Q527" s="538"/>
      <c r="R527" s="538"/>
      <c r="S527" s="538"/>
      <c r="T527" s="538"/>
      <c r="U527" s="538"/>
      <c r="V527" s="538"/>
      <c r="W527" s="538"/>
      <c r="X527" s="538"/>
      <c r="Y527" s="539"/>
      <c r="Z527" s="538"/>
      <c r="AA527" s="538"/>
      <c r="AB527" s="538"/>
      <c r="AC527" s="538"/>
      <c r="AD527" s="538"/>
      <c r="AE527" s="538"/>
      <c r="AF527" s="538"/>
      <c r="AG527" s="538"/>
      <c r="AH527" s="538"/>
      <c r="AI527" s="538"/>
      <c r="AJ527" s="538"/>
      <c r="AK527" s="539"/>
      <c r="AL527" s="538"/>
      <c r="AM527" s="538"/>
      <c r="AN527" s="538"/>
      <c r="AO527" s="538"/>
      <c r="AP527" s="538"/>
      <c r="AQ527" s="538"/>
      <c r="AR527" s="538"/>
      <c r="AS527" s="538"/>
      <c r="AT527" s="538"/>
      <c r="AU527" s="538"/>
      <c r="AV527" s="538"/>
      <c r="AW527" s="539"/>
      <c r="AX527" s="538"/>
      <c r="AY527" s="538"/>
      <c r="AZ527" s="538"/>
      <c r="BA527" s="538"/>
      <c r="BB527" s="538"/>
      <c r="BC527" s="538"/>
      <c r="BD527" s="538"/>
      <c r="BE527" s="538"/>
      <c r="BF527" s="538"/>
      <c r="BG527" s="538"/>
      <c r="BH527" s="126"/>
      <c r="BI527" s="126"/>
      <c r="BJ527" s="126"/>
      <c r="BK527" s="126"/>
      <c r="BL527" s="126"/>
      <c r="BN527" s="413"/>
      <c r="BO527" s="355"/>
    </row>
    <row r="528" spans="1:67">
      <c r="BH528" s="126"/>
      <c r="BI528" s="126"/>
      <c r="BJ528" s="126"/>
      <c r="BK528" s="126"/>
      <c r="BL528" s="126"/>
    </row>
    <row r="529" spans="1:67">
      <c r="BH529" s="126"/>
      <c r="BI529" s="126"/>
      <c r="BJ529" s="126"/>
      <c r="BK529" s="126"/>
      <c r="BL529" s="126"/>
    </row>
    <row r="530" spans="1:67">
      <c r="A530" s="291" t="s">
        <v>1</v>
      </c>
      <c r="B530" s="413"/>
      <c r="C530" s="413"/>
      <c r="D530" s="413"/>
      <c r="E530" s="413"/>
      <c r="F530" s="413"/>
      <c r="G530" s="413"/>
      <c r="H530" s="413"/>
      <c r="I530" s="413"/>
      <c r="J530" s="413"/>
      <c r="K530" s="413"/>
      <c r="L530" s="413"/>
      <c r="M530" s="413"/>
      <c r="N530" s="413"/>
      <c r="O530" s="413"/>
      <c r="P530" s="413"/>
      <c r="Q530" s="413"/>
      <c r="R530" s="413"/>
      <c r="S530" s="413"/>
      <c r="T530" s="413"/>
      <c r="U530" s="413"/>
      <c r="V530" s="413"/>
      <c r="W530" s="413"/>
      <c r="X530" s="413"/>
      <c r="Y530" s="413"/>
      <c r="Z530" s="413"/>
      <c r="AA530" s="413"/>
      <c r="AB530" s="413"/>
      <c r="AC530" s="413"/>
      <c r="AD530" s="413"/>
      <c r="AE530" s="413"/>
      <c r="AF530" s="413"/>
      <c r="AG530" s="413"/>
      <c r="AH530" s="413"/>
      <c r="AI530" s="413"/>
      <c r="AJ530" s="413"/>
      <c r="AK530" s="413"/>
      <c r="AL530" s="413"/>
      <c r="AM530" s="413"/>
      <c r="AN530" s="413"/>
      <c r="AO530" s="413"/>
      <c r="AP530" s="413"/>
      <c r="AQ530" s="413"/>
      <c r="AR530" s="413"/>
      <c r="AS530" s="413"/>
      <c r="AT530" s="413"/>
      <c r="AU530" s="413"/>
      <c r="AV530" s="413"/>
      <c r="AW530" s="413"/>
      <c r="AX530" s="413"/>
      <c r="AY530" s="413"/>
      <c r="AZ530" s="413"/>
      <c r="BA530" s="413"/>
      <c r="BB530" s="413"/>
      <c r="BC530" s="413"/>
      <c r="BD530" s="413"/>
      <c r="BE530" s="413"/>
      <c r="BF530" s="413"/>
      <c r="BG530" s="413"/>
      <c r="BH530" s="126"/>
      <c r="BI530" s="126"/>
      <c r="BJ530" s="126"/>
      <c r="BK530" s="126"/>
      <c r="BL530" s="126"/>
      <c r="BN530" s="413"/>
      <c r="BO530" s="413"/>
    </row>
    <row r="531" spans="1:67" ht="16" thickBot="1">
      <c r="A531" s="413"/>
      <c r="B531" s="413"/>
      <c r="C531" s="413"/>
      <c r="D531" s="413"/>
      <c r="E531" s="413"/>
      <c r="F531" s="413"/>
      <c r="G531" s="413"/>
      <c r="H531" s="413"/>
      <c r="I531" s="413"/>
      <c r="J531" s="413"/>
      <c r="K531" s="413"/>
      <c r="L531" s="413"/>
      <c r="M531" s="413"/>
      <c r="N531" s="413"/>
      <c r="O531" s="413"/>
      <c r="P531" s="413"/>
      <c r="Q531" s="413"/>
      <c r="R531" s="413"/>
      <c r="S531" s="413"/>
      <c r="T531" s="413"/>
      <c r="U531" s="413"/>
      <c r="V531" s="413"/>
      <c r="W531" s="413"/>
      <c r="X531" s="413"/>
      <c r="Y531" s="413"/>
      <c r="Z531" s="413"/>
      <c r="AA531" s="413"/>
      <c r="AB531" s="413"/>
      <c r="AC531" s="413"/>
      <c r="AD531" s="413"/>
      <c r="AE531" s="413"/>
      <c r="AF531" s="413"/>
      <c r="AG531" s="413"/>
      <c r="AH531" s="413"/>
      <c r="AI531" s="413"/>
      <c r="AJ531" s="413"/>
      <c r="AK531" s="413"/>
      <c r="AL531" s="413"/>
      <c r="AM531" s="413"/>
      <c r="AN531" s="413"/>
      <c r="AO531" s="413"/>
      <c r="AP531" s="413"/>
      <c r="AQ531" s="413"/>
      <c r="AR531" s="413"/>
      <c r="AS531" s="413"/>
      <c r="AT531" s="413"/>
      <c r="AU531" s="413"/>
      <c r="AV531" s="413"/>
      <c r="AW531" s="413"/>
      <c r="AX531" s="413"/>
      <c r="AY531" s="413"/>
      <c r="AZ531" s="413"/>
      <c r="BA531" s="413"/>
      <c r="BB531" s="413"/>
      <c r="BC531" s="413"/>
      <c r="BD531" s="413"/>
      <c r="BE531" s="413"/>
      <c r="BF531" s="413"/>
      <c r="BG531" s="413"/>
      <c r="BH531" s="126"/>
      <c r="BI531" s="126"/>
      <c r="BJ531" s="126"/>
      <c r="BK531" s="126"/>
      <c r="BL531" s="126"/>
      <c r="BN531" s="413"/>
      <c r="BO531" s="413"/>
    </row>
    <row r="532" spans="1:67" ht="16">
      <c r="A532" s="523" t="s">
        <v>150</v>
      </c>
      <c r="B532" s="524">
        <v>39448</v>
      </c>
      <c r="C532" s="524">
        <v>39479</v>
      </c>
      <c r="D532" s="524">
        <v>39508</v>
      </c>
      <c r="E532" s="524">
        <v>39539</v>
      </c>
      <c r="F532" s="524">
        <v>39569</v>
      </c>
      <c r="G532" s="524">
        <v>39600</v>
      </c>
      <c r="H532" s="524">
        <v>39630</v>
      </c>
      <c r="I532" s="524">
        <v>39661</v>
      </c>
      <c r="J532" s="524">
        <v>39692</v>
      </c>
      <c r="K532" s="524">
        <v>39722</v>
      </c>
      <c r="L532" s="524">
        <v>39753</v>
      </c>
      <c r="M532" s="525">
        <v>39783</v>
      </c>
      <c r="N532" s="524">
        <v>39814</v>
      </c>
      <c r="O532" s="524">
        <v>39845</v>
      </c>
      <c r="P532" s="524">
        <v>39873</v>
      </c>
      <c r="Q532" s="524">
        <v>39904</v>
      </c>
      <c r="R532" s="524">
        <v>39934</v>
      </c>
      <c r="S532" s="524">
        <v>39965</v>
      </c>
      <c r="T532" s="524">
        <v>39995</v>
      </c>
      <c r="U532" s="524">
        <v>40026</v>
      </c>
      <c r="V532" s="524">
        <v>40057</v>
      </c>
      <c r="W532" s="524">
        <v>40087</v>
      </c>
      <c r="X532" s="524">
        <v>40118</v>
      </c>
      <c r="Y532" s="525">
        <v>40148</v>
      </c>
      <c r="Z532" s="524">
        <v>40179</v>
      </c>
      <c r="AA532" s="524">
        <v>40210</v>
      </c>
      <c r="AB532" s="524">
        <v>40238</v>
      </c>
      <c r="AC532" s="524">
        <v>40269</v>
      </c>
      <c r="AD532" s="524">
        <v>40299</v>
      </c>
      <c r="AE532" s="524">
        <v>40330</v>
      </c>
      <c r="AF532" s="524">
        <v>40360</v>
      </c>
      <c r="AG532" s="524">
        <v>40391</v>
      </c>
      <c r="AH532" s="524">
        <v>40422</v>
      </c>
      <c r="AI532" s="524">
        <v>40452</v>
      </c>
      <c r="AJ532" s="524">
        <v>40483</v>
      </c>
      <c r="AK532" s="525">
        <v>40513</v>
      </c>
      <c r="AL532" s="524">
        <v>40544</v>
      </c>
      <c r="AM532" s="524">
        <v>40575</v>
      </c>
      <c r="AN532" s="524">
        <v>40603</v>
      </c>
      <c r="AO532" s="524">
        <v>40634</v>
      </c>
      <c r="AP532" s="524">
        <v>40664</v>
      </c>
      <c r="AQ532" s="524">
        <v>40695</v>
      </c>
      <c r="AR532" s="524">
        <v>40725</v>
      </c>
      <c r="AS532" s="524">
        <v>40756</v>
      </c>
      <c r="AT532" s="524">
        <v>40787</v>
      </c>
      <c r="AU532" s="524">
        <v>40817</v>
      </c>
      <c r="AV532" s="524">
        <v>40848</v>
      </c>
      <c r="AW532" s="525">
        <v>40878</v>
      </c>
      <c r="AX532" s="524">
        <v>40909</v>
      </c>
      <c r="AY532" s="101">
        <v>40940</v>
      </c>
      <c r="AZ532" s="101">
        <v>40969</v>
      </c>
      <c r="BA532" s="101">
        <v>41000</v>
      </c>
      <c r="BB532" s="101">
        <v>41030</v>
      </c>
      <c r="BC532" s="101">
        <v>41061</v>
      </c>
      <c r="BD532" s="101">
        <v>41091</v>
      </c>
      <c r="BE532" s="101">
        <v>41122</v>
      </c>
      <c r="BF532" s="101">
        <v>41153</v>
      </c>
      <c r="BG532" s="101">
        <v>41183</v>
      </c>
      <c r="BH532" s="126"/>
      <c r="BI532" s="126"/>
      <c r="BJ532" s="126"/>
      <c r="BK532" s="126"/>
      <c r="BL532" s="126"/>
      <c r="BN532" s="413"/>
      <c r="BO532" s="362" t="s">
        <v>380</v>
      </c>
    </row>
    <row r="533" spans="1:67">
      <c r="A533" s="526"/>
      <c r="B533" s="413"/>
      <c r="C533" s="413"/>
      <c r="D533" s="413"/>
      <c r="E533" s="413"/>
      <c r="F533" s="413"/>
      <c r="G533" s="413"/>
      <c r="H533" s="413"/>
      <c r="I533" s="413"/>
      <c r="J533" s="413"/>
      <c r="K533" s="413"/>
      <c r="L533" s="413"/>
      <c r="M533" s="527"/>
      <c r="N533" s="413"/>
      <c r="O533" s="413"/>
      <c r="P533" s="413"/>
      <c r="Q533" s="413"/>
      <c r="R533" s="413"/>
      <c r="S533" s="413"/>
      <c r="T533" s="413"/>
      <c r="U533" s="413"/>
      <c r="V533" s="413"/>
      <c r="W533" s="413"/>
      <c r="X533" s="413"/>
      <c r="Y533" s="527"/>
      <c r="Z533" s="413"/>
      <c r="AA533" s="413"/>
      <c r="AB533" s="413"/>
      <c r="AC533" s="413"/>
      <c r="AD533" s="413"/>
      <c r="AE533" s="413"/>
      <c r="AF533" s="413"/>
      <c r="AG533" s="413"/>
      <c r="AH533" s="413"/>
      <c r="AI533" s="413"/>
      <c r="AJ533" s="413"/>
      <c r="AK533" s="527"/>
      <c r="AL533" s="413"/>
      <c r="AM533" s="413"/>
      <c r="AN533" s="413"/>
      <c r="AO533" s="413"/>
      <c r="AP533" s="413"/>
      <c r="AQ533" s="413"/>
      <c r="AR533" s="413"/>
      <c r="AS533" s="413"/>
      <c r="AT533" s="413"/>
      <c r="AU533" s="413"/>
      <c r="AV533" s="413"/>
      <c r="AW533" s="527"/>
      <c r="AX533" s="413"/>
      <c r="AY533" s="413"/>
      <c r="AZ533" s="413"/>
      <c r="BA533" s="413"/>
      <c r="BB533" s="413"/>
      <c r="BC533" s="413"/>
      <c r="BD533" s="413"/>
      <c r="BE533" s="413"/>
      <c r="BF533" s="413"/>
      <c r="BG533" s="413"/>
      <c r="BH533" s="126"/>
      <c r="BI533" s="126"/>
      <c r="BJ533" s="126"/>
      <c r="BK533" s="126"/>
      <c r="BL533" s="126"/>
      <c r="BN533" s="413"/>
      <c r="BO533" s="267"/>
    </row>
    <row r="534" spans="1:67">
      <c r="A534" s="528" t="s">
        <v>247</v>
      </c>
      <c r="B534" s="529"/>
      <c r="C534" s="529"/>
      <c r="D534" s="529"/>
      <c r="E534" s="529"/>
      <c r="F534" s="529"/>
      <c r="G534" s="529"/>
      <c r="H534" s="529"/>
      <c r="I534" s="529"/>
      <c r="J534" s="529"/>
      <c r="K534" s="529"/>
      <c r="L534" s="529"/>
      <c r="M534" s="530"/>
      <c r="N534" s="529"/>
      <c r="O534" s="529"/>
      <c r="P534" s="529"/>
      <c r="Q534" s="529"/>
      <c r="R534" s="529"/>
      <c r="S534" s="529"/>
      <c r="T534" s="529"/>
      <c r="U534" s="529"/>
      <c r="V534" s="529"/>
      <c r="W534" s="529"/>
      <c r="X534" s="529"/>
      <c r="Y534" s="530"/>
      <c r="Z534" s="529"/>
      <c r="AA534" s="529"/>
      <c r="AB534" s="529"/>
      <c r="AC534" s="529"/>
      <c r="AD534" s="529"/>
      <c r="AE534" s="529"/>
      <c r="AF534" s="529"/>
      <c r="AG534" s="529"/>
      <c r="AH534" s="529"/>
      <c r="AI534" s="529"/>
      <c r="AJ534" s="529"/>
      <c r="AK534" s="530"/>
      <c r="AL534" s="529"/>
      <c r="AM534" s="529"/>
      <c r="AN534" s="529"/>
      <c r="AO534" s="529"/>
      <c r="AP534" s="529"/>
      <c r="AQ534" s="529"/>
      <c r="AR534" s="529"/>
      <c r="AS534" s="529"/>
      <c r="AT534" s="529"/>
      <c r="AU534" s="529"/>
      <c r="AV534" s="529">
        <f>AV$52*0.3082</f>
        <v>98.43199294099999</v>
      </c>
      <c r="AW534" s="530">
        <f>AW$52*0.282</f>
        <v>100.86606766199999</v>
      </c>
      <c r="AX534" s="529">
        <f>AX$52*0.2822</f>
        <v>103.20138659999999</v>
      </c>
      <c r="AY534" s="529">
        <f>AY$52*0.2911</f>
        <v>99.286929297900016</v>
      </c>
      <c r="AZ534" s="529">
        <f>AZ$52*(0.2116+0.0438)</f>
        <v>92.001106418399999</v>
      </c>
      <c r="BA534" s="529">
        <f>BA$52*0.2171</f>
        <v>75.722311171000001</v>
      </c>
      <c r="BB534" s="529">
        <f>BB$52*(0.2201+0.0356)</f>
        <v>98.9720190723</v>
      </c>
      <c r="BC534" s="529">
        <f>BC$52*(0.2201+0.0356)</f>
        <v>94.072957679599995</v>
      </c>
      <c r="BD534" s="529">
        <f>BD$52*(0.2122+0.0455)</f>
        <v>93.146721054599993</v>
      </c>
      <c r="BE534" s="529">
        <f>BE$52*(0.2175+0.0391)</f>
        <v>90.8531877984</v>
      </c>
      <c r="BF534" s="529"/>
      <c r="BG534" s="529"/>
      <c r="BH534" s="529"/>
      <c r="BI534" s="529"/>
      <c r="BJ534" s="529"/>
      <c r="BK534" s="529"/>
      <c r="BL534" s="529"/>
      <c r="BN534" s="413"/>
      <c r="BO534" s="268">
        <f t="shared" ref="BO534:BO560" si="849">SUM(AS534:BE534)/SUM(AS$560:BE$560)</f>
        <v>0.2656372319567023</v>
      </c>
    </row>
    <row r="535" spans="1:67">
      <c r="A535" s="528" t="s">
        <v>3</v>
      </c>
      <c r="B535" s="529"/>
      <c r="C535" s="529"/>
      <c r="D535" s="529"/>
      <c r="E535" s="529"/>
      <c r="F535" s="529"/>
      <c r="G535" s="529"/>
      <c r="H535" s="529"/>
      <c r="I535" s="529"/>
      <c r="J535" s="529"/>
      <c r="K535" s="529"/>
      <c r="L535" s="529"/>
      <c r="M535" s="530"/>
      <c r="N535" s="529"/>
      <c r="O535" s="529"/>
      <c r="P535" s="529"/>
      <c r="Q535" s="529"/>
      <c r="R535" s="529"/>
      <c r="S535" s="529"/>
      <c r="T535" s="529"/>
      <c r="U535" s="529"/>
      <c r="V535" s="529"/>
      <c r="W535" s="529"/>
      <c r="X535" s="529"/>
      <c r="Y535" s="530"/>
      <c r="Z535" s="529"/>
      <c r="AA535" s="529"/>
      <c r="AB535" s="529"/>
      <c r="AC535" s="529"/>
      <c r="AD535" s="529"/>
      <c r="AE535" s="529"/>
      <c r="AF535" s="529"/>
      <c r="AG535" s="529"/>
      <c r="AH535" s="529"/>
      <c r="AI535" s="529"/>
      <c r="AJ535" s="529"/>
      <c r="AK535" s="530"/>
      <c r="AL535" s="529"/>
      <c r="AM535" s="529"/>
      <c r="AN535" s="529"/>
      <c r="AO535" s="529"/>
      <c r="AP535" s="529"/>
      <c r="AQ535" s="529"/>
      <c r="AR535" s="529"/>
      <c r="AS535" s="529"/>
      <c r="AT535" s="529"/>
      <c r="AU535" s="529"/>
      <c r="AV535" s="529">
        <f>AV$52*0.1058</f>
        <v>33.790087129</v>
      </c>
      <c r="AW535" s="530">
        <f>AW$52*0.1185</f>
        <v>42.385209283499997</v>
      </c>
      <c r="AX535" s="529">
        <f>AX$52*0.1072</f>
        <v>39.203361600000001</v>
      </c>
      <c r="AY535" s="529">
        <f>AY$52*0.1032</f>
        <v>35.198938864799999</v>
      </c>
      <c r="AZ535" s="529">
        <f>AZ$52*0.0935</f>
        <v>33.680906225999998</v>
      </c>
      <c r="BA535" s="529">
        <f>BA$52*0.1002</f>
        <v>34.948759001999996</v>
      </c>
      <c r="BB535" s="529">
        <f>BB$52*0.0851</f>
        <v>32.939064618899998</v>
      </c>
      <c r="BC535" s="529">
        <f>BC$52*0.0918</f>
        <v>33.773553050400004</v>
      </c>
      <c r="BD535" s="529">
        <f>BD$52*0.0845</f>
        <v>30.542871281</v>
      </c>
      <c r="BE535" s="529">
        <f>BE$52*0.079</f>
        <v>27.971168496000001</v>
      </c>
      <c r="BF535" s="529"/>
      <c r="BG535" s="529"/>
      <c r="BH535" s="529"/>
      <c r="BI535" s="529"/>
      <c r="BJ535" s="529"/>
      <c r="BK535" s="529"/>
      <c r="BL535" s="529"/>
      <c r="BN535" s="413"/>
      <c r="BO535" s="268">
        <f t="shared" si="849"/>
        <v>9.6660525740728087E-2</v>
      </c>
    </row>
    <row r="536" spans="1:67">
      <c r="A536" s="528" t="s">
        <v>18</v>
      </c>
      <c r="B536" s="529"/>
      <c r="C536" s="529"/>
      <c r="D536" s="529"/>
      <c r="E536" s="529"/>
      <c r="F536" s="529"/>
      <c r="G536" s="529"/>
      <c r="H536" s="529"/>
      <c r="I536" s="529"/>
      <c r="J536" s="529"/>
      <c r="K536" s="529"/>
      <c r="L536" s="529"/>
      <c r="M536" s="530"/>
      <c r="N536" s="529"/>
      <c r="O536" s="529"/>
      <c r="P536" s="529"/>
      <c r="Q536" s="529"/>
      <c r="R536" s="529"/>
      <c r="S536" s="529"/>
      <c r="T536" s="529"/>
      <c r="U536" s="529"/>
      <c r="V536" s="529"/>
      <c r="W536" s="529"/>
      <c r="X536" s="529"/>
      <c r="Y536" s="530"/>
      <c r="Z536" s="529"/>
      <c r="AA536" s="529"/>
      <c r="AB536" s="529"/>
      <c r="AC536" s="529"/>
      <c r="AD536" s="529"/>
      <c r="AE536" s="529"/>
      <c r="AF536" s="529"/>
      <c r="AG536" s="529"/>
      <c r="AH536" s="529"/>
      <c r="AI536" s="529"/>
      <c r="AJ536" s="529"/>
      <c r="AK536" s="530"/>
      <c r="AL536" s="529"/>
      <c r="AM536" s="529"/>
      <c r="AN536" s="529"/>
      <c r="AO536" s="529"/>
      <c r="AP536" s="529"/>
      <c r="AQ536" s="529"/>
      <c r="AR536" s="529"/>
      <c r="AS536" s="529"/>
      <c r="AT536" s="529"/>
      <c r="AU536" s="529"/>
      <c r="AV536" s="529">
        <f>AV$52*0.0883</f>
        <v>28.2009895415</v>
      </c>
      <c r="AW536" s="530">
        <f>AW$52*0.0945</f>
        <v>33.800863099499999</v>
      </c>
      <c r="AX536" s="529">
        <f>AX$52*0.0876</f>
        <v>32.0355828</v>
      </c>
      <c r="AY536" s="529">
        <f>AY$52*0.0942</f>
        <v>32.129263963800007</v>
      </c>
      <c r="AZ536" s="529">
        <f>AZ$52*0.0906</f>
        <v>32.636257797599995</v>
      </c>
      <c r="BA536" s="529">
        <f>BA$52*0.0873</f>
        <v>30.449367873</v>
      </c>
      <c r="BB536" s="529">
        <f>BB$52*0.0846</f>
        <v>32.745533099399999</v>
      </c>
      <c r="BC536" s="529">
        <f>BC$52*0.0838</f>
        <v>30.830324026400003</v>
      </c>
      <c r="BD536" s="529">
        <f>BD$52*0.0809</f>
        <v>29.241636528199997</v>
      </c>
      <c r="BE536" s="529">
        <f>BE$52*0.0873</f>
        <v>30.909911515200001</v>
      </c>
      <c r="BF536" s="529"/>
      <c r="BG536" s="529"/>
      <c r="BH536" s="529"/>
      <c r="BI536" s="529"/>
      <c r="BJ536" s="529"/>
      <c r="BK536" s="529"/>
      <c r="BL536" s="529"/>
      <c r="BN536" s="413"/>
      <c r="BO536" s="268">
        <f t="shared" si="849"/>
        <v>8.7833350765855966E-2</v>
      </c>
    </row>
    <row r="537" spans="1:67">
      <c r="A537" s="528" t="s">
        <v>2</v>
      </c>
      <c r="B537" s="529"/>
      <c r="C537" s="529"/>
      <c r="D537" s="529"/>
      <c r="E537" s="529"/>
      <c r="F537" s="529"/>
      <c r="G537" s="529"/>
      <c r="H537" s="529"/>
      <c r="I537" s="529"/>
      <c r="J537" s="529"/>
      <c r="K537" s="529"/>
      <c r="L537" s="529"/>
      <c r="M537" s="530"/>
      <c r="N537" s="529"/>
      <c r="O537" s="529"/>
      <c r="P537" s="529"/>
      <c r="Q537" s="529"/>
      <c r="R537" s="529"/>
      <c r="S537" s="529"/>
      <c r="T537" s="529"/>
      <c r="U537" s="529"/>
      <c r="V537" s="529"/>
      <c r="W537" s="529"/>
      <c r="X537" s="529"/>
      <c r="Y537" s="530"/>
      <c r="Z537" s="529"/>
      <c r="AA537" s="529"/>
      <c r="AB537" s="529"/>
      <c r="AC537" s="529"/>
      <c r="AD537" s="529"/>
      <c r="AE537" s="529"/>
      <c r="AF537" s="529"/>
      <c r="AG537" s="529"/>
      <c r="AH537" s="529"/>
      <c r="AI537" s="529"/>
      <c r="AJ537" s="529"/>
      <c r="AK537" s="530"/>
      <c r="AL537" s="529"/>
      <c r="AM537" s="529"/>
      <c r="AN537" s="529"/>
      <c r="AO537" s="529"/>
      <c r="AP537" s="529"/>
      <c r="AQ537" s="529"/>
      <c r="AR537" s="529"/>
      <c r="AS537" s="529"/>
      <c r="AT537" s="529"/>
      <c r="AU537" s="529"/>
      <c r="AV537" s="529">
        <f>AV$52*0.0943</f>
        <v>30.117251571499999</v>
      </c>
      <c r="AW537" s="530">
        <f>AW$52*0.1007</f>
        <v>36.0184858637</v>
      </c>
      <c r="AX537" s="529">
        <f>AX$52*0.0929</f>
        <v>33.973808699999999</v>
      </c>
      <c r="AY537" s="529">
        <f>AY$52*0.0955</f>
        <v>32.572661449500004</v>
      </c>
      <c r="AZ537" s="529">
        <f>AZ$52*0.0889</f>
        <v>32.023877684399999</v>
      </c>
      <c r="BA537" s="529">
        <f>BA$52*0.0878</f>
        <v>30.623762878000001</v>
      </c>
      <c r="BB537" s="529">
        <f>BB$52*0.0801</f>
        <v>31.0037494239</v>
      </c>
      <c r="BC537" s="529">
        <f>BC$52*0.0833</f>
        <v>30.646372212400003</v>
      </c>
      <c r="BD537" s="529">
        <f>BD$52*0.076</f>
        <v>27.470511448</v>
      </c>
      <c r="BE537" s="529">
        <f>BE$52*0.0858</f>
        <v>30.3788133792</v>
      </c>
      <c r="BF537" s="529"/>
      <c r="BG537" s="529"/>
      <c r="BH537" s="529"/>
      <c r="BI537" s="529"/>
      <c r="BJ537" s="529"/>
      <c r="BK537" s="529"/>
      <c r="BL537" s="529"/>
      <c r="BN537" s="413"/>
      <c r="BO537" s="268">
        <f t="shared" si="849"/>
        <v>8.8352404941012749E-2</v>
      </c>
    </row>
    <row r="538" spans="1:67">
      <c r="A538" s="528" t="s">
        <v>16</v>
      </c>
      <c r="B538" s="529"/>
      <c r="C538" s="529"/>
      <c r="D538" s="529"/>
      <c r="E538" s="529"/>
      <c r="F538" s="529"/>
      <c r="G538" s="529"/>
      <c r="H538" s="529"/>
      <c r="I538" s="529"/>
      <c r="J538" s="529"/>
      <c r="K538" s="529"/>
      <c r="L538" s="529"/>
      <c r="M538" s="530"/>
      <c r="N538" s="529"/>
      <c r="O538" s="529"/>
      <c r="P538" s="529"/>
      <c r="Q538" s="529"/>
      <c r="R538" s="529"/>
      <c r="S538" s="529"/>
      <c r="T538" s="529"/>
      <c r="U538" s="529"/>
      <c r="V538" s="529"/>
      <c r="W538" s="529"/>
      <c r="X538" s="529"/>
      <c r="Y538" s="530"/>
      <c r="Z538" s="529"/>
      <c r="AA538" s="529"/>
      <c r="AB538" s="529"/>
      <c r="AC538" s="529"/>
      <c r="AD538" s="529"/>
      <c r="AE538" s="529"/>
      <c r="AF538" s="529"/>
      <c r="AG538" s="529"/>
      <c r="AH538" s="529"/>
      <c r="AI538" s="529"/>
      <c r="AJ538" s="529"/>
      <c r="AK538" s="530"/>
      <c r="AL538" s="529"/>
      <c r="AM538" s="529"/>
      <c r="AN538" s="529"/>
      <c r="AO538" s="529"/>
      <c r="AP538" s="529"/>
      <c r="AQ538" s="529"/>
      <c r="AR538" s="529"/>
      <c r="AS538" s="529"/>
      <c r="AT538" s="529"/>
      <c r="AU538" s="529"/>
      <c r="AV538" s="529">
        <f>AV$52*0.0634</f>
        <v>20.248502116999997</v>
      </c>
      <c r="AW538" s="530">
        <f>AW$52*0.0655</f>
        <v>23.428111460499998</v>
      </c>
      <c r="AX538" s="529">
        <f>AX$52*0.0816</f>
        <v>29.841364800000001</v>
      </c>
      <c r="AY538" s="529">
        <f>AY$52*0.0809</f>
        <v>27.5929666101</v>
      </c>
      <c r="AZ538" s="529">
        <f>AZ$52*0.0688</f>
        <v>24.783383404799999</v>
      </c>
      <c r="BA538" s="529">
        <f>BA$52*0.0736</f>
        <v>25.670944735999999</v>
      </c>
      <c r="BB538" s="529">
        <f>BB$52*0.0696</f>
        <v>26.939587514399999</v>
      </c>
      <c r="BC538" s="529">
        <f>BC$52*0.0646</f>
        <v>23.766574368800004</v>
      </c>
      <c r="BD538" s="529">
        <f>BD$52*0.0649</f>
        <v>23.4583709602</v>
      </c>
      <c r="BE538" s="529">
        <f>BE$52*0.0711</f>
        <v>25.174051646399999</v>
      </c>
      <c r="BF538" s="529"/>
      <c r="BG538" s="529"/>
      <c r="BH538" s="529"/>
      <c r="BI538" s="529"/>
      <c r="BJ538" s="529"/>
      <c r="BK538" s="529"/>
      <c r="BL538" s="529"/>
      <c r="BN538" s="413"/>
      <c r="BO538" s="268">
        <f t="shared" si="849"/>
        <v>7.0412631889812186E-2</v>
      </c>
    </row>
    <row r="539" spans="1:67">
      <c r="A539" s="528" t="s">
        <v>91</v>
      </c>
      <c r="B539" s="529"/>
      <c r="C539" s="529"/>
      <c r="D539" s="529"/>
      <c r="E539" s="529"/>
      <c r="F539" s="529"/>
      <c r="G539" s="529"/>
      <c r="H539" s="529"/>
      <c r="I539" s="529"/>
      <c r="J539" s="529"/>
      <c r="K539" s="529"/>
      <c r="L539" s="529"/>
      <c r="M539" s="530"/>
      <c r="N539" s="529"/>
      <c r="O539" s="529"/>
      <c r="P539" s="529"/>
      <c r="Q539" s="529"/>
      <c r="R539" s="529"/>
      <c r="S539" s="529"/>
      <c r="T539" s="529"/>
      <c r="U539" s="529"/>
      <c r="V539" s="529"/>
      <c r="W539" s="529"/>
      <c r="X539" s="529"/>
      <c r="Y539" s="530"/>
      <c r="Z539" s="529"/>
      <c r="AA539" s="529"/>
      <c r="AB539" s="529"/>
      <c r="AC539" s="529"/>
      <c r="AD539" s="529"/>
      <c r="AE539" s="529"/>
      <c r="AF539" s="529"/>
      <c r="AG539" s="529"/>
      <c r="AH539" s="529"/>
      <c r="AI539" s="529"/>
      <c r="AJ539" s="529"/>
      <c r="AK539" s="530"/>
      <c r="AL539" s="529"/>
      <c r="AM539" s="529"/>
      <c r="AN539" s="529"/>
      <c r="AO539" s="529"/>
      <c r="AP539" s="529"/>
      <c r="AQ539" s="529"/>
      <c r="AR539" s="529"/>
      <c r="AS539" s="529"/>
      <c r="AT539" s="529"/>
      <c r="AU539" s="529"/>
      <c r="AV539" s="529">
        <f>AV$52*0.0602</f>
        <v>19.226495700999997</v>
      </c>
      <c r="AW539" s="530">
        <f>AW$52*0.0577</f>
        <v>20.638198950699998</v>
      </c>
      <c r="AX539" s="529">
        <f>AX$52*0.0562</f>
        <v>20.552508599999999</v>
      </c>
      <c r="AY539" s="529">
        <f>AY$52*0.0611</f>
        <v>20.839681827900002</v>
      </c>
      <c r="AZ539" s="529">
        <f>AZ$52*0.0634</f>
        <v>22.8381759864</v>
      </c>
      <c r="BA539" s="529">
        <f>BA$52*0.0772</f>
        <v>26.926588772000002</v>
      </c>
      <c r="BB539" s="529">
        <f>BB$52*0.0677</f>
        <v>26.204167740299997</v>
      </c>
      <c r="BC539" s="529">
        <f>BC$52*0.0664</f>
        <v>24.428800899200002</v>
      </c>
      <c r="BD539" s="529">
        <f>BD$52*0.0854</f>
        <v>30.8681799692</v>
      </c>
      <c r="BE539" s="529">
        <f>BE$52*0.0733</f>
        <v>25.952995579200003</v>
      </c>
      <c r="BF539" s="529"/>
      <c r="BG539" s="529"/>
      <c r="BH539" s="529"/>
      <c r="BI539" s="529"/>
      <c r="BJ539" s="529"/>
      <c r="BK539" s="529"/>
      <c r="BL539" s="529"/>
      <c r="BN539" s="413"/>
      <c r="BO539" s="268">
        <f t="shared" si="849"/>
        <v>6.6924870979577708E-2</v>
      </c>
    </row>
    <row r="540" spans="1:67">
      <c r="A540" s="528" t="s">
        <v>17</v>
      </c>
      <c r="B540" s="529"/>
      <c r="C540" s="529"/>
      <c r="D540" s="529"/>
      <c r="E540" s="529"/>
      <c r="F540" s="529"/>
      <c r="G540" s="529"/>
      <c r="H540" s="529"/>
      <c r="I540" s="529"/>
      <c r="J540" s="529"/>
      <c r="K540" s="529"/>
      <c r="L540" s="529"/>
      <c r="M540" s="530"/>
      <c r="N540" s="529"/>
      <c r="O540" s="529"/>
      <c r="P540" s="529"/>
      <c r="Q540" s="529"/>
      <c r="R540" s="529"/>
      <c r="S540" s="529"/>
      <c r="T540" s="529"/>
      <c r="U540" s="529"/>
      <c r="V540" s="529"/>
      <c r="W540" s="529"/>
      <c r="X540" s="529"/>
      <c r="Y540" s="530"/>
      <c r="Z540" s="529"/>
      <c r="AA540" s="529"/>
      <c r="AB540" s="529"/>
      <c r="AC540" s="529"/>
      <c r="AD540" s="529"/>
      <c r="AE540" s="529"/>
      <c r="AF540" s="529"/>
      <c r="AG540" s="529"/>
      <c r="AH540" s="529"/>
      <c r="AI540" s="529"/>
      <c r="AJ540" s="529"/>
      <c r="AK540" s="530"/>
      <c r="AL540" s="529"/>
      <c r="AM540" s="529"/>
      <c r="AN540" s="529"/>
      <c r="AO540" s="529"/>
      <c r="AP540" s="529"/>
      <c r="AQ540" s="529"/>
      <c r="AR540" s="529"/>
      <c r="AS540" s="529"/>
      <c r="AT540" s="529"/>
      <c r="AU540" s="529"/>
      <c r="AV540" s="529">
        <f>AV$52*0.0545</f>
        <v>17.406046772499998</v>
      </c>
      <c r="AW540" s="530">
        <f>AW$52*0.0437</f>
        <v>15.630663676699999</v>
      </c>
      <c r="AX540" s="529">
        <f>AX$52*0.0549</f>
        <v>20.077094699999996</v>
      </c>
      <c r="AY540" s="529">
        <f>AY$52*0.025</f>
        <v>8.5268747250000008</v>
      </c>
      <c r="AZ540" s="529">
        <f>AZ$52*0.0695</f>
        <v>25.035539922000002</v>
      </c>
      <c r="BA540" s="529">
        <f>BA$52*0.063</f>
        <v>21.973770630000001</v>
      </c>
      <c r="BB540" s="529">
        <f>BB$52*0.0651</f>
        <v>25.197803838900001</v>
      </c>
      <c r="BC540" s="529">
        <f>BC$52*0.049</f>
        <v>18.027277772000001</v>
      </c>
      <c r="BD540" s="529">
        <f>BD$52*0.0598</f>
        <v>21.6149550604</v>
      </c>
      <c r="BE540" s="529">
        <f>BE$52*0.0576</f>
        <v>20.3941684224</v>
      </c>
      <c r="BF540" s="529"/>
      <c r="BG540" s="529"/>
      <c r="BH540" s="529"/>
      <c r="BI540" s="529"/>
      <c r="BJ540" s="529"/>
      <c r="BK540" s="529"/>
      <c r="BL540" s="529"/>
      <c r="BN540" s="413"/>
      <c r="BO540" s="268">
        <f t="shared" si="849"/>
        <v>5.4410867246087395E-2</v>
      </c>
    </row>
    <row r="541" spans="1:67">
      <c r="A541" s="528" t="s">
        <v>246</v>
      </c>
      <c r="B541" s="529"/>
      <c r="C541" s="529"/>
      <c r="D541" s="529"/>
      <c r="E541" s="529"/>
      <c r="F541" s="529"/>
      <c r="G541" s="529"/>
      <c r="H541" s="529"/>
      <c r="I541" s="529"/>
      <c r="J541" s="529"/>
      <c r="K541" s="529"/>
      <c r="L541" s="529"/>
      <c r="M541" s="530"/>
      <c r="N541" s="529"/>
      <c r="O541" s="529"/>
      <c r="P541" s="529"/>
      <c r="Q541" s="529"/>
      <c r="R541" s="529"/>
      <c r="S541" s="529"/>
      <c r="T541" s="529"/>
      <c r="U541" s="529"/>
      <c r="V541" s="529"/>
      <c r="W541" s="529"/>
      <c r="X541" s="529"/>
      <c r="Y541" s="530"/>
      <c r="Z541" s="529"/>
      <c r="AA541" s="529"/>
      <c r="AB541" s="529"/>
      <c r="AC541" s="529"/>
      <c r="AD541" s="529"/>
      <c r="AE541" s="529"/>
      <c r="AF541" s="529"/>
      <c r="AG541" s="529"/>
      <c r="AH541" s="529"/>
      <c r="AI541" s="529"/>
      <c r="AJ541" s="529"/>
      <c r="AK541" s="530"/>
      <c r="AL541" s="529"/>
      <c r="AM541" s="529"/>
      <c r="AN541" s="529"/>
      <c r="AO541" s="529"/>
      <c r="AP541" s="529"/>
      <c r="AQ541" s="529"/>
      <c r="AR541" s="529"/>
      <c r="AS541" s="529"/>
      <c r="AT541" s="529"/>
      <c r="AU541" s="529"/>
      <c r="AV541" s="529">
        <f>AV$52*0.0493</f>
        <v>15.745286346499999</v>
      </c>
      <c r="AW541" s="530">
        <f>AW$52*0.0401</f>
        <v>14.343011749099999</v>
      </c>
      <c r="AX541" s="529">
        <f>AX$52*0.0366</f>
        <v>13.384729799999999</v>
      </c>
      <c r="AY541" s="529">
        <f>AY$52*0.0446</f>
        <v>15.2119445094</v>
      </c>
      <c r="AZ541" s="529">
        <f>AZ$52*0.0422</f>
        <v>15.2014357512</v>
      </c>
      <c r="BA541" s="529">
        <f>BA$52*0.046</f>
        <v>16.044340460000001</v>
      </c>
      <c r="BB541" s="529">
        <f>BB$52*0.0371</f>
        <v>14.360038746900001</v>
      </c>
      <c r="BC541" s="529">
        <f>BC$52*0.0434</f>
        <v>15.967017455200002</v>
      </c>
      <c r="BD541" s="529">
        <f>BD$52*0.0379</f>
        <v>13.6991103142</v>
      </c>
      <c r="BE541" s="529">
        <f>BE$52*0.0413</f>
        <v>14.622902011200001</v>
      </c>
      <c r="BF541" s="529"/>
      <c r="BG541" s="529"/>
      <c r="BH541" s="529"/>
      <c r="BI541" s="529"/>
      <c r="BJ541" s="529"/>
      <c r="BK541" s="529"/>
      <c r="BL541" s="529"/>
      <c r="BN541" s="413"/>
      <c r="BO541" s="268">
        <f t="shared" si="849"/>
        <v>4.1696831886557942E-2</v>
      </c>
    </row>
    <row r="542" spans="1:67">
      <c r="A542" s="528" t="s">
        <v>214</v>
      </c>
      <c r="B542" s="529"/>
      <c r="C542" s="529"/>
      <c r="D542" s="529"/>
      <c r="E542" s="529"/>
      <c r="F542" s="529"/>
      <c r="G542" s="529"/>
      <c r="H542" s="529"/>
      <c r="I542" s="529"/>
      <c r="J542" s="529"/>
      <c r="K542" s="529"/>
      <c r="L542" s="529"/>
      <c r="M542" s="530"/>
      <c r="N542" s="529"/>
      <c r="O542" s="529"/>
      <c r="P542" s="529"/>
      <c r="Q542" s="529"/>
      <c r="R542" s="529"/>
      <c r="S542" s="529"/>
      <c r="T542" s="529"/>
      <c r="U542" s="529"/>
      <c r="V542" s="529"/>
      <c r="W542" s="529"/>
      <c r="X542" s="529"/>
      <c r="Y542" s="530"/>
      <c r="Z542" s="529"/>
      <c r="AA542" s="529"/>
      <c r="AB542" s="529"/>
      <c r="AC542" s="529"/>
      <c r="AD542" s="529"/>
      <c r="AE542" s="529"/>
      <c r="AF542" s="529"/>
      <c r="AG542" s="529"/>
      <c r="AH542" s="529"/>
      <c r="AI542" s="529"/>
      <c r="AJ542" s="529"/>
      <c r="AK542" s="530"/>
      <c r="AL542" s="529"/>
      <c r="AM542" s="529"/>
      <c r="AN542" s="529"/>
      <c r="AO542" s="529"/>
      <c r="AP542" s="529"/>
      <c r="AQ542" s="529"/>
      <c r="AR542" s="529"/>
      <c r="AS542" s="529"/>
      <c r="AT542" s="529"/>
      <c r="AU542" s="529"/>
      <c r="AV542" s="529">
        <f>AV$52*0.0303</f>
        <v>9.6771232514999994</v>
      </c>
      <c r="AW542" s="530">
        <f>AW$52*0.0276</f>
        <v>9.8719981116</v>
      </c>
      <c r="AX542" s="529">
        <f>AX$52*0.0258</f>
        <v>9.4351373999999986</v>
      </c>
      <c r="AY542" s="529">
        <f>AY$52*0.0282</f>
        <v>9.6183146898</v>
      </c>
      <c r="AZ542" s="529">
        <f>AZ$52*0.0187</f>
        <v>6.7361812452000001</v>
      </c>
      <c r="BA542" s="529">
        <f>BA$52*0.0265</f>
        <v>9.2429352649999998</v>
      </c>
      <c r="BB542" s="529">
        <f>BB$52*0.031</f>
        <v>11.998954209000001</v>
      </c>
      <c r="BC542" s="529">
        <f>BC$52*0.0225</f>
        <v>8.2778316299999997</v>
      </c>
      <c r="BD542" s="529">
        <f>BD$52*0.022</f>
        <v>7.951990155999999</v>
      </c>
      <c r="BE542" s="529">
        <f>BE$52*0.0169</f>
        <v>5.9837056655999996</v>
      </c>
      <c r="BF542" s="529"/>
      <c r="BG542" s="529"/>
      <c r="BH542" s="529"/>
      <c r="BI542" s="529"/>
      <c r="BJ542" s="529"/>
      <c r="BK542" s="529"/>
      <c r="BL542" s="529"/>
      <c r="BN542" s="413"/>
      <c r="BO542" s="268">
        <f t="shared" si="849"/>
        <v>2.491883297392105E-2</v>
      </c>
    </row>
    <row r="543" spans="1:67">
      <c r="A543" s="528" t="s">
        <v>90</v>
      </c>
      <c r="B543" s="529"/>
      <c r="C543" s="529"/>
      <c r="D543" s="529"/>
      <c r="E543" s="529"/>
      <c r="F543" s="529"/>
      <c r="G543" s="529"/>
      <c r="H543" s="529"/>
      <c r="I543" s="529"/>
      <c r="J543" s="529"/>
      <c r="K543" s="529"/>
      <c r="L543" s="529"/>
      <c r="M543" s="530"/>
      <c r="N543" s="529"/>
      <c r="O543" s="529"/>
      <c r="P543" s="529"/>
      <c r="Q543" s="529"/>
      <c r="R543" s="529"/>
      <c r="S543" s="529"/>
      <c r="T543" s="529"/>
      <c r="U543" s="529"/>
      <c r="V543" s="529"/>
      <c r="W543" s="529"/>
      <c r="X543" s="529"/>
      <c r="Y543" s="530"/>
      <c r="Z543" s="529"/>
      <c r="AA543" s="529"/>
      <c r="AB543" s="529"/>
      <c r="AC543" s="529"/>
      <c r="AD543" s="529"/>
      <c r="AE543" s="529"/>
      <c r="AF543" s="529"/>
      <c r="AG543" s="529"/>
      <c r="AH543" s="529"/>
      <c r="AI543" s="529"/>
      <c r="AJ543" s="529"/>
      <c r="AK543" s="530"/>
      <c r="AL543" s="529"/>
      <c r="AM543" s="529"/>
      <c r="AN543" s="529"/>
      <c r="AO543" s="529"/>
      <c r="AP543" s="529"/>
      <c r="AQ543" s="529"/>
      <c r="AR543" s="529"/>
      <c r="AS543" s="529"/>
      <c r="AT543" s="529"/>
      <c r="AU543" s="529"/>
      <c r="AV543" s="529">
        <f>AV$52*0.0328</f>
        <v>10.475565764000001</v>
      </c>
      <c r="AW543" s="530">
        <f>AW$52*0.0266</f>
        <v>9.5143170205999983</v>
      </c>
      <c r="AX543" s="529">
        <f>AX$52*0.0272</f>
        <v>9.9471215999999991</v>
      </c>
      <c r="AY543" s="529">
        <f>AY$52*0.0279</f>
        <v>9.5159921931000007</v>
      </c>
      <c r="AZ543" s="529">
        <f>AZ$52*0.0236</f>
        <v>8.5012768655999995</v>
      </c>
      <c r="BA543" s="529">
        <f>BA$52*0.02</f>
        <v>6.9758002000000001</v>
      </c>
      <c r="BB543" s="529">
        <f>BB$52*0.026</f>
        <v>10.063639014</v>
      </c>
      <c r="BC543" s="529">
        <f>BC$52*0.0308</f>
        <v>11.331431742400001</v>
      </c>
      <c r="BD543" s="529">
        <f>BD$52*0.0312</f>
        <v>11.2773678576</v>
      </c>
      <c r="BE543" s="529">
        <f>BE$52*0.0308</f>
        <v>10.905215059200001</v>
      </c>
      <c r="BF543" s="529"/>
      <c r="BG543" s="529"/>
      <c r="BH543" s="529"/>
      <c r="BI543" s="529"/>
      <c r="BJ543" s="529"/>
      <c r="BK543" s="529"/>
      <c r="BL543" s="529"/>
      <c r="BN543" s="413"/>
      <c r="BO543" s="268">
        <f t="shared" si="849"/>
        <v>2.7644805495153038E-2</v>
      </c>
    </row>
    <row r="544" spans="1:67">
      <c r="A544" s="5" t="s">
        <v>58</v>
      </c>
      <c r="B544" s="529"/>
      <c r="C544" s="529"/>
      <c r="D544" s="529"/>
      <c r="E544" s="529"/>
      <c r="F544" s="529"/>
      <c r="G544" s="529"/>
      <c r="H544" s="529"/>
      <c r="I544" s="529"/>
      <c r="J544" s="529"/>
      <c r="K544" s="529"/>
      <c r="L544" s="529"/>
      <c r="M544" s="530"/>
      <c r="N544" s="529"/>
      <c r="O544" s="529"/>
      <c r="P544" s="529"/>
      <c r="Q544" s="529"/>
      <c r="R544" s="529"/>
      <c r="S544" s="529"/>
      <c r="T544" s="529"/>
      <c r="U544" s="529"/>
      <c r="V544" s="529"/>
      <c r="W544" s="529"/>
      <c r="X544" s="529"/>
      <c r="Y544" s="530"/>
      <c r="Z544" s="529"/>
      <c r="AA544" s="529"/>
      <c r="AB544" s="529"/>
      <c r="AC544" s="529"/>
      <c r="AD544" s="529"/>
      <c r="AE544" s="529"/>
      <c r="AF544" s="529"/>
      <c r="AG544" s="529"/>
      <c r="AH544" s="529"/>
      <c r="AI544" s="529"/>
      <c r="AJ544" s="529"/>
      <c r="AK544" s="530"/>
      <c r="AL544" s="529"/>
      <c r="AM544" s="529"/>
      <c r="AN544" s="529"/>
      <c r="AO544" s="529"/>
      <c r="AP544" s="529"/>
      <c r="AQ544" s="529"/>
      <c r="AR544" s="529"/>
      <c r="AS544" s="529"/>
      <c r="AT544" s="529"/>
      <c r="AU544" s="529"/>
      <c r="AV544" s="1"/>
      <c r="AW544" s="2"/>
      <c r="AX544" s="1"/>
      <c r="AY544" s="1"/>
      <c r="AZ544" s="1"/>
      <c r="BA544" s="1"/>
      <c r="BB544" s="529">
        <f>BB$52*0.0238</f>
        <v>9.2121003282</v>
      </c>
      <c r="BC544" s="529">
        <f>BC$52*0.0387</f>
        <v>14.237870403600001</v>
      </c>
      <c r="BD544" s="529">
        <f>BD$52*0.0295</f>
        <v>10.662895891</v>
      </c>
      <c r="BE544" s="529">
        <f>BE$52*0.0241</f>
        <v>8.5329767184000005</v>
      </c>
      <c r="BF544" s="529"/>
      <c r="BG544" s="529"/>
      <c r="BH544" s="529"/>
      <c r="BI544" s="529"/>
      <c r="BJ544" s="529"/>
      <c r="BK544" s="529"/>
      <c r="BL544" s="529"/>
      <c r="BN544" s="413"/>
      <c r="BO544" s="268">
        <f t="shared" si="849"/>
        <v>1.1967954966176244E-2</v>
      </c>
    </row>
    <row r="545" spans="1:67">
      <c r="A545" s="528" t="s">
        <v>19</v>
      </c>
      <c r="B545" s="529"/>
      <c r="C545" s="529"/>
      <c r="D545" s="529"/>
      <c r="E545" s="529"/>
      <c r="F545" s="529"/>
      <c r="G545" s="529"/>
      <c r="H545" s="529"/>
      <c r="I545" s="529"/>
      <c r="J545" s="529"/>
      <c r="K545" s="529"/>
      <c r="L545" s="529"/>
      <c r="M545" s="530"/>
      <c r="N545" s="529"/>
      <c r="O545" s="529"/>
      <c r="P545" s="529"/>
      <c r="Q545" s="529"/>
      <c r="R545" s="529"/>
      <c r="S545" s="529"/>
      <c r="T545" s="529"/>
      <c r="U545" s="529"/>
      <c r="V545" s="529"/>
      <c r="W545" s="529"/>
      <c r="X545" s="529"/>
      <c r="Y545" s="530"/>
      <c r="Z545" s="529"/>
      <c r="AA545" s="529"/>
      <c r="AB545" s="529"/>
      <c r="AC545" s="529"/>
      <c r="AD545" s="529"/>
      <c r="AE545" s="529"/>
      <c r="AF545" s="529"/>
      <c r="AG545" s="529"/>
      <c r="AH545" s="529"/>
      <c r="AI545" s="529"/>
      <c r="AJ545" s="529"/>
      <c r="AK545" s="530"/>
      <c r="AL545" s="529"/>
      <c r="AM545" s="529"/>
      <c r="AN545" s="529"/>
      <c r="AO545" s="529"/>
      <c r="AP545" s="529"/>
      <c r="AQ545" s="529"/>
      <c r="AR545" s="529"/>
      <c r="AS545" s="529"/>
      <c r="AT545" s="529"/>
      <c r="AU545" s="529"/>
      <c r="AV545" s="529">
        <f>AV$52*0.0079</f>
        <v>2.5230783395</v>
      </c>
      <c r="AW545" s="530">
        <f>AW$52*0.0178</f>
        <v>6.3667234197999996</v>
      </c>
      <c r="AX545" s="529">
        <f>AX$52*0.0081</f>
        <v>2.9621942999999997</v>
      </c>
      <c r="AY545" s="529">
        <f>AY$52*0.0082</f>
        <v>2.7968149098000006</v>
      </c>
      <c r="AZ545" s="529">
        <f>AZ$52*0.0092</f>
        <v>3.3140570831999998</v>
      </c>
      <c r="BA545" s="529">
        <f>BA$52*0.0111</f>
        <v>3.8715691109999999</v>
      </c>
      <c r="BB545" s="529">
        <f>BB$52*0.0206</f>
        <v>7.9734986034000004</v>
      </c>
      <c r="BC545" s="529">
        <f>BC$52*0.0148</f>
        <v>5.4449736944000007</v>
      </c>
      <c r="BD545" s="529">
        <f>BD$52*0.0146</f>
        <v>5.2772298307999996</v>
      </c>
      <c r="BE545" s="529">
        <f>BE$52*0.0153</f>
        <v>5.4172009872000002</v>
      </c>
      <c r="BF545" s="529"/>
      <c r="BG545" s="529"/>
      <c r="BH545" s="529"/>
      <c r="BI545" s="529"/>
      <c r="BJ545" s="529"/>
      <c r="BK545" s="529"/>
      <c r="BL545" s="529"/>
      <c r="BN545" s="413"/>
      <c r="BO545" s="268">
        <f t="shared" si="849"/>
        <v>1.2894473556924416E-2</v>
      </c>
    </row>
    <row r="546" spans="1:67">
      <c r="A546" s="528" t="s">
        <v>11</v>
      </c>
      <c r="B546" s="529"/>
      <c r="C546" s="529"/>
      <c r="D546" s="529"/>
      <c r="E546" s="529"/>
      <c r="F546" s="529"/>
      <c r="G546" s="529"/>
      <c r="H546" s="529"/>
      <c r="I546" s="529"/>
      <c r="J546" s="529"/>
      <c r="K546" s="529"/>
      <c r="L546" s="529"/>
      <c r="M546" s="530"/>
      <c r="N546" s="529"/>
      <c r="O546" s="529"/>
      <c r="P546" s="529"/>
      <c r="Q546" s="529"/>
      <c r="R546" s="529"/>
      <c r="S546" s="529"/>
      <c r="T546" s="529"/>
      <c r="U546" s="529"/>
      <c r="V546" s="529"/>
      <c r="W546" s="529"/>
      <c r="X546" s="529"/>
      <c r="Y546" s="530"/>
      <c r="Z546" s="529"/>
      <c r="AA546" s="529"/>
      <c r="AB546" s="529"/>
      <c r="AC546" s="529"/>
      <c r="AD546" s="529"/>
      <c r="AE546" s="529"/>
      <c r="AF546" s="529"/>
      <c r="AG546" s="529"/>
      <c r="AH546" s="529"/>
      <c r="AI546" s="529"/>
      <c r="AJ546" s="529"/>
      <c r="AK546" s="530"/>
      <c r="AL546" s="529"/>
      <c r="AM546" s="529"/>
      <c r="AN546" s="529"/>
      <c r="AO546" s="529"/>
      <c r="AP546" s="529"/>
      <c r="AQ546" s="529"/>
      <c r="AR546" s="529"/>
      <c r="AS546" s="529"/>
      <c r="AT546" s="529"/>
      <c r="AU546" s="529"/>
      <c r="AV546" s="1"/>
      <c r="AW546" s="2"/>
      <c r="AX546" s="1"/>
      <c r="AY546" s="1"/>
      <c r="AZ546" s="1"/>
      <c r="BA546" s="1"/>
      <c r="BB546" s="529">
        <f>BB$52*0.0097</f>
        <v>3.7545114783</v>
      </c>
      <c r="BC546" s="529">
        <f>BC$52*0.0124</f>
        <v>4.5620049871999999</v>
      </c>
      <c r="BD546" s="529">
        <f>BD$52*0.0121</f>
        <v>4.3735945857999994</v>
      </c>
      <c r="BE546" s="529">
        <f>BE$52*0.0107</f>
        <v>3.7885000367999999</v>
      </c>
      <c r="BF546" s="529"/>
      <c r="BG546" s="529"/>
      <c r="BH546" s="529"/>
      <c r="BI546" s="529"/>
      <c r="BJ546" s="529"/>
      <c r="BK546" s="529"/>
      <c r="BL546" s="529"/>
      <c r="BN546" s="413"/>
      <c r="BO546" s="268">
        <f t="shared" si="849"/>
        <v>4.6244899843963065E-3</v>
      </c>
    </row>
    <row r="547" spans="1:67">
      <c r="A547" s="528" t="s">
        <v>8</v>
      </c>
      <c r="B547" s="529"/>
      <c r="C547" s="529"/>
      <c r="D547" s="529"/>
      <c r="E547" s="529"/>
      <c r="F547" s="529"/>
      <c r="G547" s="529"/>
      <c r="H547" s="529"/>
      <c r="I547" s="529"/>
      <c r="J547" s="529"/>
      <c r="K547" s="529"/>
      <c r="L547" s="529"/>
      <c r="M547" s="530"/>
      <c r="N547" s="529"/>
      <c r="O547" s="529"/>
      <c r="P547" s="529"/>
      <c r="Q547" s="529"/>
      <c r="R547" s="529"/>
      <c r="S547" s="529"/>
      <c r="T547" s="529"/>
      <c r="U547" s="529"/>
      <c r="V547" s="529"/>
      <c r="W547" s="529"/>
      <c r="X547" s="529"/>
      <c r="Y547" s="530"/>
      <c r="Z547" s="529"/>
      <c r="AA547" s="529"/>
      <c r="AB547" s="529"/>
      <c r="AC547" s="529"/>
      <c r="AD547" s="529"/>
      <c r="AE547" s="529"/>
      <c r="AF547" s="529"/>
      <c r="AG547" s="529"/>
      <c r="AH547" s="529"/>
      <c r="AI547" s="529"/>
      <c r="AJ547" s="529"/>
      <c r="AK547" s="530"/>
      <c r="AL547" s="529"/>
      <c r="AM547" s="529"/>
      <c r="AN547" s="529"/>
      <c r="AO547" s="529"/>
      <c r="AP547" s="529"/>
      <c r="AQ547" s="529"/>
      <c r="AR547" s="529"/>
      <c r="AS547" s="529"/>
      <c r="AT547" s="529"/>
      <c r="AU547" s="529"/>
      <c r="AV547" s="1"/>
      <c r="AW547" s="2"/>
      <c r="AX547" s="1"/>
      <c r="AY547" s="1"/>
      <c r="AZ547" s="1"/>
      <c r="BA547" s="1"/>
      <c r="BB547" s="529">
        <f>BB$52*0.009</f>
        <v>3.4835673509999996</v>
      </c>
      <c r="BC547" s="529">
        <f>BC$52*0.0115</f>
        <v>4.230891722</v>
      </c>
      <c r="BD547" s="529">
        <f>BD$52*0.0097</f>
        <v>3.5061047506</v>
      </c>
      <c r="BE547" s="529">
        <f>BE$52*0.0128</f>
        <v>4.5320374272000006</v>
      </c>
      <c r="BF547" s="529"/>
      <c r="BG547" s="529"/>
      <c r="BH547" s="529"/>
      <c r="BI547" s="529"/>
      <c r="BJ547" s="529"/>
      <c r="BK547" s="529"/>
      <c r="BL547" s="529"/>
      <c r="BN547" s="413"/>
      <c r="BO547" s="268">
        <f t="shared" si="849"/>
        <v>4.4207455545279663E-3</v>
      </c>
    </row>
    <row r="548" spans="1:67">
      <c r="A548" s="528" t="s">
        <v>55</v>
      </c>
      <c r="B548" s="529"/>
      <c r="C548" s="529"/>
      <c r="D548" s="529"/>
      <c r="E548" s="529"/>
      <c r="F548" s="529"/>
      <c r="G548" s="529"/>
      <c r="H548" s="529"/>
      <c r="I548" s="529"/>
      <c r="J548" s="529"/>
      <c r="K548" s="529"/>
      <c r="L548" s="529"/>
      <c r="M548" s="530"/>
      <c r="N548" s="529"/>
      <c r="O548" s="529"/>
      <c r="P548" s="529"/>
      <c r="Q548" s="529"/>
      <c r="R548" s="529"/>
      <c r="S548" s="529"/>
      <c r="T548" s="529"/>
      <c r="U548" s="529"/>
      <c r="V548" s="529"/>
      <c r="W548" s="529"/>
      <c r="X548" s="529"/>
      <c r="Y548" s="530"/>
      <c r="Z548" s="529"/>
      <c r="AA548" s="529"/>
      <c r="AB548" s="529"/>
      <c r="AC548" s="529"/>
      <c r="AD548" s="529"/>
      <c r="AE548" s="529"/>
      <c r="AF548" s="529"/>
      <c r="AG548" s="529"/>
      <c r="AH548" s="529"/>
      <c r="AI548" s="529"/>
      <c r="AJ548" s="529"/>
      <c r="AK548" s="530"/>
      <c r="AL548" s="529"/>
      <c r="AM548" s="529"/>
      <c r="AN548" s="529"/>
      <c r="AO548" s="529"/>
      <c r="AP548" s="529"/>
      <c r="AQ548" s="529"/>
      <c r="AR548" s="529"/>
      <c r="AS548" s="529"/>
      <c r="AT548" s="529"/>
      <c r="AU548" s="529"/>
      <c r="AV548" s="529">
        <f>AV$52*0.0088</f>
        <v>2.8105176439999999</v>
      </c>
      <c r="AW548" s="530">
        <f>AW$52*0.0066</f>
        <v>2.3606952005999999</v>
      </c>
      <c r="AX548" s="529">
        <f>AX$52*0.0114</f>
        <v>4.1690141999999994</v>
      </c>
      <c r="AY548" s="529">
        <f>AY$52*0.0073</f>
        <v>2.4898474197000002</v>
      </c>
      <c r="AZ548" s="529">
        <f>AZ$52*0.0075</f>
        <v>2.7016769699999998</v>
      </c>
      <c r="BA548" s="529">
        <f>BA$52*0.006</f>
        <v>2.0927400600000001</v>
      </c>
      <c r="BB548" s="529">
        <f>BB$52*0.0089</f>
        <v>3.4448610470999999</v>
      </c>
      <c r="BC548" s="529">
        <f>BC$52*0.0073</f>
        <v>2.6856964844000002</v>
      </c>
      <c r="BD548" s="529">
        <f>BD$52*0.0051</f>
        <v>1.8434158998000001</v>
      </c>
      <c r="BE548" s="529">
        <f>BE$52*0.0057</f>
        <v>2.0181729168000002</v>
      </c>
      <c r="BF548" s="529"/>
      <c r="BG548" s="529"/>
      <c r="BH548" s="529"/>
      <c r="BI548" s="529"/>
      <c r="BJ548" s="529"/>
      <c r="BK548" s="529"/>
      <c r="BL548" s="529"/>
      <c r="BN548" s="413"/>
      <c r="BO548" s="268">
        <f t="shared" si="849"/>
        <v>7.4695843273691062E-3</v>
      </c>
    </row>
    <row r="549" spans="1:67">
      <c r="A549" s="528" t="s">
        <v>65</v>
      </c>
      <c r="B549" s="529"/>
      <c r="C549" s="529"/>
      <c r="D549" s="529"/>
      <c r="E549" s="529"/>
      <c r="F549" s="529"/>
      <c r="G549" s="529"/>
      <c r="H549" s="529"/>
      <c r="I549" s="529"/>
      <c r="J549" s="529"/>
      <c r="K549" s="529"/>
      <c r="L549" s="529"/>
      <c r="M549" s="530"/>
      <c r="N549" s="529"/>
      <c r="O549" s="529"/>
      <c r="P549" s="529"/>
      <c r="Q549" s="529"/>
      <c r="R549" s="529"/>
      <c r="S549" s="529"/>
      <c r="T549" s="529"/>
      <c r="U549" s="529"/>
      <c r="V549" s="529"/>
      <c r="W549" s="529"/>
      <c r="X549" s="529"/>
      <c r="Y549" s="530"/>
      <c r="Z549" s="529"/>
      <c r="AA549" s="529"/>
      <c r="AB549" s="529"/>
      <c r="AC549" s="529"/>
      <c r="AD549" s="529"/>
      <c r="AE549" s="529"/>
      <c r="AF549" s="529"/>
      <c r="AG549" s="529"/>
      <c r="AH549" s="529"/>
      <c r="AI549" s="529"/>
      <c r="AJ549" s="529"/>
      <c r="AK549" s="530"/>
      <c r="AL549" s="529"/>
      <c r="AM549" s="529"/>
      <c r="AN549" s="529"/>
      <c r="AO549" s="529"/>
      <c r="AP549" s="529"/>
      <c r="AQ549" s="529"/>
      <c r="AR549" s="529"/>
      <c r="AS549" s="529"/>
      <c r="AT549" s="529"/>
      <c r="AU549" s="529"/>
      <c r="AV549" s="1"/>
      <c r="AW549" s="2"/>
      <c r="AX549" s="1"/>
      <c r="AY549" s="1"/>
      <c r="AZ549" s="1"/>
      <c r="BA549" s="1"/>
      <c r="BB549" s="529">
        <f>BB$52*0.0082</f>
        <v>3.1739169198000003</v>
      </c>
      <c r="BC549" s="529">
        <f>BC$52*0.0094</f>
        <v>3.4582941032000005</v>
      </c>
      <c r="BD549" s="529">
        <f>BD$52*0.0069</f>
        <v>2.4940332761999997</v>
      </c>
      <c r="BE549" s="529">
        <f>BE$52*0.0027</f>
        <v>0.95597664480000011</v>
      </c>
      <c r="BF549" s="529"/>
      <c r="BG549" s="529"/>
      <c r="BH549" s="529"/>
      <c r="BI549" s="529"/>
      <c r="BJ549" s="529"/>
      <c r="BK549" s="529"/>
      <c r="BL549" s="529"/>
      <c r="BN549" s="413"/>
      <c r="BO549" s="268">
        <f t="shared" si="849"/>
        <v>2.8294332287306014E-3</v>
      </c>
    </row>
    <row r="550" spans="1:67">
      <c r="A550" s="528" t="s">
        <v>66</v>
      </c>
      <c r="B550" s="529"/>
      <c r="C550" s="529"/>
      <c r="D550" s="529"/>
      <c r="E550" s="529"/>
      <c r="F550" s="529"/>
      <c r="G550" s="529"/>
      <c r="H550" s="529"/>
      <c r="I550" s="529"/>
      <c r="J550" s="529"/>
      <c r="K550" s="529"/>
      <c r="L550" s="529"/>
      <c r="M550" s="530"/>
      <c r="N550" s="529"/>
      <c r="O550" s="529"/>
      <c r="P550" s="529"/>
      <c r="Q550" s="529"/>
      <c r="R550" s="529"/>
      <c r="S550" s="529"/>
      <c r="T550" s="529"/>
      <c r="U550" s="529"/>
      <c r="V550" s="529"/>
      <c r="W550" s="529"/>
      <c r="X550" s="529"/>
      <c r="Y550" s="530"/>
      <c r="Z550" s="529"/>
      <c r="AA550" s="529"/>
      <c r="AB550" s="529"/>
      <c r="AC550" s="529"/>
      <c r="AD550" s="529"/>
      <c r="AE550" s="529"/>
      <c r="AF550" s="529"/>
      <c r="AG550" s="529"/>
      <c r="AH550" s="529"/>
      <c r="AI550" s="529"/>
      <c r="AJ550" s="529"/>
      <c r="AK550" s="530"/>
      <c r="AL550" s="529"/>
      <c r="AM550" s="529"/>
      <c r="AN550" s="529"/>
      <c r="AO550" s="529"/>
      <c r="AP550" s="529"/>
      <c r="AQ550" s="529"/>
      <c r="AR550" s="529"/>
      <c r="AS550" s="529"/>
      <c r="AT550" s="529"/>
      <c r="AU550" s="529"/>
      <c r="AV550" s="1"/>
      <c r="AW550" s="2"/>
      <c r="AX550" s="1"/>
      <c r="AY550" s="1"/>
      <c r="AZ550" s="1"/>
      <c r="BA550" s="1"/>
      <c r="BB550" s="529">
        <f>BB$52*0.0078</f>
        <v>3.0190917042000001</v>
      </c>
      <c r="BC550" s="529">
        <f>BC$52*0.0073</f>
        <v>2.6856964844000002</v>
      </c>
      <c r="BD550" s="529">
        <f>BD$52*0.0084</f>
        <v>3.0362144231999997</v>
      </c>
      <c r="BE550" s="529">
        <f>BE$52*0.0084</f>
        <v>2.9741495616</v>
      </c>
      <c r="BF550" s="529"/>
      <c r="BG550" s="529"/>
      <c r="BH550" s="529"/>
      <c r="BI550" s="529"/>
      <c r="BJ550" s="529"/>
      <c r="BK550" s="529"/>
      <c r="BL550" s="529"/>
      <c r="BN550" s="413"/>
      <c r="BO550" s="268">
        <f t="shared" si="849"/>
        <v>3.287692366906484E-3</v>
      </c>
    </row>
    <row r="551" spans="1:67">
      <c r="A551" s="528" t="s">
        <v>5</v>
      </c>
      <c r="B551" s="529"/>
      <c r="C551" s="529"/>
      <c r="D551" s="529"/>
      <c r="E551" s="529"/>
      <c r="F551" s="529"/>
      <c r="G551" s="529"/>
      <c r="H551" s="529"/>
      <c r="I551" s="529"/>
      <c r="J551" s="529"/>
      <c r="K551" s="529"/>
      <c r="L551" s="529"/>
      <c r="M551" s="530"/>
      <c r="N551" s="529"/>
      <c r="O551" s="529"/>
      <c r="P551" s="529"/>
      <c r="Q551" s="529"/>
      <c r="R551" s="529"/>
      <c r="S551" s="529"/>
      <c r="T551" s="529"/>
      <c r="U551" s="529"/>
      <c r="V551" s="529"/>
      <c r="W551" s="529"/>
      <c r="X551" s="529"/>
      <c r="Y551" s="530"/>
      <c r="Z551" s="529"/>
      <c r="AA551" s="529"/>
      <c r="AB551" s="529"/>
      <c r="AC551" s="529"/>
      <c r="AD551" s="529"/>
      <c r="AE551" s="529"/>
      <c r="AF551" s="529"/>
      <c r="AG551" s="529"/>
      <c r="AH551" s="529"/>
      <c r="AI551" s="529"/>
      <c r="AJ551" s="529"/>
      <c r="AK551" s="530"/>
      <c r="AL551" s="529"/>
      <c r="AM551" s="529"/>
      <c r="AN551" s="529"/>
      <c r="AO551" s="529"/>
      <c r="AP551" s="529"/>
      <c r="AQ551" s="529"/>
      <c r="AR551" s="529"/>
      <c r="AS551" s="529"/>
      <c r="AT551" s="529"/>
      <c r="AU551" s="529"/>
      <c r="AV551" s="529">
        <f>AV$52*0.0119</f>
        <v>3.8005863595000005</v>
      </c>
      <c r="AW551" s="530">
        <f>AW$52*0.0158</f>
        <v>5.6513612378000007</v>
      </c>
      <c r="AX551" s="529">
        <f>AX$52*0.0127</f>
        <v>4.6444280999999998</v>
      </c>
      <c r="AY551" s="529">
        <f>AY$52*0.0166</f>
        <v>5.6618448174000005</v>
      </c>
      <c r="AZ551" s="529">
        <f>AZ$52*0.0171</f>
        <v>6.1598234916000001</v>
      </c>
      <c r="BA551" s="529">
        <f>BA$52*0.011</f>
        <v>3.8366901099999997</v>
      </c>
      <c r="BB551" s="529">
        <f>BB$52*0.0072</f>
        <v>2.7868538807999998</v>
      </c>
      <c r="BC551" s="529">
        <f>BC$52*0.0044</f>
        <v>1.6187759632000003</v>
      </c>
      <c r="BD551" s="529">
        <f>BD$52*0.0048</f>
        <v>1.7349796703999998</v>
      </c>
      <c r="BE551" s="529">
        <f>BE$52*0.0059</f>
        <v>2.0889860015999999</v>
      </c>
      <c r="BF551" s="529"/>
      <c r="BG551" s="529"/>
      <c r="BH551" s="529"/>
      <c r="BI551" s="529"/>
      <c r="BJ551" s="529"/>
      <c r="BK551" s="529"/>
      <c r="BL551" s="529"/>
      <c r="BN551" s="413"/>
      <c r="BO551" s="268">
        <f t="shared" si="849"/>
        <v>1.0659766834076838E-2</v>
      </c>
    </row>
    <row r="552" spans="1:67">
      <c r="A552" s="528" t="s">
        <v>56</v>
      </c>
      <c r="B552" s="529"/>
      <c r="C552" s="529"/>
      <c r="D552" s="529"/>
      <c r="E552" s="529"/>
      <c r="F552" s="529"/>
      <c r="G552" s="529"/>
      <c r="H552" s="529"/>
      <c r="I552" s="529"/>
      <c r="J552" s="529"/>
      <c r="K552" s="529"/>
      <c r="L552" s="529"/>
      <c r="M552" s="530"/>
      <c r="N552" s="529"/>
      <c r="O552" s="529"/>
      <c r="P552" s="529"/>
      <c r="Q552" s="529"/>
      <c r="R552" s="529"/>
      <c r="S552" s="529"/>
      <c r="T552" s="529"/>
      <c r="U552" s="529"/>
      <c r="V552" s="529"/>
      <c r="W552" s="529"/>
      <c r="X552" s="529"/>
      <c r="Y552" s="530"/>
      <c r="Z552" s="529"/>
      <c r="AA552" s="529"/>
      <c r="AB552" s="529"/>
      <c r="AC552" s="529"/>
      <c r="AD552" s="529"/>
      <c r="AE552" s="529"/>
      <c r="AF552" s="529"/>
      <c r="AG552" s="529"/>
      <c r="AH552" s="529"/>
      <c r="AI552" s="529"/>
      <c r="AJ552" s="529"/>
      <c r="AK552" s="530"/>
      <c r="AL552" s="529"/>
      <c r="AM552" s="529"/>
      <c r="AN552" s="529"/>
      <c r="AO552" s="529"/>
      <c r="AP552" s="529"/>
      <c r="AQ552" s="529"/>
      <c r="AR552" s="529"/>
      <c r="AS552" s="529"/>
      <c r="AT552" s="529"/>
      <c r="AU552" s="529"/>
      <c r="AV552" s="529">
        <f>AV$52*0.013</f>
        <v>4.1519010649999997</v>
      </c>
      <c r="AW552" s="530">
        <f>AW$52*0.0095</f>
        <v>3.3979703644999999</v>
      </c>
      <c r="AX552" s="529">
        <f>AX$52*0.0115</f>
        <v>4.2055844999999996</v>
      </c>
      <c r="AY552" s="529">
        <f>AY$52*0.0052</f>
        <v>1.7735899427999999</v>
      </c>
      <c r="AZ552" s="529">
        <f>AZ$52*0.0096</f>
        <v>3.4581465215999994</v>
      </c>
      <c r="BA552" s="529">
        <f>BA$52*0.0064</f>
        <v>2.232256064</v>
      </c>
      <c r="BB552" s="529">
        <f>BB$52*0.0041</f>
        <v>1.5869584599000002</v>
      </c>
      <c r="BC552" s="529">
        <f>BC$52*0.0037</f>
        <v>1.3612434236000002</v>
      </c>
      <c r="BD552" s="529">
        <f>BD$52*0.0046</f>
        <v>1.6626888508</v>
      </c>
      <c r="BE552" s="529">
        <f>BE$52*0.0047</f>
        <v>1.6641074928000001</v>
      </c>
      <c r="BF552" s="529"/>
      <c r="BG552" s="529"/>
      <c r="BH552" s="529"/>
      <c r="BI552" s="529"/>
      <c r="BJ552" s="529"/>
      <c r="BK552" s="529"/>
      <c r="BL552" s="529"/>
      <c r="BN552" s="413"/>
      <c r="BO552" s="268">
        <f t="shared" si="849"/>
        <v>7.1546571930232962E-3</v>
      </c>
    </row>
    <row r="553" spans="1:67">
      <c r="A553" s="5" t="s">
        <v>378</v>
      </c>
      <c r="B553" s="529"/>
      <c r="C553" s="529"/>
      <c r="D553" s="529"/>
      <c r="E553" s="529"/>
      <c r="F553" s="529"/>
      <c r="G553" s="529"/>
      <c r="H553" s="529"/>
      <c r="I553" s="529"/>
      <c r="J553" s="529"/>
      <c r="K553" s="529"/>
      <c r="L553" s="529"/>
      <c r="M553" s="530"/>
      <c r="N553" s="529"/>
      <c r="O553" s="529"/>
      <c r="P553" s="529"/>
      <c r="Q553" s="529"/>
      <c r="R553" s="529"/>
      <c r="S553" s="529"/>
      <c r="T553" s="529"/>
      <c r="U553" s="529"/>
      <c r="V553" s="529"/>
      <c r="W553" s="529"/>
      <c r="X553" s="529"/>
      <c r="Y553" s="530"/>
      <c r="Z553" s="529"/>
      <c r="AA553" s="529"/>
      <c r="AB553" s="529"/>
      <c r="AC553" s="529"/>
      <c r="AD553" s="529"/>
      <c r="AE553" s="529"/>
      <c r="AF553" s="529"/>
      <c r="AG553" s="529"/>
      <c r="AH553" s="529"/>
      <c r="AI553" s="529"/>
      <c r="AJ553" s="529"/>
      <c r="AK553" s="530"/>
      <c r="AL553" s="529"/>
      <c r="AM553" s="529"/>
      <c r="AN553" s="529"/>
      <c r="AO553" s="529"/>
      <c r="AP553" s="529"/>
      <c r="AQ553" s="529"/>
      <c r="AR553" s="529"/>
      <c r="AS553" s="529"/>
      <c r="AT553" s="529"/>
      <c r="AU553" s="529"/>
      <c r="AV553" s="4"/>
      <c r="AW553" s="3"/>
      <c r="AX553" s="4"/>
      <c r="AY553" s="4"/>
      <c r="AZ553" s="4"/>
      <c r="BA553" s="4"/>
      <c r="BB553" s="4"/>
      <c r="BC553" s="529">
        <f>BC$52*0.0126</f>
        <v>4.6355857128000002</v>
      </c>
      <c r="BD553" s="529">
        <f>BD$52*0.0069</f>
        <v>2.4940332761999997</v>
      </c>
      <c r="BE553" s="529">
        <f>BE$52*0.0042</f>
        <v>1.4870747808</v>
      </c>
      <c r="BF553" s="529"/>
      <c r="BG553" s="529"/>
      <c r="BH553" s="529"/>
      <c r="BI553" s="529"/>
      <c r="BJ553" s="529"/>
      <c r="BK553" s="529"/>
      <c r="BL553" s="529"/>
      <c r="BN553" s="413"/>
      <c r="BO553" s="268">
        <f t="shared" si="849"/>
        <v>2.4181536795795963E-3</v>
      </c>
    </row>
    <row r="554" spans="1:67">
      <c r="A554" s="5" t="s">
        <v>15</v>
      </c>
      <c r="B554" s="529"/>
      <c r="C554" s="529"/>
      <c r="D554" s="529"/>
      <c r="E554" s="529"/>
      <c r="F554" s="529"/>
      <c r="G554" s="529"/>
      <c r="H554" s="529"/>
      <c r="I554" s="529"/>
      <c r="J554" s="529"/>
      <c r="K554" s="529"/>
      <c r="L554" s="529"/>
      <c r="M554" s="530"/>
      <c r="N554" s="529"/>
      <c r="O554" s="529"/>
      <c r="P554" s="529"/>
      <c r="Q554" s="529"/>
      <c r="R554" s="529"/>
      <c r="S554" s="529"/>
      <c r="T554" s="529"/>
      <c r="U554" s="529"/>
      <c r="V554" s="529"/>
      <c r="W554" s="529"/>
      <c r="X554" s="529"/>
      <c r="Y554" s="530"/>
      <c r="Z554" s="529"/>
      <c r="AA554" s="529"/>
      <c r="AB554" s="529"/>
      <c r="AC554" s="529"/>
      <c r="AD554" s="529"/>
      <c r="AE554" s="529"/>
      <c r="AF554" s="529"/>
      <c r="AG554" s="529"/>
      <c r="AH554" s="529"/>
      <c r="AI554" s="529"/>
      <c r="AJ554" s="529"/>
      <c r="AK554" s="530"/>
      <c r="AL554" s="529"/>
      <c r="AM554" s="529"/>
      <c r="AN554" s="529"/>
      <c r="AO554" s="529"/>
      <c r="AP554" s="529"/>
      <c r="AQ554" s="529"/>
      <c r="AR554" s="529"/>
      <c r="AS554" s="529"/>
      <c r="AT554" s="529"/>
      <c r="AU554" s="529"/>
      <c r="AV554" s="4"/>
      <c r="AW554" s="3"/>
      <c r="AX554" s="4"/>
      <c r="AY554" s="4"/>
      <c r="AZ554" s="4"/>
      <c r="BA554" s="4"/>
      <c r="BB554" s="4"/>
      <c r="BC554" s="529">
        <f>BC$52*0.0047</f>
        <v>1.7291470516000003</v>
      </c>
      <c r="BD554" s="529">
        <f>BD$52*0.0046</f>
        <v>1.6626888508</v>
      </c>
      <c r="BE554" s="529">
        <f>BE$52*0.0046</f>
        <v>1.6287009504000001</v>
      </c>
      <c r="BF554" s="529"/>
      <c r="BG554" s="529"/>
      <c r="BH554" s="529"/>
      <c r="BI554" s="529"/>
      <c r="BJ554" s="529"/>
      <c r="BK554" s="529"/>
      <c r="BL554" s="529"/>
      <c r="BN554" s="413"/>
      <c r="BO554" s="268">
        <f t="shared" si="849"/>
        <v>1.4089429180613757E-3</v>
      </c>
    </row>
    <row r="555" spans="1:67">
      <c r="A555" s="5" t="s">
        <v>377</v>
      </c>
      <c r="B555" s="529"/>
      <c r="C555" s="529"/>
      <c r="D555" s="529"/>
      <c r="E555" s="529"/>
      <c r="F555" s="529"/>
      <c r="G555" s="529"/>
      <c r="H555" s="529"/>
      <c r="I555" s="529"/>
      <c r="J555" s="529"/>
      <c r="K555" s="529"/>
      <c r="L555" s="529"/>
      <c r="M555" s="530"/>
      <c r="N555" s="529"/>
      <c r="O555" s="529"/>
      <c r="P555" s="529"/>
      <c r="Q555" s="529"/>
      <c r="R555" s="529"/>
      <c r="S555" s="529"/>
      <c r="T555" s="529"/>
      <c r="U555" s="529"/>
      <c r="V555" s="529"/>
      <c r="W555" s="529"/>
      <c r="X555" s="529"/>
      <c r="Y555" s="530"/>
      <c r="Z555" s="529"/>
      <c r="AA555" s="529"/>
      <c r="AB555" s="529"/>
      <c r="AC555" s="529"/>
      <c r="AD555" s="529"/>
      <c r="AE555" s="529"/>
      <c r="AF555" s="529"/>
      <c r="AG555" s="529"/>
      <c r="AH555" s="529"/>
      <c r="AI555" s="529"/>
      <c r="AJ555" s="529"/>
      <c r="AK555" s="530"/>
      <c r="AL555" s="529"/>
      <c r="AM555" s="529"/>
      <c r="AN555" s="529"/>
      <c r="AO555" s="529"/>
      <c r="AP555" s="529"/>
      <c r="AQ555" s="529"/>
      <c r="AR555" s="529"/>
      <c r="AS555" s="529"/>
      <c r="AT555" s="529"/>
      <c r="AU555" s="529"/>
      <c r="AV555" s="4"/>
      <c r="AW555" s="3"/>
      <c r="AX555" s="4"/>
      <c r="AY555" s="4"/>
      <c r="AZ555" s="4"/>
      <c r="BA555" s="4"/>
      <c r="BB555" s="4"/>
      <c r="BC555" s="529">
        <f>BC$52*0.0046</f>
        <v>1.6923566888000001</v>
      </c>
      <c r="BD555" s="529">
        <f>BD$52*0.0074</f>
        <v>2.6747603251999998</v>
      </c>
      <c r="BE555" s="529">
        <f>BE$52*0.0074</f>
        <v>2.6200841376000001</v>
      </c>
      <c r="BF555" s="529"/>
      <c r="BG555" s="529"/>
      <c r="BH555" s="529"/>
      <c r="BI555" s="529"/>
      <c r="BJ555" s="529"/>
      <c r="BK555" s="529"/>
      <c r="BL555" s="529"/>
      <c r="BN555" s="413"/>
      <c r="BO555" s="268">
        <f t="shared" si="849"/>
        <v>1.9608595391798988E-3</v>
      </c>
    </row>
    <row r="556" spans="1:67">
      <c r="A556" s="5" t="s">
        <v>13</v>
      </c>
      <c r="B556" s="529"/>
      <c r="C556" s="529"/>
      <c r="D556" s="529"/>
      <c r="E556" s="529"/>
      <c r="F556" s="529"/>
      <c r="G556" s="529"/>
      <c r="H556" s="529"/>
      <c r="I556" s="529"/>
      <c r="J556" s="529"/>
      <c r="K556" s="529"/>
      <c r="L556" s="529"/>
      <c r="M556" s="530"/>
      <c r="N556" s="529"/>
      <c r="O556" s="529"/>
      <c r="P556" s="529"/>
      <c r="Q556" s="529"/>
      <c r="R556" s="529"/>
      <c r="S556" s="529"/>
      <c r="T556" s="529"/>
      <c r="U556" s="529"/>
      <c r="V556" s="529"/>
      <c r="W556" s="529"/>
      <c r="X556" s="529"/>
      <c r="Y556" s="530"/>
      <c r="Z556" s="529"/>
      <c r="AA556" s="529"/>
      <c r="AB556" s="529"/>
      <c r="AC556" s="529"/>
      <c r="AD556" s="529"/>
      <c r="AE556" s="529"/>
      <c r="AF556" s="529"/>
      <c r="AG556" s="529"/>
      <c r="AH556" s="529"/>
      <c r="AI556" s="529"/>
      <c r="AJ556" s="529"/>
      <c r="AK556" s="530"/>
      <c r="AL556" s="529"/>
      <c r="AM556" s="529"/>
      <c r="AN556" s="529"/>
      <c r="AO556" s="529"/>
      <c r="AP556" s="529"/>
      <c r="AQ556" s="529"/>
      <c r="AR556" s="529"/>
      <c r="AS556" s="529"/>
      <c r="AT556" s="529"/>
      <c r="AU556" s="529"/>
      <c r="AV556" s="4"/>
      <c r="AW556" s="3"/>
      <c r="AX556" s="4"/>
      <c r="AY556" s="4"/>
      <c r="AZ556" s="4"/>
      <c r="BA556" s="4"/>
      <c r="BB556" s="4"/>
      <c r="BC556" s="529">
        <f>BC$52*0.0045</f>
        <v>1.655566326</v>
      </c>
      <c r="BD556" s="529">
        <f>BD$52*0.0018</f>
        <v>0.65061737639999995</v>
      </c>
      <c r="BE556" s="529">
        <f>BE$52*0.0005</f>
        <v>0.17703271200000001</v>
      </c>
      <c r="BF556" s="529"/>
      <c r="BG556" s="529"/>
      <c r="BH556" s="529"/>
      <c r="BI556" s="529"/>
      <c r="BJ556" s="529"/>
      <c r="BK556" s="529"/>
      <c r="BL556" s="529"/>
      <c r="BN556" s="413"/>
      <c r="BO556" s="268">
        <f t="shared" si="849"/>
        <v>6.9687969308130434E-4</v>
      </c>
    </row>
    <row r="557" spans="1:67">
      <c r="A557" s="5" t="s">
        <v>381</v>
      </c>
      <c r="B557" s="529"/>
      <c r="C557" s="529"/>
      <c r="D557" s="529"/>
      <c r="E557" s="529"/>
      <c r="F557" s="529"/>
      <c r="G557" s="529"/>
      <c r="H557" s="529"/>
      <c r="I557" s="529"/>
      <c r="J557" s="529"/>
      <c r="K557" s="529"/>
      <c r="L557" s="529"/>
      <c r="M557" s="530"/>
      <c r="N557" s="529"/>
      <c r="O557" s="529"/>
      <c r="P557" s="529"/>
      <c r="Q557" s="529"/>
      <c r="R557" s="529"/>
      <c r="S557" s="529"/>
      <c r="T557" s="529"/>
      <c r="U557" s="529"/>
      <c r="V557" s="529"/>
      <c r="W557" s="529"/>
      <c r="X557" s="529"/>
      <c r="Y557" s="530"/>
      <c r="Z557" s="529"/>
      <c r="AA557" s="529"/>
      <c r="AB557" s="529"/>
      <c r="AC557" s="529"/>
      <c r="AD557" s="529"/>
      <c r="AE557" s="529"/>
      <c r="AF557" s="529"/>
      <c r="AG557" s="529"/>
      <c r="AH557" s="529"/>
      <c r="AI557" s="529"/>
      <c r="AJ557" s="529"/>
      <c r="AK557" s="530"/>
      <c r="AL557" s="529"/>
      <c r="AM557" s="529"/>
      <c r="AN557" s="529"/>
      <c r="AO557" s="529"/>
      <c r="AP557" s="529"/>
      <c r="AQ557" s="529"/>
      <c r="AR557" s="529"/>
      <c r="AS557" s="529"/>
      <c r="AT557" s="529"/>
      <c r="AU557" s="529"/>
      <c r="AV557" s="4"/>
      <c r="AW557" s="3"/>
      <c r="AX557" s="4"/>
      <c r="AY557" s="4"/>
      <c r="AZ557" s="4"/>
      <c r="BA557" s="4"/>
      <c r="BB557" s="4"/>
      <c r="BC557" s="4"/>
      <c r="BD557" s="529">
        <f>BD$52*0.0022</f>
        <v>0.79519901560000006</v>
      </c>
      <c r="BE557" s="529">
        <f>BE$52*0.0061</f>
        <v>2.1597990864000001</v>
      </c>
      <c r="BF557" s="529"/>
      <c r="BG557" s="529"/>
      <c r="BH557" s="529"/>
      <c r="BI557" s="529"/>
      <c r="BJ557" s="529"/>
      <c r="BK557" s="529"/>
      <c r="BL557" s="529"/>
      <c r="BN557" s="413"/>
      <c r="BO557" s="268">
        <f t="shared" si="849"/>
        <v>8.2927857533317913E-4</v>
      </c>
    </row>
    <row r="558" spans="1:67">
      <c r="A558" s="528" t="s">
        <v>25</v>
      </c>
      <c r="B558" s="529"/>
      <c r="C558" s="529"/>
      <c r="D558" s="529"/>
      <c r="E558" s="529"/>
      <c r="F558" s="529"/>
      <c r="G558" s="529"/>
      <c r="H558" s="529"/>
      <c r="I558" s="529"/>
      <c r="J558" s="529"/>
      <c r="K558" s="529"/>
      <c r="L558" s="529"/>
      <c r="M558" s="530"/>
      <c r="N558" s="529"/>
      <c r="O558" s="529"/>
      <c r="P558" s="529"/>
      <c r="Q558" s="529"/>
      <c r="R558" s="529"/>
      <c r="S558" s="529"/>
      <c r="T558" s="529"/>
      <c r="U558" s="529"/>
      <c r="V558" s="529"/>
      <c r="W558" s="529"/>
      <c r="X558" s="529"/>
      <c r="Y558" s="530"/>
      <c r="Z558" s="529"/>
      <c r="AA558" s="529"/>
      <c r="AB558" s="529"/>
      <c r="AC558" s="529"/>
      <c r="AD558" s="529"/>
      <c r="AE558" s="529"/>
      <c r="AF558" s="529"/>
      <c r="AG558" s="529"/>
      <c r="AH558" s="529"/>
      <c r="AI558" s="529"/>
      <c r="AJ558" s="529"/>
      <c r="AK558" s="530"/>
      <c r="AL558" s="529"/>
      <c r="AM558" s="529"/>
      <c r="AN558" s="529"/>
      <c r="AO558" s="529"/>
      <c r="AP558" s="529"/>
      <c r="AQ558" s="529"/>
      <c r="AR558" s="529"/>
      <c r="AS558" s="529"/>
      <c r="AT558" s="529"/>
      <c r="AU558" s="529"/>
      <c r="AV558" s="529">
        <f>AV$52*0.0119</f>
        <v>3.8005863595000005</v>
      </c>
      <c r="AW558" s="530">
        <f>AW$52*0.0145</f>
        <v>5.1863758195000003</v>
      </c>
      <c r="AX558" s="529">
        <f>AX$52*0.013</f>
        <v>4.7541389999999994</v>
      </c>
      <c r="AY558" s="529">
        <f>AY$52*0.016</f>
        <v>5.4571998240000008</v>
      </c>
      <c r="AZ558" s="529">
        <f>AZ$52*(0.005+0.002)</f>
        <v>2.5215651719999999</v>
      </c>
      <c r="BA558" s="529">
        <f>BA$52*(0.0041+0.0016)</f>
        <v>1.988103057</v>
      </c>
      <c r="BB558" s="529">
        <f>BB$52*(0.0035+0.0047)</f>
        <v>3.1739169198000003</v>
      </c>
      <c r="BC558" s="529">
        <f>BC$52*(0.0012+0.0052)</f>
        <v>2.3545832191999998</v>
      </c>
      <c r="BD558" s="529">
        <f>BD$52*(0.0083+0.0048)</f>
        <v>4.7350486837999997</v>
      </c>
      <c r="BE558" s="529">
        <f>BE$52*(0.0023+0.0006)</f>
        <v>1.0267897295999999</v>
      </c>
      <c r="BF558" s="529"/>
      <c r="BG558" s="529"/>
      <c r="BH558" s="529"/>
      <c r="BI558" s="529"/>
      <c r="BJ558" s="529"/>
      <c r="BK558" s="529"/>
      <c r="BL558" s="529"/>
      <c r="BN558" s="413"/>
      <c r="BO558" s="268">
        <f t="shared" si="849"/>
        <v>9.8217818816451283E-3</v>
      </c>
    </row>
    <row r="559" spans="1:67">
      <c r="A559" s="528" t="s">
        <v>216</v>
      </c>
      <c r="B559" s="529"/>
      <c r="C559" s="529"/>
      <c r="D559" s="529"/>
      <c r="E559" s="529"/>
      <c r="F559" s="529"/>
      <c r="G559" s="529"/>
      <c r="H559" s="529"/>
      <c r="I559" s="529"/>
      <c r="J559" s="529"/>
      <c r="K559" s="529"/>
      <c r="L559" s="529"/>
      <c r="M559" s="530"/>
      <c r="N559" s="529"/>
      <c r="O559" s="529"/>
      <c r="P559" s="529"/>
      <c r="Q559" s="529"/>
      <c r="R559" s="529"/>
      <c r="S559" s="529"/>
      <c r="T559" s="529"/>
      <c r="U559" s="529"/>
      <c r="V559" s="529"/>
      <c r="W559" s="529"/>
      <c r="X559" s="529"/>
      <c r="Y559" s="530"/>
      <c r="Z559" s="529"/>
      <c r="AA559" s="529"/>
      <c r="AB559" s="529"/>
      <c r="AC559" s="529"/>
      <c r="AD559" s="529"/>
      <c r="AE559" s="529"/>
      <c r="AF559" s="529"/>
      <c r="AG559" s="529"/>
      <c r="AH559" s="529"/>
      <c r="AI559" s="529"/>
      <c r="AJ559" s="529"/>
      <c r="AK559" s="530"/>
      <c r="AL559" s="529"/>
      <c r="AM559" s="529"/>
      <c r="AN559" s="529"/>
      <c r="AO559" s="529"/>
      <c r="AP559" s="529"/>
      <c r="AQ559" s="529"/>
      <c r="AR559" s="529"/>
      <c r="AS559" s="529"/>
      <c r="AT559" s="529"/>
      <c r="AU559" s="529"/>
      <c r="AV559" s="529">
        <f>AV52-SUM(AV534:AV558)</f>
        <v>18.970994096999959</v>
      </c>
      <c r="AW559" s="530">
        <f>AW52-SUM(AW534:AW558)</f>
        <v>28.221038079899984</v>
      </c>
      <c r="AX559" s="529">
        <f>AX$52-SUM(AX534:AX558)</f>
        <v>33.315543299999945</v>
      </c>
      <c r="AY559" s="529">
        <f>AY$52-SUM(AY534:AY558)</f>
        <v>32.402123955000036</v>
      </c>
      <c r="AZ559" s="529">
        <f t="shared" ref="AZ559:BA559" si="850">AZ$52-SUM(AZ534:AZ558)</f>
        <v>48.630185460000064</v>
      </c>
      <c r="BA559" s="529">
        <f t="shared" si="850"/>
        <v>56.19007061100001</v>
      </c>
      <c r="BB559" s="529">
        <f t="shared" ref="BB559:BE559" si="851">BB$52-SUM(BB534:BB558)</f>
        <v>35.029205029500133</v>
      </c>
      <c r="BC559" s="529">
        <f t="shared" si="851"/>
        <v>24.428800899199985</v>
      </c>
      <c r="BD559" s="529">
        <f t="shared" si="851"/>
        <v>24.578878663999831</v>
      </c>
      <c r="BE559" s="529">
        <f t="shared" si="851"/>
        <v>29.847715243200128</v>
      </c>
      <c r="BF559" s="529"/>
      <c r="BG559" s="529"/>
      <c r="BH559" s="529"/>
      <c r="BI559" s="529"/>
      <c r="BJ559" s="529"/>
      <c r="BK559" s="529"/>
      <c r="BL559" s="529"/>
      <c r="BN559" s="413"/>
      <c r="BO559" s="268">
        <f t="shared" si="849"/>
        <v>9.3062951825579818E-2</v>
      </c>
    </row>
    <row r="560" spans="1:67">
      <c r="A560" s="531" t="s">
        <v>129</v>
      </c>
      <c r="B560" s="532"/>
      <c r="C560" s="532"/>
      <c r="D560" s="532"/>
      <c r="E560" s="532"/>
      <c r="F560" s="532"/>
      <c r="G560" s="532"/>
      <c r="H560" s="533"/>
      <c r="I560" s="533"/>
      <c r="J560" s="533"/>
      <c r="K560" s="533"/>
      <c r="L560" s="533"/>
      <c r="M560" s="534"/>
      <c r="N560" s="535"/>
      <c r="O560" s="535"/>
      <c r="P560" s="535"/>
      <c r="Q560" s="535"/>
      <c r="R560" s="535"/>
      <c r="S560" s="535"/>
      <c r="T560" s="535"/>
      <c r="U560" s="535"/>
      <c r="V560" s="535"/>
      <c r="W560" s="535"/>
      <c r="X560" s="535"/>
      <c r="Y560" s="536"/>
      <c r="Z560" s="535"/>
      <c r="AA560" s="535"/>
      <c r="AB560" s="535"/>
      <c r="AC560" s="535"/>
      <c r="AD560" s="535"/>
      <c r="AE560" s="535"/>
      <c r="AF560" s="535"/>
      <c r="AG560" s="535"/>
      <c r="AH560" s="535"/>
      <c r="AI560" s="535"/>
      <c r="AJ560" s="535"/>
      <c r="AK560" s="536"/>
      <c r="AL560" s="535"/>
      <c r="AM560" s="535"/>
      <c r="AN560" s="535"/>
      <c r="AO560" s="535"/>
      <c r="AP560" s="535"/>
      <c r="AQ560" s="535"/>
      <c r="AR560" s="535"/>
      <c r="AS560" s="535"/>
      <c r="AT560" s="535"/>
      <c r="AU560" s="535"/>
      <c r="AV560" s="535">
        <f>SUM(AV534:AV559)</f>
        <v>319.377005</v>
      </c>
      <c r="AW560" s="536">
        <f>SUM(AW534:AW559)</f>
        <v>357.68109099999998</v>
      </c>
      <c r="AX560" s="535">
        <f>SUM(AX534:AX559)</f>
        <v>365.70299999999997</v>
      </c>
      <c r="AY560" s="535">
        <f t="shared" ref="AY560:AZ560" si="852">SUM(AY534:AY559)</f>
        <v>341.07498900000002</v>
      </c>
      <c r="AZ560" s="535">
        <f t="shared" si="852"/>
        <v>360.22359599999999</v>
      </c>
      <c r="BA560" s="535">
        <f t="shared" ref="BA560:BB560" si="853">SUM(BA534:BA559)</f>
        <v>348.79001</v>
      </c>
      <c r="BB560" s="535">
        <f t="shared" si="853"/>
        <v>387.063039</v>
      </c>
      <c r="BC560" s="535">
        <f t="shared" ref="BC560:BD560" si="854">SUM(BC534:BC559)</f>
        <v>367.90362800000003</v>
      </c>
      <c r="BD560" s="535">
        <f t="shared" si="854"/>
        <v>361.45409799999999</v>
      </c>
      <c r="BE560" s="535">
        <f t="shared" ref="BE560:BG560" si="855">SUM(BE534:BE559)</f>
        <v>354.06542400000001</v>
      </c>
      <c r="BF560" s="535">
        <f t="shared" si="855"/>
        <v>0</v>
      </c>
      <c r="BG560" s="535">
        <f t="shared" si="855"/>
        <v>0</v>
      </c>
      <c r="BH560" s="529"/>
      <c r="BI560" s="529"/>
      <c r="BJ560" s="529"/>
      <c r="BK560" s="529"/>
      <c r="BL560" s="529"/>
      <c r="BN560" s="413"/>
      <c r="BO560" s="269">
        <f t="shared" si="849"/>
        <v>1</v>
      </c>
    </row>
    <row r="561" spans="1:67" ht="16" thickBot="1">
      <c r="A561" s="537"/>
      <c r="B561" s="538"/>
      <c r="C561" s="538"/>
      <c r="D561" s="538"/>
      <c r="E561" s="538"/>
      <c r="F561" s="538"/>
      <c r="G561" s="538"/>
      <c r="H561" s="538"/>
      <c r="I561" s="538"/>
      <c r="J561" s="538"/>
      <c r="K561" s="538"/>
      <c r="L561" s="538"/>
      <c r="M561" s="539"/>
      <c r="N561" s="538"/>
      <c r="O561" s="538"/>
      <c r="P561" s="538"/>
      <c r="Q561" s="538"/>
      <c r="R561" s="538"/>
      <c r="S561" s="538"/>
      <c r="T561" s="538"/>
      <c r="U561" s="538"/>
      <c r="V561" s="538"/>
      <c r="W561" s="538"/>
      <c r="X561" s="538"/>
      <c r="Y561" s="539"/>
      <c r="Z561" s="538"/>
      <c r="AA561" s="538"/>
      <c r="AB561" s="538"/>
      <c r="AC561" s="538"/>
      <c r="AD561" s="538"/>
      <c r="AE561" s="538"/>
      <c r="AF561" s="538"/>
      <c r="AG561" s="538"/>
      <c r="AH561" s="538"/>
      <c r="AI561" s="538"/>
      <c r="AJ561" s="538"/>
      <c r="AK561" s="539"/>
      <c r="AL561" s="538"/>
      <c r="AM561" s="538"/>
      <c r="AN561" s="538"/>
      <c r="AO561" s="538"/>
      <c r="AP561" s="538"/>
      <c r="AQ561" s="538"/>
      <c r="AR561" s="538"/>
      <c r="AS561" s="538"/>
      <c r="AT561" s="538"/>
      <c r="AU561" s="538"/>
      <c r="AV561" s="538"/>
      <c r="AW561" s="539"/>
      <c r="AX561" s="538"/>
      <c r="AY561" s="538"/>
      <c r="AZ561" s="538"/>
      <c r="BA561" s="538"/>
      <c r="BB561" s="538"/>
      <c r="BC561" s="538"/>
      <c r="BD561" s="538"/>
      <c r="BE561" s="538"/>
      <c r="BF561" s="538"/>
      <c r="BG561" s="538"/>
      <c r="BH561" s="529"/>
      <c r="BI561" s="529"/>
      <c r="BJ561" s="529"/>
      <c r="BK561" s="529"/>
      <c r="BL561" s="529"/>
      <c r="BN561" s="413"/>
      <c r="BO561" s="355"/>
    </row>
    <row r="562" spans="1:67">
      <c r="BH562" s="529"/>
      <c r="BI562" s="529"/>
      <c r="BJ562" s="529"/>
      <c r="BK562" s="529"/>
      <c r="BL562" s="529"/>
    </row>
    <row r="563" spans="1:67">
      <c r="BH563" s="529"/>
      <c r="BI563" s="529"/>
      <c r="BJ563" s="529"/>
      <c r="BK563" s="529"/>
      <c r="BL563" s="529"/>
    </row>
    <row r="564" spans="1:67">
      <c r="A564" s="291" t="s">
        <v>49</v>
      </c>
      <c r="B564" s="413"/>
      <c r="C564" s="413"/>
      <c r="D564" s="413"/>
      <c r="E564" s="413"/>
      <c r="F564" s="413"/>
      <c r="G564" s="413"/>
      <c r="H564" s="413"/>
      <c r="I564" s="413"/>
      <c r="J564" s="413"/>
      <c r="K564" s="413"/>
      <c r="L564" s="413"/>
      <c r="M564" s="413"/>
      <c r="N564" s="413"/>
      <c r="O564" s="413"/>
      <c r="P564" s="413"/>
      <c r="Q564" s="413"/>
      <c r="R564" s="413"/>
      <c r="S564" s="413"/>
      <c r="T564" s="413"/>
      <c r="U564" s="413"/>
      <c r="V564" s="413"/>
      <c r="W564" s="413"/>
      <c r="X564" s="413"/>
      <c r="Y564" s="413"/>
      <c r="Z564" s="413"/>
      <c r="AA564" s="413"/>
      <c r="AB564" s="413"/>
      <c r="AC564" s="413"/>
      <c r="AD564" s="413"/>
      <c r="AE564" s="413"/>
      <c r="AF564" s="413"/>
      <c r="AG564" s="413"/>
      <c r="AH564" s="413"/>
      <c r="AI564" s="413"/>
      <c r="AJ564" s="413"/>
      <c r="AK564" s="413"/>
      <c r="AL564" s="413"/>
      <c r="AM564" s="413"/>
      <c r="AN564" s="413"/>
      <c r="AO564" s="413"/>
      <c r="AP564" s="413"/>
      <c r="AQ564" s="413"/>
      <c r="AR564" s="413"/>
      <c r="AS564" s="413"/>
      <c r="AT564" s="413"/>
      <c r="AU564" s="413"/>
      <c r="AV564" s="413"/>
      <c r="AW564" s="413"/>
      <c r="AX564" s="413"/>
      <c r="AY564" s="413"/>
      <c r="AZ564" s="413"/>
      <c r="BA564" s="413"/>
      <c r="BB564" s="413"/>
      <c r="BC564" s="413"/>
      <c r="BD564" s="413"/>
      <c r="BE564" s="413"/>
      <c r="BF564" s="413"/>
      <c r="BG564" s="413"/>
      <c r="BH564" s="529"/>
      <c r="BI564" s="529"/>
      <c r="BJ564" s="529"/>
      <c r="BK564" s="529"/>
      <c r="BL564" s="529"/>
      <c r="BN564" s="413"/>
      <c r="BO564" s="413"/>
    </row>
    <row r="565" spans="1:67" ht="16" thickBot="1">
      <c r="A565" s="413"/>
      <c r="B565" s="413"/>
      <c r="C565" s="413"/>
      <c r="D565" s="413"/>
      <c r="E565" s="413"/>
      <c r="F565" s="413"/>
      <c r="G565" s="413"/>
      <c r="H565" s="413"/>
      <c r="I565" s="413"/>
      <c r="J565" s="413"/>
      <c r="K565" s="413"/>
      <c r="L565" s="413"/>
      <c r="M565" s="413"/>
      <c r="N565" s="413"/>
      <c r="O565" s="413"/>
      <c r="P565" s="413"/>
      <c r="Q565" s="413"/>
      <c r="R565" s="413"/>
      <c r="S565" s="413"/>
      <c r="T565" s="413"/>
      <c r="U565" s="413"/>
      <c r="V565" s="413"/>
      <c r="W565" s="413"/>
      <c r="X565" s="413"/>
      <c r="Y565" s="413"/>
      <c r="Z565" s="413"/>
      <c r="AA565" s="413"/>
      <c r="AB565" s="413"/>
      <c r="AC565" s="413"/>
      <c r="AD565" s="413"/>
      <c r="AE565" s="413"/>
      <c r="AF565" s="413"/>
      <c r="AG565" s="413"/>
      <c r="AH565" s="413"/>
      <c r="AI565" s="413"/>
      <c r="AJ565" s="413"/>
      <c r="AK565" s="413"/>
      <c r="AL565" s="413"/>
      <c r="AM565" s="413"/>
      <c r="AN565" s="413"/>
      <c r="AO565" s="413"/>
      <c r="AP565" s="413"/>
      <c r="AQ565" s="413"/>
      <c r="AR565" s="413"/>
      <c r="AS565" s="413"/>
      <c r="AT565" s="413"/>
      <c r="AU565" s="413"/>
      <c r="AV565" s="413"/>
      <c r="AW565" s="413"/>
      <c r="AX565" s="413"/>
      <c r="AY565" s="413"/>
      <c r="AZ565" s="413"/>
      <c r="BA565" s="413"/>
      <c r="BB565" s="413"/>
      <c r="BC565" s="413"/>
      <c r="BD565" s="413"/>
      <c r="BE565" s="413"/>
      <c r="BF565" s="413"/>
      <c r="BG565" s="413"/>
      <c r="BH565" s="529"/>
      <c r="BI565" s="529"/>
      <c r="BJ565" s="529"/>
      <c r="BK565" s="529"/>
      <c r="BL565" s="529"/>
      <c r="BN565" s="413"/>
      <c r="BO565" s="413"/>
    </row>
    <row r="566" spans="1:67" ht="16">
      <c r="A566" s="523" t="s">
        <v>150</v>
      </c>
      <c r="B566" s="524">
        <v>39448</v>
      </c>
      <c r="C566" s="524">
        <v>39479</v>
      </c>
      <c r="D566" s="524">
        <v>39508</v>
      </c>
      <c r="E566" s="524">
        <v>39539</v>
      </c>
      <c r="F566" s="524">
        <v>39569</v>
      </c>
      <c r="G566" s="524">
        <v>39600</v>
      </c>
      <c r="H566" s="524">
        <v>39630</v>
      </c>
      <c r="I566" s="524">
        <v>39661</v>
      </c>
      <c r="J566" s="524">
        <v>39692</v>
      </c>
      <c r="K566" s="524">
        <v>39722</v>
      </c>
      <c r="L566" s="524">
        <v>39753</v>
      </c>
      <c r="M566" s="525">
        <v>39783</v>
      </c>
      <c r="N566" s="524">
        <v>39814</v>
      </c>
      <c r="O566" s="524">
        <v>39845</v>
      </c>
      <c r="P566" s="524">
        <v>39873</v>
      </c>
      <c r="Q566" s="524">
        <v>39904</v>
      </c>
      <c r="R566" s="524">
        <v>39934</v>
      </c>
      <c r="S566" s="524">
        <v>39965</v>
      </c>
      <c r="T566" s="524">
        <v>39995</v>
      </c>
      <c r="U566" s="524">
        <v>40026</v>
      </c>
      <c r="V566" s="524">
        <v>40057</v>
      </c>
      <c r="W566" s="524">
        <v>40087</v>
      </c>
      <c r="X566" s="524">
        <v>40118</v>
      </c>
      <c r="Y566" s="525">
        <v>40148</v>
      </c>
      <c r="Z566" s="524">
        <v>40179</v>
      </c>
      <c r="AA566" s="524">
        <v>40210</v>
      </c>
      <c r="AB566" s="524">
        <v>40238</v>
      </c>
      <c r="AC566" s="524">
        <v>40269</v>
      </c>
      <c r="AD566" s="524">
        <v>40299</v>
      </c>
      <c r="AE566" s="524">
        <v>40330</v>
      </c>
      <c r="AF566" s="524">
        <v>40360</v>
      </c>
      <c r="AG566" s="524">
        <v>40391</v>
      </c>
      <c r="AH566" s="524">
        <v>40422</v>
      </c>
      <c r="AI566" s="524">
        <v>40452</v>
      </c>
      <c r="AJ566" s="524">
        <v>40483</v>
      </c>
      <c r="AK566" s="525">
        <v>40513</v>
      </c>
      <c r="AL566" s="524">
        <v>40544</v>
      </c>
      <c r="AM566" s="524">
        <v>40575</v>
      </c>
      <c r="AN566" s="524">
        <v>40603</v>
      </c>
      <c r="AO566" s="524">
        <v>40634</v>
      </c>
      <c r="AP566" s="524">
        <v>40664</v>
      </c>
      <c r="AQ566" s="524">
        <v>40695</v>
      </c>
      <c r="AR566" s="524">
        <v>40725</v>
      </c>
      <c r="AS566" s="524">
        <v>40756</v>
      </c>
      <c r="AT566" s="524">
        <v>40787</v>
      </c>
      <c r="AU566" s="524">
        <v>40817</v>
      </c>
      <c r="AV566" s="524">
        <v>40848</v>
      </c>
      <c r="AW566" s="525">
        <v>40878</v>
      </c>
      <c r="AX566" s="524">
        <v>40909</v>
      </c>
      <c r="AY566" s="101">
        <v>40940</v>
      </c>
      <c r="AZ566" s="101">
        <v>40969</v>
      </c>
      <c r="BA566" s="101">
        <v>41000</v>
      </c>
      <c r="BB566" s="101">
        <v>41030</v>
      </c>
      <c r="BC566" s="101">
        <v>41061</v>
      </c>
      <c r="BD566" s="101">
        <v>41091</v>
      </c>
      <c r="BE566" s="101">
        <v>41122</v>
      </c>
      <c r="BF566" s="101">
        <v>41153</v>
      </c>
      <c r="BG566" s="101">
        <v>41183</v>
      </c>
      <c r="BH566" s="529"/>
      <c r="BI566" s="529"/>
      <c r="BJ566" s="529"/>
      <c r="BK566" s="529"/>
      <c r="BL566" s="529"/>
      <c r="BN566" s="413"/>
      <c r="BO566" s="362" t="s">
        <v>380</v>
      </c>
    </row>
    <row r="567" spans="1:67">
      <c r="A567" s="526"/>
      <c r="B567" s="413"/>
      <c r="C567" s="413"/>
      <c r="D567" s="413"/>
      <c r="E567" s="413"/>
      <c r="F567" s="413"/>
      <c r="G567" s="413"/>
      <c r="H567" s="413"/>
      <c r="I567" s="413"/>
      <c r="J567" s="413"/>
      <c r="K567" s="413"/>
      <c r="L567" s="413"/>
      <c r="M567" s="527"/>
      <c r="N567" s="413"/>
      <c r="O567" s="413"/>
      <c r="P567" s="413"/>
      <c r="Q567" s="413"/>
      <c r="R567" s="413"/>
      <c r="S567" s="413"/>
      <c r="T567" s="413"/>
      <c r="U567" s="413"/>
      <c r="V567" s="413"/>
      <c r="W567" s="413"/>
      <c r="X567" s="413"/>
      <c r="Y567" s="527"/>
      <c r="Z567" s="413"/>
      <c r="AA567" s="413"/>
      <c r="AB567" s="413"/>
      <c r="AC567" s="413"/>
      <c r="AD567" s="413"/>
      <c r="AE567" s="413"/>
      <c r="AF567" s="413"/>
      <c r="AG567" s="413"/>
      <c r="AH567" s="413"/>
      <c r="AI567" s="413"/>
      <c r="AJ567" s="413"/>
      <c r="AK567" s="527"/>
      <c r="AL567" s="413"/>
      <c r="AM567" s="413"/>
      <c r="AN567" s="413"/>
      <c r="AO567" s="413"/>
      <c r="AP567" s="413"/>
      <c r="AQ567" s="413"/>
      <c r="AR567" s="413"/>
      <c r="AS567" s="413"/>
      <c r="AT567" s="413"/>
      <c r="AU567" s="413"/>
      <c r="AV567" s="413"/>
      <c r="AW567" s="527"/>
      <c r="AX567" s="413"/>
      <c r="AY567" s="413"/>
      <c r="AZ567" s="413"/>
      <c r="BA567" s="413"/>
      <c r="BB567" s="413"/>
      <c r="BC567" s="413"/>
      <c r="BD567" s="413"/>
      <c r="BE567" s="413"/>
      <c r="BF567" s="413"/>
      <c r="BG567" s="413"/>
      <c r="BH567" s="529"/>
      <c r="BI567" s="529"/>
      <c r="BJ567" s="529"/>
      <c r="BK567" s="529"/>
      <c r="BL567" s="529"/>
      <c r="BN567" s="413"/>
      <c r="BO567" s="267"/>
    </row>
    <row r="568" spans="1:67">
      <c r="A568" s="528" t="s">
        <v>18</v>
      </c>
      <c r="B568" s="529"/>
      <c r="C568" s="529"/>
      <c r="D568" s="529"/>
      <c r="E568" s="529"/>
      <c r="F568" s="529"/>
      <c r="G568" s="529"/>
      <c r="H568" s="529"/>
      <c r="I568" s="529"/>
      <c r="J568" s="529"/>
      <c r="K568" s="529"/>
      <c r="L568" s="529"/>
      <c r="M568" s="530"/>
      <c r="N568" s="529"/>
      <c r="O568" s="529"/>
      <c r="P568" s="529"/>
      <c r="Q568" s="529"/>
      <c r="R568" s="529"/>
      <c r="S568" s="529"/>
      <c r="T568" s="529"/>
      <c r="U568" s="529"/>
      <c r="V568" s="529"/>
      <c r="W568" s="529"/>
      <c r="X568" s="529"/>
      <c r="Y568" s="530"/>
      <c r="Z568" s="529"/>
      <c r="AA568" s="529"/>
      <c r="AB568" s="529"/>
      <c r="AC568" s="529"/>
      <c r="AD568" s="529"/>
      <c r="AE568" s="529"/>
      <c r="AF568" s="529"/>
      <c r="AG568" s="529"/>
      <c r="AH568" s="529"/>
      <c r="AI568" s="529"/>
      <c r="AJ568" s="529"/>
      <c r="AK568" s="530"/>
      <c r="AL568" s="529"/>
      <c r="AM568" s="529"/>
      <c r="AN568" s="529"/>
      <c r="AO568" s="529"/>
      <c r="AP568" s="529"/>
      <c r="AQ568" s="529"/>
      <c r="AR568" s="529"/>
      <c r="AS568" s="529"/>
      <c r="AT568" s="529"/>
      <c r="AU568" s="529"/>
      <c r="AV568" s="529"/>
      <c r="AW568" s="530"/>
      <c r="AX568" s="529">
        <f>AX$54*0.222</f>
        <v>3.548448</v>
      </c>
      <c r="AY568" s="529">
        <f>AY$54*0.2205</f>
        <v>3.0791462310000002</v>
      </c>
      <c r="AZ568" s="529">
        <f>AZ$54*0.2125</f>
        <v>2.9726516624999997</v>
      </c>
      <c r="BA568" s="529">
        <f>BA$54*0.204</f>
        <v>2.6381624759999998</v>
      </c>
      <c r="BB568" s="529">
        <f>BB$54*0.2142</f>
        <v>2.6983632942</v>
      </c>
      <c r="BC568" s="529">
        <f>BC$54*0.2158</f>
        <v>2.2926911383999999</v>
      </c>
      <c r="BD568" s="529">
        <f>BD$54*0.2343</f>
        <v>2.3846273780999998</v>
      </c>
      <c r="BE568" s="529">
        <f>BE$54*0.2403</f>
        <v>2.2857535449000004</v>
      </c>
      <c r="BF568" s="529"/>
      <c r="BG568" s="529"/>
      <c r="BH568" s="529"/>
      <c r="BI568" s="529"/>
      <c r="BJ568" s="529"/>
      <c r="BK568" s="529"/>
      <c r="BL568" s="529"/>
      <c r="BN568" s="413"/>
      <c r="BO568" s="268">
        <f>SUM(AS568:BE568)/SUM(AS$593:BE$593)</f>
        <v>0.21947953859439426</v>
      </c>
    </row>
    <row r="569" spans="1:67">
      <c r="A569" s="528" t="s">
        <v>50</v>
      </c>
      <c r="B569" s="529"/>
      <c r="C569" s="529"/>
      <c r="D569" s="529"/>
      <c r="E569" s="529"/>
      <c r="F569" s="529"/>
      <c r="G569" s="529"/>
      <c r="H569" s="529"/>
      <c r="I569" s="529"/>
      <c r="J569" s="529"/>
      <c r="K569" s="529"/>
      <c r="L569" s="529"/>
      <c r="M569" s="530"/>
      <c r="N569" s="529"/>
      <c r="O569" s="529"/>
      <c r="P569" s="529"/>
      <c r="Q569" s="529"/>
      <c r="R569" s="529"/>
      <c r="S569" s="529"/>
      <c r="T569" s="529"/>
      <c r="U569" s="529"/>
      <c r="V569" s="529"/>
      <c r="W569" s="529"/>
      <c r="X569" s="529"/>
      <c r="Y569" s="530"/>
      <c r="Z569" s="529"/>
      <c r="AA569" s="529"/>
      <c r="AB569" s="529"/>
      <c r="AC569" s="529"/>
      <c r="AD569" s="529"/>
      <c r="AE569" s="529"/>
      <c r="AF569" s="529"/>
      <c r="AG569" s="529"/>
      <c r="AH569" s="529"/>
      <c r="AI569" s="529"/>
      <c r="AJ569" s="529"/>
      <c r="AK569" s="530"/>
      <c r="AL569" s="529"/>
      <c r="AM569" s="529"/>
      <c r="AN569" s="529"/>
      <c r="AO569" s="529"/>
      <c r="AP569" s="529"/>
      <c r="AQ569" s="529"/>
      <c r="AR569" s="529"/>
      <c r="AS569" s="529"/>
      <c r="AT569" s="529"/>
      <c r="AU569" s="529"/>
      <c r="AV569" s="529"/>
      <c r="AW569" s="530"/>
      <c r="AX569" s="529">
        <f>AX$54*0.1893</f>
        <v>3.0257711999999999</v>
      </c>
      <c r="AY569" s="529">
        <f>AY$54*0.1947</f>
        <v>2.7188651754000004</v>
      </c>
      <c r="AZ569" s="529">
        <f>AZ$54*(0.1618+0.027)</f>
        <v>2.6411135712</v>
      </c>
      <c r="BA569" s="529">
        <f>BA$54*(0.1556+0.0262)</f>
        <v>2.3510683241999999</v>
      </c>
      <c r="BB569" s="529">
        <f>BB$54*(0.1513+0.0253)</f>
        <v>2.2247010165999996</v>
      </c>
      <c r="BC569" s="529">
        <f>BC$54*(0.1606+0.0255)</f>
        <v>1.9771539427999998</v>
      </c>
      <c r="BD569" s="529">
        <f>BD$54*(0.1533+0.0252)</f>
        <v>1.8167135594999999</v>
      </c>
      <c r="BE569" s="529">
        <f>BE$54*(0.153+0.0258)</f>
        <v>1.7007604404000001</v>
      </c>
      <c r="BF569" s="529"/>
      <c r="BG569" s="529"/>
      <c r="BH569" s="529"/>
      <c r="BI569" s="529"/>
      <c r="BJ569" s="529"/>
      <c r="BK569" s="529"/>
      <c r="BL569" s="529"/>
      <c r="BN569" s="413"/>
      <c r="BO569" s="268">
        <f t="shared" ref="BO569:BO593" si="856">SUM(AS569:BE569)/SUM(AS$593:BE$593)</f>
        <v>0.18496692164291043</v>
      </c>
    </row>
    <row r="570" spans="1:67">
      <c r="A570" s="528" t="s">
        <v>51</v>
      </c>
      <c r="B570" s="529"/>
      <c r="C570" s="529"/>
      <c r="D570" s="529"/>
      <c r="E570" s="529"/>
      <c r="F570" s="529"/>
      <c r="G570" s="529"/>
      <c r="H570" s="529"/>
      <c r="I570" s="529"/>
      <c r="J570" s="529"/>
      <c r="K570" s="529"/>
      <c r="L570" s="529"/>
      <c r="M570" s="530"/>
      <c r="N570" s="529"/>
      <c r="O570" s="529"/>
      <c r="P570" s="529"/>
      <c r="Q570" s="529"/>
      <c r="R570" s="529"/>
      <c r="S570" s="529"/>
      <c r="T570" s="529"/>
      <c r="U570" s="529"/>
      <c r="V570" s="529"/>
      <c r="W570" s="529"/>
      <c r="X570" s="529"/>
      <c r="Y570" s="530"/>
      <c r="Z570" s="529"/>
      <c r="AA570" s="529"/>
      <c r="AB570" s="529"/>
      <c r="AC570" s="529"/>
      <c r="AD570" s="529"/>
      <c r="AE570" s="529"/>
      <c r="AF570" s="529"/>
      <c r="AG570" s="529"/>
      <c r="AH570" s="529"/>
      <c r="AI570" s="529"/>
      <c r="AJ570" s="529"/>
      <c r="AK570" s="530"/>
      <c r="AL570" s="529"/>
      <c r="AM570" s="529"/>
      <c r="AN570" s="529"/>
      <c r="AO570" s="529"/>
      <c r="AP570" s="529"/>
      <c r="AQ570" s="529"/>
      <c r="AR570" s="529"/>
      <c r="AS570" s="529"/>
      <c r="AT570" s="529"/>
      <c r="AU570" s="529"/>
      <c r="AV570" s="529"/>
      <c r="AW570" s="530"/>
      <c r="AX570" s="529">
        <f>AX$54*0.0816</f>
        <v>1.3042944000000001</v>
      </c>
      <c r="AY570" s="529">
        <f>AY$54*0.0744</f>
        <v>1.0389500208</v>
      </c>
      <c r="AZ570" s="529">
        <f>AZ$54*0.0901</f>
        <v>1.2604043049</v>
      </c>
      <c r="BA570" s="529">
        <f>BA$54*0.1084</f>
        <v>1.4018471196</v>
      </c>
      <c r="BB570" s="529">
        <f>BB$54*0.1108</f>
        <v>1.3957920307999998</v>
      </c>
      <c r="BC570" s="529">
        <f>BC$54*0.1139</f>
        <v>1.2100904572</v>
      </c>
      <c r="BD570" s="529">
        <f>BD$54*0.1284</f>
        <v>1.3068124427999999</v>
      </c>
      <c r="BE570" s="529">
        <f>BE$54*0.1282</f>
        <v>1.2194490406000003</v>
      </c>
      <c r="BF570" s="529"/>
      <c r="BG570" s="529"/>
      <c r="BH570" s="529"/>
      <c r="BI570" s="529"/>
      <c r="BJ570" s="529"/>
      <c r="BK570" s="529"/>
      <c r="BL570" s="529"/>
      <c r="BN570" s="413"/>
      <c r="BO570" s="268">
        <f t="shared" si="856"/>
        <v>0.1015991044198794</v>
      </c>
    </row>
    <row r="571" spans="1:67">
      <c r="A571" s="528" t="s">
        <v>2</v>
      </c>
      <c r="B571" s="529"/>
      <c r="C571" s="529"/>
      <c r="D571" s="529"/>
      <c r="E571" s="529"/>
      <c r="F571" s="529"/>
      <c r="G571" s="529"/>
      <c r="H571" s="529"/>
      <c r="I571" s="529"/>
      <c r="J571" s="529"/>
      <c r="K571" s="529"/>
      <c r="L571" s="529"/>
      <c r="M571" s="530"/>
      <c r="N571" s="529"/>
      <c r="O571" s="529"/>
      <c r="P571" s="529"/>
      <c r="Q571" s="529"/>
      <c r="R571" s="529"/>
      <c r="S571" s="529"/>
      <c r="T571" s="529"/>
      <c r="U571" s="529"/>
      <c r="V571" s="529"/>
      <c r="W571" s="529"/>
      <c r="X571" s="529"/>
      <c r="Y571" s="530"/>
      <c r="Z571" s="529"/>
      <c r="AA571" s="529"/>
      <c r="AB571" s="529"/>
      <c r="AC571" s="529"/>
      <c r="AD571" s="529"/>
      <c r="AE571" s="529"/>
      <c r="AF571" s="529"/>
      <c r="AG571" s="529"/>
      <c r="AH571" s="529"/>
      <c r="AI571" s="529"/>
      <c r="AJ571" s="529"/>
      <c r="AK571" s="530"/>
      <c r="AL571" s="529"/>
      <c r="AM571" s="529"/>
      <c r="AN571" s="529"/>
      <c r="AO571" s="529"/>
      <c r="AP571" s="529"/>
      <c r="AQ571" s="529"/>
      <c r="AR571" s="529"/>
      <c r="AS571" s="529"/>
      <c r="AT571" s="529"/>
      <c r="AU571" s="529"/>
      <c r="AV571" s="529"/>
      <c r="AW571" s="530"/>
      <c r="AX571" s="529">
        <f>AX$54*0.1133</f>
        <v>1.8109872</v>
      </c>
      <c r="AY571" s="529">
        <f>AY$54*0.1128</f>
        <v>1.5751822896000001</v>
      </c>
      <c r="AZ571" s="529">
        <f>AZ$54*0.0774</f>
        <v>1.0827446526</v>
      </c>
      <c r="BA571" s="529">
        <f>BA$54*0.0765</f>
        <v>0.98931092850000002</v>
      </c>
      <c r="BB571" s="529">
        <f>BB$54*0.0791</f>
        <v>0.99645441909999999</v>
      </c>
      <c r="BC571" s="529">
        <f>BC$54*0.0733</f>
        <v>0.77875004840000006</v>
      </c>
      <c r="BD571" s="529">
        <f>BD$54*0.0702</f>
        <v>0.71447222339999994</v>
      </c>
      <c r="BE571" s="529">
        <f>BE$54*0.0739</f>
        <v>0.70294293369999994</v>
      </c>
      <c r="BF571" s="529"/>
      <c r="BG571" s="529"/>
      <c r="BH571" s="529"/>
      <c r="BI571" s="529"/>
      <c r="BJ571" s="529"/>
      <c r="BK571" s="529"/>
      <c r="BL571" s="529"/>
      <c r="BN571" s="413"/>
      <c r="BO571" s="268">
        <f t="shared" si="856"/>
        <v>8.6698490912064136E-2</v>
      </c>
    </row>
    <row r="572" spans="1:67">
      <c r="A572" s="5" t="s">
        <v>3</v>
      </c>
      <c r="B572" s="529"/>
      <c r="C572" s="529"/>
      <c r="D572" s="529"/>
      <c r="E572" s="529"/>
      <c r="F572" s="529"/>
      <c r="G572" s="529"/>
      <c r="H572" s="529"/>
      <c r="I572" s="529"/>
      <c r="J572" s="529"/>
      <c r="K572" s="529"/>
      <c r="L572" s="529"/>
      <c r="M572" s="530"/>
      <c r="N572" s="529"/>
      <c r="O572" s="529"/>
      <c r="P572" s="529"/>
      <c r="Q572" s="529"/>
      <c r="R572" s="529"/>
      <c r="S572" s="529"/>
      <c r="T572" s="529"/>
      <c r="U572" s="529"/>
      <c r="V572" s="529"/>
      <c r="W572" s="529"/>
      <c r="X572" s="529"/>
      <c r="Y572" s="530"/>
      <c r="Z572" s="529"/>
      <c r="AA572" s="529"/>
      <c r="AB572" s="529"/>
      <c r="AC572" s="529"/>
      <c r="AD572" s="529"/>
      <c r="AE572" s="529"/>
      <c r="AF572" s="529"/>
      <c r="AG572" s="529"/>
      <c r="AH572" s="529"/>
      <c r="AI572" s="529"/>
      <c r="AJ572" s="529"/>
      <c r="AK572" s="530"/>
      <c r="AL572" s="529"/>
      <c r="AM572" s="529"/>
      <c r="AN572" s="529"/>
      <c r="AO572" s="529"/>
      <c r="AP572" s="529"/>
      <c r="AQ572" s="529"/>
      <c r="AR572" s="529"/>
      <c r="AS572" s="529"/>
      <c r="AT572" s="529"/>
      <c r="AU572" s="529"/>
      <c r="AV572" s="529"/>
      <c r="AW572" s="530"/>
      <c r="AX572" s="529">
        <f>AX$54*0.0745</f>
        <v>1.1908079999999999</v>
      </c>
      <c r="AY572" s="529">
        <f>AY$54*0.0725</f>
        <v>1.0124176949999999</v>
      </c>
      <c r="AZ572" s="529">
        <f>AZ$54*0.1091</f>
        <v>1.5261943359000001</v>
      </c>
      <c r="BA572" s="529">
        <f>BA$54*0.1054</f>
        <v>1.3630506125999999</v>
      </c>
      <c r="BB572" s="529">
        <f>BB$54*0.0965</f>
        <v>1.2156491965</v>
      </c>
      <c r="BC572" s="529">
        <f>BC$54*0.1058</f>
        <v>1.1240348583999999</v>
      </c>
      <c r="BD572" s="529">
        <f>BD$54*0.0992</f>
        <v>1.0096245663999999</v>
      </c>
      <c r="BE572" s="529">
        <f>BE$54*0.103</f>
        <v>0.97974454899999996</v>
      </c>
      <c r="BF572" s="529"/>
      <c r="BG572" s="529"/>
      <c r="BH572" s="529"/>
      <c r="BI572" s="529"/>
      <c r="BJ572" s="529"/>
      <c r="BK572" s="529"/>
      <c r="BL572" s="529"/>
      <c r="BN572" s="413"/>
      <c r="BO572" s="268">
        <f t="shared" si="856"/>
        <v>9.4422212572180322E-2</v>
      </c>
    </row>
    <row r="573" spans="1:67">
      <c r="A573" s="5" t="s">
        <v>67</v>
      </c>
      <c r="B573" s="529"/>
      <c r="C573" s="529"/>
      <c r="D573" s="529"/>
      <c r="E573" s="529"/>
      <c r="F573" s="529"/>
      <c r="G573" s="529"/>
      <c r="H573" s="529"/>
      <c r="I573" s="529"/>
      <c r="J573" s="529"/>
      <c r="K573" s="529"/>
      <c r="L573" s="529"/>
      <c r="M573" s="530"/>
      <c r="N573" s="529"/>
      <c r="O573" s="529"/>
      <c r="P573" s="529"/>
      <c r="Q573" s="529"/>
      <c r="R573" s="529"/>
      <c r="S573" s="529"/>
      <c r="T573" s="529"/>
      <c r="U573" s="529"/>
      <c r="V573" s="529"/>
      <c r="W573" s="529"/>
      <c r="X573" s="529"/>
      <c r="Y573" s="530"/>
      <c r="Z573" s="529"/>
      <c r="AA573" s="529"/>
      <c r="AB573" s="529"/>
      <c r="AC573" s="529"/>
      <c r="AD573" s="529"/>
      <c r="AE573" s="529"/>
      <c r="AF573" s="529"/>
      <c r="AG573" s="529"/>
      <c r="AH573" s="529"/>
      <c r="AI573" s="529"/>
      <c r="AJ573" s="529"/>
      <c r="AK573" s="530"/>
      <c r="AL573" s="529"/>
      <c r="AM573" s="529"/>
      <c r="AN573" s="529"/>
      <c r="AO573" s="529"/>
      <c r="AP573" s="529"/>
      <c r="AQ573" s="529"/>
      <c r="AR573" s="529"/>
      <c r="AS573" s="529"/>
      <c r="AT573" s="529"/>
      <c r="AU573" s="529"/>
      <c r="AV573" s="529"/>
      <c r="AW573" s="530"/>
      <c r="AX573" s="1"/>
      <c r="AY573" s="1"/>
      <c r="AZ573" s="1"/>
      <c r="BA573" s="1"/>
      <c r="BB573" s="529">
        <f>BB$54*0.066</f>
        <v>0.83142846599999998</v>
      </c>
      <c r="BC573" s="529">
        <f>BC$54*0.0053</f>
        <v>5.6307984399999997E-2</v>
      </c>
      <c r="BD573" s="529">
        <f>BD$54*0.0036</f>
        <v>3.6639601199999997E-2</v>
      </c>
      <c r="BE573" s="529">
        <f>BE$54*0.0041</f>
        <v>3.8999540300000003E-2</v>
      </c>
      <c r="BF573" s="529"/>
      <c r="BG573" s="529"/>
      <c r="BH573" s="529"/>
      <c r="BI573" s="529"/>
      <c r="BJ573" s="529"/>
      <c r="BK573" s="529"/>
      <c r="BL573" s="529"/>
      <c r="BN573" s="413"/>
      <c r="BO573" s="268">
        <f t="shared" si="856"/>
        <v>9.6549195993108836E-3</v>
      </c>
    </row>
    <row r="574" spans="1:67">
      <c r="A574" s="528" t="s">
        <v>6</v>
      </c>
      <c r="B574" s="529"/>
      <c r="C574" s="529"/>
      <c r="D574" s="529"/>
      <c r="E574" s="529"/>
      <c r="F574" s="529"/>
      <c r="G574" s="529"/>
      <c r="H574" s="529"/>
      <c r="I574" s="529"/>
      <c r="J574" s="529"/>
      <c r="K574" s="529"/>
      <c r="L574" s="529"/>
      <c r="M574" s="530"/>
      <c r="N574" s="529"/>
      <c r="O574" s="529"/>
      <c r="P574" s="529"/>
      <c r="Q574" s="529"/>
      <c r="R574" s="529"/>
      <c r="S574" s="529"/>
      <c r="T574" s="529"/>
      <c r="U574" s="529"/>
      <c r="V574" s="529"/>
      <c r="W574" s="529"/>
      <c r="X574" s="529"/>
      <c r="Y574" s="530"/>
      <c r="Z574" s="529"/>
      <c r="AA574" s="529"/>
      <c r="AB574" s="529"/>
      <c r="AC574" s="529"/>
      <c r="AD574" s="529"/>
      <c r="AE574" s="529"/>
      <c r="AF574" s="529"/>
      <c r="AG574" s="529"/>
      <c r="AH574" s="529"/>
      <c r="AI574" s="529"/>
      <c r="AJ574" s="529"/>
      <c r="AK574" s="530"/>
      <c r="AL574" s="529"/>
      <c r="AM574" s="529"/>
      <c r="AN574" s="529"/>
      <c r="AO574" s="529"/>
      <c r="AP574" s="529"/>
      <c r="AQ574" s="529"/>
      <c r="AR574" s="529"/>
      <c r="AS574" s="529"/>
      <c r="AT574" s="529"/>
      <c r="AU574" s="529"/>
      <c r="AV574" s="529"/>
      <c r="AW574" s="530"/>
      <c r="AX574" s="529">
        <f>AX$54*0.0469</f>
        <v>0.74964959999999992</v>
      </c>
      <c r="AY574" s="529">
        <f>AY$54*0.0432</f>
        <v>0.60326130240000009</v>
      </c>
      <c r="AZ574" s="529">
        <f>AZ$54*0.0403</f>
        <v>0.56375464470000003</v>
      </c>
      <c r="BA574" s="529">
        <f>BA$54*0.0459</f>
        <v>0.59358655710000008</v>
      </c>
      <c r="BB574" s="529">
        <f>BB$54*0.0406</f>
        <v>0.51145448059999998</v>
      </c>
      <c r="BC574" s="529">
        <f>BC$54*0.0403</f>
        <v>0.42815316440000001</v>
      </c>
      <c r="BD574" s="529">
        <f>BD$54*0.0449</f>
        <v>0.45697724830000003</v>
      </c>
      <c r="BE574" s="529">
        <f>BE$54*0.0443</f>
        <v>0.42138527689999999</v>
      </c>
      <c r="BF574" s="529"/>
      <c r="BG574" s="529"/>
      <c r="BH574" s="529"/>
      <c r="BI574" s="529"/>
      <c r="BJ574" s="529"/>
      <c r="BK574" s="529"/>
      <c r="BL574" s="529"/>
      <c r="BN574" s="413"/>
      <c r="BO574" s="268">
        <f t="shared" si="856"/>
        <v>4.3377306233035866E-2</v>
      </c>
    </row>
    <row r="575" spans="1:67">
      <c r="A575" s="528" t="s">
        <v>246</v>
      </c>
      <c r="B575" s="529"/>
      <c r="C575" s="529"/>
      <c r="D575" s="529"/>
      <c r="E575" s="529"/>
      <c r="F575" s="529"/>
      <c r="G575" s="529"/>
      <c r="H575" s="529"/>
      <c r="I575" s="529"/>
      <c r="J575" s="529"/>
      <c r="K575" s="529"/>
      <c r="L575" s="529"/>
      <c r="M575" s="530"/>
      <c r="N575" s="529"/>
      <c r="O575" s="529"/>
      <c r="P575" s="529"/>
      <c r="Q575" s="529"/>
      <c r="R575" s="529"/>
      <c r="S575" s="529"/>
      <c r="T575" s="529"/>
      <c r="U575" s="529"/>
      <c r="V575" s="529"/>
      <c r="W575" s="529"/>
      <c r="X575" s="529"/>
      <c r="Y575" s="530"/>
      <c r="Z575" s="529"/>
      <c r="AA575" s="529"/>
      <c r="AB575" s="529"/>
      <c r="AC575" s="529"/>
      <c r="AD575" s="529"/>
      <c r="AE575" s="529"/>
      <c r="AF575" s="529"/>
      <c r="AG575" s="529"/>
      <c r="AH575" s="529"/>
      <c r="AI575" s="529"/>
      <c r="AJ575" s="529"/>
      <c r="AK575" s="530"/>
      <c r="AL575" s="529"/>
      <c r="AM575" s="529"/>
      <c r="AN575" s="529"/>
      <c r="AO575" s="529"/>
      <c r="AP575" s="529"/>
      <c r="AQ575" s="529"/>
      <c r="AR575" s="529"/>
      <c r="AS575" s="529"/>
      <c r="AT575" s="529"/>
      <c r="AU575" s="529"/>
      <c r="AV575" s="529"/>
      <c r="AW575" s="530"/>
      <c r="AX575" s="529">
        <f>AX$54*0.0366</f>
        <v>0.58501440000000005</v>
      </c>
      <c r="AY575" s="529">
        <f>AY$54*0.0421</f>
        <v>0.58790048220000002</v>
      </c>
      <c r="AZ575" s="529">
        <f>AZ$54*0.0402</f>
        <v>0.56235574980000003</v>
      </c>
      <c r="BA575" s="529">
        <f>BA$54*0.0396</f>
        <v>0.51211389240000005</v>
      </c>
      <c r="BB575" s="529">
        <f>BB$54*0.0403</f>
        <v>0.50767526029999999</v>
      </c>
      <c r="BC575" s="529">
        <f>BC$54*0.0414</f>
        <v>0.43983972719999997</v>
      </c>
      <c r="BD575" s="529">
        <f>BD$54*0.0395</f>
        <v>0.4020178465</v>
      </c>
      <c r="BE575" s="529">
        <f>BE$54*0.0408</f>
        <v>0.38809298640000006</v>
      </c>
      <c r="BF575" s="529"/>
      <c r="BG575" s="529"/>
      <c r="BH575" s="529"/>
      <c r="BI575" s="529"/>
      <c r="BJ575" s="529"/>
      <c r="BK575" s="529"/>
      <c r="BL575" s="529"/>
      <c r="BN575" s="413"/>
      <c r="BO575" s="268">
        <f t="shared" si="856"/>
        <v>3.9937647169973049E-2</v>
      </c>
    </row>
    <row r="576" spans="1:67">
      <c r="A576" s="528" t="s">
        <v>16</v>
      </c>
      <c r="B576" s="529"/>
      <c r="C576" s="529"/>
      <c r="D576" s="529"/>
      <c r="E576" s="529"/>
      <c r="F576" s="529"/>
      <c r="G576" s="529"/>
      <c r="H576" s="529"/>
      <c r="I576" s="529"/>
      <c r="J576" s="529"/>
      <c r="K576" s="529"/>
      <c r="L576" s="529"/>
      <c r="M576" s="530"/>
      <c r="N576" s="529"/>
      <c r="O576" s="529"/>
      <c r="P576" s="529"/>
      <c r="Q576" s="529"/>
      <c r="R576" s="529"/>
      <c r="S576" s="529"/>
      <c r="T576" s="529"/>
      <c r="U576" s="529"/>
      <c r="V576" s="529"/>
      <c r="W576" s="529"/>
      <c r="X576" s="529"/>
      <c r="Y576" s="530"/>
      <c r="Z576" s="529"/>
      <c r="AA576" s="529"/>
      <c r="AB576" s="529"/>
      <c r="AC576" s="529"/>
      <c r="AD576" s="529"/>
      <c r="AE576" s="529"/>
      <c r="AF576" s="529"/>
      <c r="AG576" s="529"/>
      <c r="AH576" s="529"/>
      <c r="AI576" s="529"/>
      <c r="AJ576" s="529"/>
      <c r="AK576" s="530"/>
      <c r="AL576" s="529"/>
      <c r="AM576" s="529"/>
      <c r="AN576" s="529"/>
      <c r="AO576" s="529"/>
      <c r="AP576" s="529"/>
      <c r="AQ576" s="529"/>
      <c r="AR576" s="529"/>
      <c r="AS576" s="529"/>
      <c r="AT576" s="529"/>
      <c r="AU576" s="529"/>
      <c r="AV576" s="529"/>
      <c r="AW576" s="530"/>
      <c r="AX576" s="529">
        <f>AX$54*0.0326</f>
        <v>0.52107839999999994</v>
      </c>
      <c r="AY576" s="529">
        <f>AY$54*0.0325</f>
        <v>0.45384241500000005</v>
      </c>
      <c r="AZ576" s="529">
        <f>AZ$54*0.0306</f>
        <v>0.42806183939999998</v>
      </c>
      <c r="BA576" s="529">
        <f>BA$54*0.0309</f>
        <v>0.39960402210000001</v>
      </c>
      <c r="BB576" s="529">
        <f>BB$54*0.0309</f>
        <v>0.38925969090000001</v>
      </c>
      <c r="BC576" s="529">
        <f>BC$54*0.0286</f>
        <v>0.30385063280000002</v>
      </c>
      <c r="BD576" s="529">
        <f>BD$54*0.0306</f>
        <v>0.31143661019999996</v>
      </c>
      <c r="BE576" s="529">
        <f>BE$54*0.0312</f>
        <v>0.29677698959999999</v>
      </c>
      <c r="BF576" s="529"/>
      <c r="BG576" s="529"/>
      <c r="BH576" s="529"/>
      <c r="BI576" s="529"/>
      <c r="BJ576" s="529"/>
      <c r="BK576" s="529"/>
      <c r="BL576" s="529"/>
      <c r="BN576" s="413"/>
      <c r="BO576" s="268">
        <f t="shared" si="856"/>
        <v>3.1107293498421468E-2</v>
      </c>
    </row>
    <row r="577" spans="1:67">
      <c r="A577" s="5" t="s">
        <v>58</v>
      </c>
      <c r="B577" s="529"/>
      <c r="C577" s="529"/>
      <c r="D577" s="529"/>
      <c r="E577" s="529"/>
      <c r="F577" s="529"/>
      <c r="G577" s="529"/>
      <c r="H577" s="529"/>
      <c r="I577" s="529"/>
      <c r="J577" s="529"/>
      <c r="K577" s="529"/>
      <c r="L577" s="529"/>
      <c r="M577" s="530"/>
      <c r="N577" s="529"/>
      <c r="O577" s="529"/>
      <c r="P577" s="529"/>
      <c r="Q577" s="529"/>
      <c r="R577" s="529"/>
      <c r="S577" s="529"/>
      <c r="T577" s="529"/>
      <c r="U577" s="529"/>
      <c r="V577" s="529"/>
      <c r="W577" s="529"/>
      <c r="X577" s="529"/>
      <c r="Y577" s="530"/>
      <c r="Z577" s="529"/>
      <c r="AA577" s="529"/>
      <c r="AB577" s="529"/>
      <c r="AC577" s="529"/>
      <c r="AD577" s="529"/>
      <c r="AE577" s="529"/>
      <c r="AF577" s="529"/>
      <c r="AG577" s="529"/>
      <c r="AH577" s="529"/>
      <c r="AI577" s="529"/>
      <c r="AJ577" s="529"/>
      <c r="AK577" s="530"/>
      <c r="AL577" s="529"/>
      <c r="AM577" s="529"/>
      <c r="AN577" s="529"/>
      <c r="AO577" s="529"/>
      <c r="AP577" s="529"/>
      <c r="AQ577" s="529"/>
      <c r="AR577" s="529"/>
      <c r="AS577" s="529"/>
      <c r="AT577" s="529"/>
      <c r="AU577" s="529"/>
      <c r="AV577" s="529"/>
      <c r="AW577" s="530"/>
      <c r="AX577" s="1"/>
      <c r="AY577" s="1"/>
      <c r="AZ577" s="1"/>
      <c r="BA577" s="1"/>
      <c r="BB577" s="529">
        <f>BB$54*0.0211</f>
        <v>0.26580516110000002</v>
      </c>
      <c r="BC577" s="529">
        <f>BC$54*0.0157</f>
        <v>0.16679912359999999</v>
      </c>
      <c r="BD577" s="529">
        <f>BD$54*0.015</f>
        <v>0.15266500499999999</v>
      </c>
      <c r="BE577" s="529">
        <f>BE$54*0.0138</f>
        <v>0.1312667454</v>
      </c>
      <c r="BF577" s="529"/>
      <c r="BG577" s="529"/>
      <c r="BH577" s="529"/>
      <c r="BI577" s="529"/>
      <c r="BJ577" s="529"/>
      <c r="BK577" s="529"/>
      <c r="BL577" s="529"/>
      <c r="BN577" s="413"/>
      <c r="BO577" s="268">
        <f t="shared" si="856"/>
        <v>7.1811013970733981E-3</v>
      </c>
    </row>
    <row r="578" spans="1:67">
      <c r="A578" s="528" t="s">
        <v>15</v>
      </c>
      <c r="B578" s="529"/>
      <c r="C578" s="529"/>
      <c r="D578" s="529"/>
      <c r="E578" s="529"/>
      <c r="F578" s="529"/>
      <c r="G578" s="529"/>
      <c r="H578" s="529"/>
      <c r="I578" s="529"/>
      <c r="J578" s="529"/>
      <c r="K578" s="529"/>
      <c r="L578" s="529"/>
      <c r="M578" s="530"/>
      <c r="N578" s="529"/>
      <c r="O578" s="529"/>
      <c r="P578" s="529"/>
      <c r="Q578" s="529"/>
      <c r="R578" s="529"/>
      <c r="S578" s="529"/>
      <c r="T578" s="529"/>
      <c r="U578" s="529"/>
      <c r="V578" s="529"/>
      <c r="W578" s="529"/>
      <c r="X578" s="529"/>
      <c r="Y578" s="530"/>
      <c r="Z578" s="529"/>
      <c r="AA578" s="529"/>
      <c r="AB578" s="529"/>
      <c r="AC578" s="529"/>
      <c r="AD578" s="529"/>
      <c r="AE578" s="529"/>
      <c r="AF578" s="529"/>
      <c r="AG578" s="529"/>
      <c r="AH578" s="529"/>
      <c r="AI578" s="529"/>
      <c r="AJ578" s="529"/>
      <c r="AK578" s="530"/>
      <c r="AL578" s="529"/>
      <c r="AM578" s="529"/>
      <c r="AN578" s="529"/>
      <c r="AO578" s="529"/>
      <c r="AP578" s="529"/>
      <c r="AQ578" s="529"/>
      <c r="AR578" s="529"/>
      <c r="AS578" s="529"/>
      <c r="AT578" s="529"/>
      <c r="AU578" s="529"/>
      <c r="AV578" s="529"/>
      <c r="AW578" s="530"/>
      <c r="AX578" s="529">
        <f>AX$54*0.0207</f>
        <v>0.33086880000000002</v>
      </c>
      <c r="AY578" s="529">
        <f>AY$54*0.0157</f>
        <v>0.21924079739999999</v>
      </c>
      <c r="AZ578" s="529">
        <f>AZ$54*0.0167</f>
        <v>0.2336154483</v>
      </c>
      <c r="BA578" s="529">
        <f>BA$54*0.0163</f>
        <v>0.21079435469999999</v>
      </c>
      <c r="BB578" s="529">
        <f>BB$54*0.016</f>
        <v>0.20155841599999999</v>
      </c>
      <c r="BC578" s="529">
        <f>BC$54*0.0142</f>
        <v>0.15086290160000002</v>
      </c>
      <c r="BD578" s="529">
        <f>BD$54*0.0127</f>
        <v>0.1292563709</v>
      </c>
      <c r="BE578" s="529">
        <f>BE$54*0.0131</f>
        <v>0.12460828730000001</v>
      </c>
      <c r="BF578" s="529"/>
      <c r="BG578" s="529"/>
      <c r="BH578" s="529"/>
      <c r="BI578" s="529"/>
      <c r="BJ578" s="529"/>
      <c r="BK578" s="529"/>
      <c r="BL578" s="529"/>
      <c r="BN578" s="413"/>
      <c r="BO578" s="268">
        <f t="shared" si="856"/>
        <v>1.6043220662123579E-2</v>
      </c>
    </row>
    <row r="579" spans="1:67">
      <c r="A579" s="528" t="s">
        <v>7</v>
      </c>
      <c r="B579" s="529"/>
      <c r="C579" s="529"/>
      <c r="D579" s="529"/>
      <c r="E579" s="529"/>
      <c r="F579" s="529"/>
      <c r="G579" s="529"/>
      <c r="H579" s="529"/>
      <c r="I579" s="529"/>
      <c r="J579" s="529"/>
      <c r="K579" s="529"/>
      <c r="L579" s="529"/>
      <c r="M579" s="530"/>
      <c r="N579" s="529"/>
      <c r="O579" s="529"/>
      <c r="P579" s="529"/>
      <c r="Q579" s="529"/>
      <c r="R579" s="529"/>
      <c r="S579" s="529"/>
      <c r="T579" s="529"/>
      <c r="U579" s="529"/>
      <c r="V579" s="529"/>
      <c r="W579" s="529"/>
      <c r="X579" s="529"/>
      <c r="Y579" s="530"/>
      <c r="Z579" s="529"/>
      <c r="AA579" s="529"/>
      <c r="AB579" s="529"/>
      <c r="AC579" s="529"/>
      <c r="AD579" s="529"/>
      <c r="AE579" s="529"/>
      <c r="AF579" s="529"/>
      <c r="AG579" s="529"/>
      <c r="AH579" s="529"/>
      <c r="AI579" s="529"/>
      <c r="AJ579" s="529"/>
      <c r="AK579" s="530"/>
      <c r="AL579" s="529"/>
      <c r="AM579" s="529"/>
      <c r="AN579" s="529"/>
      <c r="AO579" s="529"/>
      <c r="AP579" s="529"/>
      <c r="AQ579" s="529"/>
      <c r="AR579" s="529"/>
      <c r="AS579" s="529"/>
      <c r="AT579" s="529"/>
      <c r="AU579" s="529"/>
      <c r="AV579" s="529"/>
      <c r="AW579" s="530"/>
      <c r="AX579" s="529">
        <f>AX$54*0.0151</f>
        <v>0.2413584</v>
      </c>
      <c r="AY579" s="529">
        <f>AY$54*0.0159</f>
        <v>0.22203367380000003</v>
      </c>
      <c r="AZ579" s="529">
        <f>AZ$54*0.017</f>
        <v>0.23781213300000001</v>
      </c>
      <c r="BA579" s="529">
        <f>BA$54*0.0161</f>
        <v>0.20820792090000001</v>
      </c>
      <c r="BB579" s="529">
        <f>BB$54*0.0156</f>
        <v>0.19651945559999998</v>
      </c>
      <c r="BC579" s="529">
        <f>BC$54*0.0149</f>
        <v>0.1582998052</v>
      </c>
      <c r="BD579" s="529">
        <f>BD$54*0.014</f>
        <v>0.14248733799999999</v>
      </c>
      <c r="BE579" s="529">
        <f>BE$54*0.0131</f>
        <v>0.12460828730000001</v>
      </c>
      <c r="BF579" s="529"/>
      <c r="BG579" s="529"/>
      <c r="BH579" s="529"/>
      <c r="BI579" s="529"/>
      <c r="BJ579" s="529"/>
      <c r="BK579" s="529"/>
      <c r="BL579" s="529"/>
      <c r="BN579" s="413"/>
      <c r="BO579" s="268">
        <f t="shared" si="856"/>
        <v>1.5346910719766835E-2</v>
      </c>
    </row>
    <row r="580" spans="1:67">
      <c r="A580" s="528" t="s">
        <v>54</v>
      </c>
      <c r="B580" s="529"/>
      <c r="C580" s="529"/>
      <c r="D580" s="529"/>
      <c r="E580" s="529"/>
      <c r="F580" s="529"/>
      <c r="G580" s="529"/>
      <c r="H580" s="529"/>
      <c r="I580" s="529"/>
      <c r="J580" s="529"/>
      <c r="K580" s="529"/>
      <c r="L580" s="529"/>
      <c r="M580" s="530"/>
      <c r="N580" s="529"/>
      <c r="O580" s="529"/>
      <c r="P580" s="529"/>
      <c r="Q580" s="529"/>
      <c r="R580" s="529"/>
      <c r="S580" s="529"/>
      <c r="T580" s="529"/>
      <c r="U580" s="529"/>
      <c r="V580" s="529"/>
      <c r="W580" s="529"/>
      <c r="X580" s="529"/>
      <c r="Y580" s="530"/>
      <c r="Z580" s="529"/>
      <c r="AA580" s="529"/>
      <c r="AB580" s="529"/>
      <c r="AC580" s="529"/>
      <c r="AD580" s="529"/>
      <c r="AE580" s="529"/>
      <c r="AF580" s="529"/>
      <c r="AG580" s="529"/>
      <c r="AH580" s="529"/>
      <c r="AI580" s="529"/>
      <c r="AJ580" s="529"/>
      <c r="AK580" s="530"/>
      <c r="AL580" s="529"/>
      <c r="AM580" s="529"/>
      <c r="AN580" s="529"/>
      <c r="AO580" s="529"/>
      <c r="AP580" s="529"/>
      <c r="AQ580" s="529"/>
      <c r="AR580" s="529"/>
      <c r="AS580" s="529"/>
      <c r="AT580" s="529"/>
      <c r="AU580" s="529"/>
      <c r="AV580" s="529"/>
      <c r="AW580" s="530"/>
      <c r="AX580" s="529">
        <f>AX$54*0.0123</f>
        <v>0.19660320000000001</v>
      </c>
      <c r="AY580" s="529">
        <f>AY$54*0.0127</f>
        <v>0.1773476514</v>
      </c>
      <c r="AZ580" s="529">
        <f>AZ$54*0.0141</f>
        <v>0.19724418089999998</v>
      </c>
      <c r="BA580" s="529">
        <f>BA$54*0.0133</f>
        <v>0.17199784769999998</v>
      </c>
      <c r="BB580" s="529">
        <f>BB$54*0.0151</f>
        <v>0.1902207551</v>
      </c>
      <c r="BC580" s="529">
        <f>BC$54*0.0153</f>
        <v>0.16254946439999998</v>
      </c>
      <c r="BD580" s="529">
        <f>BD$54*0.0151</f>
        <v>0.1536827717</v>
      </c>
      <c r="BE580" s="529">
        <f>BE$54*0.015</f>
        <v>0.14268124500000001</v>
      </c>
      <c r="BF580" s="529"/>
      <c r="BG580" s="529"/>
      <c r="BH580" s="529"/>
      <c r="BI580" s="529"/>
      <c r="BJ580" s="529"/>
      <c r="BK580" s="529"/>
      <c r="BL580" s="529"/>
      <c r="BN580" s="413"/>
      <c r="BO580" s="268">
        <f t="shared" si="856"/>
        <v>1.3953858158622282E-2</v>
      </c>
    </row>
    <row r="581" spans="1:67">
      <c r="A581" s="528" t="s">
        <v>12</v>
      </c>
      <c r="B581" s="529"/>
      <c r="C581" s="529"/>
      <c r="D581" s="529"/>
      <c r="E581" s="529"/>
      <c r="F581" s="529"/>
      <c r="G581" s="529"/>
      <c r="H581" s="529"/>
      <c r="I581" s="529"/>
      <c r="J581" s="529"/>
      <c r="K581" s="529"/>
      <c r="L581" s="529"/>
      <c r="M581" s="530"/>
      <c r="N581" s="529"/>
      <c r="O581" s="529"/>
      <c r="P581" s="529"/>
      <c r="Q581" s="529"/>
      <c r="R581" s="529"/>
      <c r="S581" s="529"/>
      <c r="T581" s="529"/>
      <c r="U581" s="529"/>
      <c r="V581" s="529"/>
      <c r="W581" s="529"/>
      <c r="X581" s="529"/>
      <c r="Y581" s="530"/>
      <c r="Z581" s="529"/>
      <c r="AA581" s="529"/>
      <c r="AB581" s="529"/>
      <c r="AC581" s="529"/>
      <c r="AD581" s="529"/>
      <c r="AE581" s="529"/>
      <c r="AF581" s="529"/>
      <c r="AG581" s="529"/>
      <c r="AH581" s="529"/>
      <c r="AI581" s="529"/>
      <c r="AJ581" s="529"/>
      <c r="AK581" s="530"/>
      <c r="AL581" s="529"/>
      <c r="AM581" s="529"/>
      <c r="AN581" s="529"/>
      <c r="AO581" s="529"/>
      <c r="AP581" s="529"/>
      <c r="AQ581" s="529"/>
      <c r="AR581" s="529"/>
      <c r="AS581" s="529"/>
      <c r="AT581" s="529"/>
      <c r="AU581" s="529"/>
      <c r="AV581" s="529"/>
      <c r="AW581" s="530"/>
      <c r="AX581" s="529">
        <f>AX$54*0.0135</f>
        <v>0.215784</v>
      </c>
      <c r="AY581" s="529">
        <f>AY$54*0.0128</f>
        <v>0.17874408960000002</v>
      </c>
      <c r="AZ581" s="529">
        <f>AZ$54*0.0117</f>
        <v>0.1636707033</v>
      </c>
      <c r="BA581" s="529">
        <f>BA$54*0.0112</f>
        <v>0.14484029279999999</v>
      </c>
      <c r="BB581" s="529">
        <f>BB$54*0.0133</f>
        <v>0.16754543329999999</v>
      </c>
      <c r="BC581" s="529">
        <f>BC$54*0.0157</f>
        <v>0.16679912359999999</v>
      </c>
      <c r="BD581" s="529">
        <f>BD$54*0.0127</f>
        <v>0.1292563709</v>
      </c>
      <c r="BE581" s="529">
        <f>BE$54*0.0118</f>
        <v>0.1122425794</v>
      </c>
      <c r="BF581" s="529"/>
      <c r="BG581" s="529"/>
      <c r="BH581" s="529"/>
      <c r="BI581" s="529"/>
      <c r="BJ581" s="529"/>
      <c r="BK581" s="529"/>
      <c r="BL581" s="529"/>
      <c r="BN581" s="413"/>
      <c r="BO581" s="268">
        <f t="shared" si="856"/>
        <v>1.2816920747447611E-2</v>
      </c>
    </row>
    <row r="582" spans="1:67">
      <c r="A582" s="528" t="s">
        <v>53</v>
      </c>
      <c r="B582" s="529"/>
      <c r="C582" s="529"/>
      <c r="D582" s="529"/>
      <c r="E582" s="529"/>
      <c r="F582" s="529"/>
      <c r="G582" s="529"/>
      <c r="H582" s="529"/>
      <c r="I582" s="529"/>
      <c r="J582" s="529"/>
      <c r="K582" s="529"/>
      <c r="L582" s="529"/>
      <c r="M582" s="530"/>
      <c r="N582" s="529"/>
      <c r="O582" s="529"/>
      <c r="P582" s="529"/>
      <c r="Q582" s="529"/>
      <c r="R582" s="529"/>
      <c r="S582" s="529"/>
      <c r="T582" s="529"/>
      <c r="U582" s="529"/>
      <c r="V582" s="529"/>
      <c r="W582" s="529"/>
      <c r="X582" s="529"/>
      <c r="Y582" s="530"/>
      <c r="Z582" s="529"/>
      <c r="AA582" s="529"/>
      <c r="AB582" s="529"/>
      <c r="AC582" s="529"/>
      <c r="AD582" s="529"/>
      <c r="AE582" s="529"/>
      <c r="AF582" s="529"/>
      <c r="AG582" s="529"/>
      <c r="AH582" s="529"/>
      <c r="AI582" s="529"/>
      <c r="AJ582" s="529"/>
      <c r="AK582" s="530"/>
      <c r="AL582" s="529"/>
      <c r="AM582" s="529"/>
      <c r="AN582" s="529"/>
      <c r="AO582" s="529"/>
      <c r="AP582" s="529"/>
      <c r="AQ582" s="529"/>
      <c r="AR582" s="529"/>
      <c r="AS582" s="529"/>
      <c r="AT582" s="529"/>
      <c r="AU582" s="529"/>
      <c r="AV582" s="529"/>
      <c r="AW582" s="530"/>
      <c r="AX582" s="529">
        <f>AX$54*0.0155</f>
        <v>0.247752</v>
      </c>
      <c r="AY582" s="529">
        <f>AY$54*0.016</f>
        <v>0.22343011200000001</v>
      </c>
      <c r="AZ582" s="529">
        <f>AZ$54*0.014</f>
        <v>0.19584528600000001</v>
      </c>
      <c r="BA582" s="529">
        <f>BA$54*0.0136</f>
        <v>0.1758774984</v>
      </c>
      <c r="BB582" s="529">
        <f>BB$54*0.0111</f>
        <v>0.1398311511</v>
      </c>
      <c r="BC582" s="529">
        <f>BC$54*0.0136</f>
        <v>0.14448841279999999</v>
      </c>
      <c r="BD582" s="529">
        <f>BD$54*0.0144</f>
        <v>0.14655840479999999</v>
      </c>
      <c r="BE582" s="529">
        <f>BE$54*0.0112</f>
        <v>0.10653532960000001</v>
      </c>
      <c r="BF582" s="529"/>
      <c r="BG582" s="529"/>
      <c r="BH582" s="529"/>
      <c r="BI582" s="529"/>
      <c r="BJ582" s="529"/>
      <c r="BK582" s="529"/>
      <c r="BL582" s="529"/>
      <c r="BN582" s="413"/>
      <c r="BO582" s="268">
        <f t="shared" si="856"/>
        <v>1.383350512857689E-2</v>
      </c>
    </row>
    <row r="583" spans="1:67">
      <c r="A583" s="528" t="s">
        <v>11</v>
      </c>
      <c r="B583" s="529"/>
      <c r="C583" s="529"/>
      <c r="D583" s="529"/>
      <c r="E583" s="529"/>
      <c r="F583" s="529"/>
      <c r="G583" s="529"/>
      <c r="H583" s="529"/>
      <c r="I583" s="529"/>
      <c r="J583" s="529"/>
      <c r="K583" s="529"/>
      <c r="L583" s="529"/>
      <c r="M583" s="530"/>
      <c r="N583" s="529"/>
      <c r="O583" s="529"/>
      <c r="P583" s="529"/>
      <c r="Q583" s="529"/>
      <c r="R583" s="529"/>
      <c r="S583" s="529"/>
      <c r="T583" s="529"/>
      <c r="U583" s="529"/>
      <c r="V583" s="529"/>
      <c r="W583" s="529"/>
      <c r="X583" s="529"/>
      <c r="Y583" s="530"/>
      <c r="Z583" s="529"/>
      <c r="AA583" s="529"/>
      <c r="AB583" s="529"/>
      <c r="AC583" s="529"/>
      <c r="AD583" s="529"/>
      <c r="AE583" s="529"/>
      <c r="AF583" s="529"/>
      <c r="AG583" s="529"/>
      <c r="AH583" s="529"/>
      <c r="AI583" s="529"/>
      <c r="AJ583" s="529"/>
      <c r="AK583" s="530"/>
      <c r="AL583" s="529"/>
      <c r="AM583" s="529"/>
      <c r="AN583" s="529"/>
      <c r="AO583" s="529"/>
      <c r="AP583" s="529"/>
      <c r="AQ583" s="529"/>
      <c r="AR583" s="529"/>
      <c r="AS583" s="529"/>
      <c r="AT583" s="529"/>
      <c r="AU583" s="529"/>
      <c r="AV583" s="529"/>
      <c r="AW583" s="530"/>
      <c r="AX583" s="1"/>
      <c r="AY583" s="1"/>
      <c r="AZ583" s="1"/>
      <c r="BA583" s="1"/>
      <c r="BB583" s="529">
        <f>BB$54*0.0079</f>
        <v>9.9519467900000005E-2</v>
      </c>
      <c r="BC583" s="529">
        <f>BC$54*0.0071</f>
        <v>7.5431450800000008E-2</v>
      </c>
      <c r="BD583" s="529">
        <f>BD$54*0.0064</f>
        <v>6.5137068800000003E-2</v>
      </c>
      <c r="BE583" s="529">
        <f>BE$54*0.0059</f>
        <v>5.61212897E-2</v>
      </c>
      <c r="BF583" s="529"/>
      <c r="BG583" s="529"/>
      <c r="BH583" s="529"/>
      <c r="BI583" s="529"/>
      <c r="BJ583" s="529"/>
      <c r="BK583" s="529"/>
      <c r="BL583" s="529"/>
      <c r="BN583" s="413"/>
      <c r="BO583" s="268">
        <f t="shared" si="856"/>
        <v>2.968599972826435E-3</v>
      </c>
    </row>
    <row r="584" spans="1:67">
      <c r="A584" s="528" t="s">
        <v>8</v>
      </c>
      <c r="B584" s="529"/>
      <c r="C584" s="529"/>
      <c r="D584" s="529"/>
      <c r="E584" s="529"/>
      <c r="F584" s="529"/>
      <c r="G584" s="529"/>
      <c r="H584" s="529"/>
      <c r="I584" s="529"/>
      <c r="J584" s="529"/>
      <c r="K584" s="529"/>
      <c r="L584" s="529"/>
      <c r="M584" s="530"/>
      <c r="N584" s="529"/>
      <c r="O584" s="529"/>
      <c r="P584" s="529"/>
      <c r="Q584" s="529"/>
      <c r="R584" s="529"/>
      <c r="S584" s="529"/>
      <c r="T584" s="529"/>
      <c r="U584" s="529"/>
      <c r="V584" s="529"/>
      <c r="W584" s="529"/>
      <c r="X584" s="529"/>
      <c r="Y584" s="530"/>
      <c r="Z584" s="529"/>
      <c r="AA584" s="529"/>
      <c r="AB584" s="529"/>
      <c r="AC584" s="529"/>
      <c r="AD584" s="529"/>
      <c r="AE584" s="529"/>
      <c r="AF584" s="529"/>
      <c r="AG584" s="529"/>
      <c r="AH584" s="529"/>
      <c r="AI584" s="529"/>
      <c r="AJ584" s="529"/>
      <c r="AK584" s="530"/>
      <c r="AL584" s="529"/>
      <c r="AM584" s="529"/>
      <c r="AN584" s="529"/>
      <c r="AO584" s="529"/>
      <c r="AP584" s="529"/>
      <c r="AQ584" s="529"/>
      <c r="AR584" s="529"/>
      <c r="AS584" s="529"/>
      <c r="AT584" s="529"/>
      <c r="AU584" s="529"/>
      <c r="AV584" s="529"/>
      <c r="AW584" s="530"/>
      <c r="AX584" s="1"/>
      <c r="AY584" s="1"/>
      <c r="AZ584" s="1"/>
      <c r="BA584" s="1"/>
      <c r="BB584" s="529">
        <f>BB$54*0.0072</f>
        <v>9.0701287199999994E-2</v>
      </c>
      <c r="BC584" s="529">
        <f>BC$54*0.0069</f>
        <v>7.3306621200000005E-2</v>
      </c>
      <c r="BD584" s="529">
        <f>BD$54*0.0061</f>
        <v>6.20837687E-2</v>
      </c>
      <c r="BE584" s="529">
        <f>BE$54*0.0062</f>
        <v>5.8974914600000004E-2</v>
      </c>
      <c r="BF584" s="529"/>
      <c r="BG584" s="529"/>
      <c r="BH584" s="529"/>
      <c r="BI584" s="529"/>
      <c r="BJ584" s="529"/>
      <c r="BK584" s="529"/>
      <c r="BL584" s="529"/>
      <c r="BN584" s="413"/>
      <c r="BO584" s="268">
        <f t="shared" si="856"/>
        <v>2.856928332474066E-3</v>
      </c>
    </row>
    <row r="585" spans="1:67">
      <c r="A585" s="528" t="s">
        <v>215</v>
      </c>
      <c r="B585" s="529"/>
      <c r="C585" s="529"/>
      <c r="D585" s="529"/>
      <c r="E585" s="529"/>
      <c r="F585" s="529"/>
      <c r="G585" s="529"/>
      <c r="H585" s="529"/>
      <c r="I585" s="529"/>
      <c r="J585" s="529"/>
      <c r="K585" s="529"/>
      <c r="L585" s="529"/>
      <c r="M585" s="530"/>
      <c r="N585" s="529"/>
      <c r="O585" s="529"/>
      <c r="P585" s="529"/>
      <c r="Q585" s="529"/>
      <c r="R585" s="529"/>
      <c r="S585" s="529"/>
      <c r="T585" s="529"/>
      <c r="U585" s="529"/>
      <c r="V585" s="529"/>
      <c r="W585" s="529"/>
      <c r="X585" s="529"/>
      <c r="Y585" s="530"/>
      <c r="Z585" s="529"/>
      <c r="AA585" s="529"/>
      <c r="AB585" s="529"/>
      <c r="AC585" s="529"/>
      <c r="AD585" s="529"/>
      <c r="AE585" s="529"/>
      <c r="AF585" s="529"/>
      <c r="AG585" s="529"/>
      <c r="AH585" s="529"/>
      <c r="AI585" s="529"/>
      <c r="AJ585" s="529"/>
      <c r="AK585" s="530"/>
      <c r="AL585" s="529"/>
      <c r="AM585" s="529"/>
      <c r="AN585" s="529"/>
      <c r="AO585" s="529"/>
      <c r="AP585" s="529"/>
      <c r="AQ585" s="529"/>
      <c r="AR585" s="529"/>
      <c r="AS585" s="529"/>
      <c r="AT585" s="529"/>
      <c r="AU585" s="529"/>
      <c r="AV585" s="529"/>
      <c r="AW585" s="530"/>
      <c r="AX585" s="529">
        <f>AX$54*0.0109</f>
        <v>0.17422560000000001</v>
      </c>
      <c r="AY585" s="529">
        <f>AY$54*0.01</f>
        <v>0.13964382</v>
      </c>
      <c r="AZ585" s="529">
        <f>AZ$54*0.0091</f>
        <v>0.12729943590000001</v>
      </c>
      <c r="BA585" s="529">
        <f>BA$54*0.0082</f>
        <v>0.10604378580000001</v>
      </c>
      <c r="BB585" s="529">
        <f>BB$54*0.0067</f>
        <v>8.4402586700000004E-2</v>
      </c>
      <c r="BC585" s="529">
        <f>BC$54*0.0061</f>
        <v>6.4807302800000008E-2</v>
      </c>
      <c r="BD585" s="529">
        <f>BD$54*0.0046</f>
        <v>4.6817268199999998E-2</v>
      </c>
      <c r="BE585" s="529">
        <f>BE$54*0.0051</f>
        <v>4.8511623300000008E-2</v>
      </c>
      <c r="BF585" s="529"/>
      <c r="BG585" s="529"/>
      <c r="BH585" s="529"/>
      <c r="BI585" s="529"/>
      <c r="BJ585" s="529"/>
      <c r="BK585" s="529"/>
      <c r="BL585" s="529"/>
      <c r="BN585" s="413"/>
      <c r="BO585" s="268">
        <f t="shared" si="856"/>
        <v>7.9349076238605775E-3</v>
      </c>
    </row>
    <row r="586" spans="1:67">
      <c r="A586" s="528" t="s">
        <v>68</v>
      </c>
      <c r="B586" s="529"/>
      <c r="C586" s="529"/>
      <c r="D586" s="529"/>
      <c r="E586" s="529"/>
      <c r="F586" s="529"/>
      <c r="G586" s="529"/>
      <c r="H586" s="529"/>
      <c r="I586" s="529"/>
      <c r="J586" s="529"/>
      <c r="K586" s="529"/>
      <c r="L586" s="529"/>
      <c r="M586" s="530"/>
      <c r="N586" s="529"/>
      <c r="O586" s="529"/>
      <c r="P586" s="529"/>
      <c r="Q586" s="529"/>
      <c r="R586" s="529"/>
      <c r="S586" s="529"/>
      <c r="T586" s="529"/>
      <c r="U586" s="529"/>
      <c r="V586" s="529"/>
      <c r="W586" s="529"/>
      <c r="X586" s="529"/>
      <c r="Y586" s="530"/>
      <c r="Z586" s="529"/>
      <c r="AA586" s="529"/>
      <c r="AB586" s="529"/>
      <c r="AC586" s="529"/>
      <c r="AD586" s="529"/>
      <c r="AE586" s="529"/>
      <c r="AF586" s="529"/>
      <c r="AG586" s="529"/>
      <c r="AH586" s="529"/>
      <c r="AI586" s="529"/>
      <c r="AJ586" s="529"/>
      <c r="AK586" s="530"/>
      <c r="AL586" s="529"/>
      <c r="AM586" s="529"/>
      <c r="AN586" s="529"/>
      <c r="AO586" s="529"/>
      <c r="AP586" s="529"/>
      <c r="AQ586" s="529"/>
      <c r="AR586" s="529"/>
      <c r="AS586" s="529"/>
      <c r="AT586" s="529"/>
      <c r="AU586" s="529"/>
      <c r="AV586" s="529"/>
      <c r="AW586" s="530"/>
      <c r="AX586" s="1"/>
      <c r="AY586" s="1"/>
      <c r="AZ586" s="1"/>
      <c r="BA586" s="1"/>
      <c r="BB586" s="529">
        <f>BB$54*0.0064</f>
        <v>8.0623366400000007E-2</v>
      </c>
      <c r="BC586" s="529">
        <f>BC$54*0.0064</f>
        <v>6.7994547200000005E-2</v>
      </c>
      <c r="BD586" s="529">
        <f>BD$54*0.0045</f>
        <v>4.5799501499999992E-2</v>
      </c>
      <c r="BE586" s="529">
        <f>BE$54*0.0042</f>
        <v>3.9950748600000002E-2</v>
      </c>
      <c r="BF586" s="529"/>
      <c r="BG586" s="529"/>
      <c r="BH586" s="529"/>
      <c r="BI586" s="529"/>
      <c r="BJ586" s="529"/>
      <c r="BK586" s="529"/>
      <c r="BL586" s="529"/>
      <c r="BN586" s="413"/>
      <c r="BO586" s="268">
        <f t="shared" si="856"/>
        <v>2.3488302964982267E-3</v>
      </c>
    </row>
    <row r="587" spans="1:67">
      <c r="A587" s="528" t="s">
        <v>5</v>
      </c>
      <c r="B587" s="529"/>
      <c r="C587" s="529"/>
      <c r="D587" s="529"/>
      <c r="E587" s="529"/>
      <c r="F587" s="529"/>
      <c r="G587" s="529"/>
      <c r="H587" s="529"/>
      <c r="I587" s="529"/>
      <c r="J587" s="529"/>
      <c r="K587" s="529"/>
      <c r="L587" s="529"/>
      <c r="M587" s="530"/>
      <c r="N587" s="529"/>
      <c r="O587" s="529"/>
      <c r="P587" s="529"/>
      <c r="Q587" s="529"/>
      <c r="R587" s="529"/>
      <c r="S587" s="529"/>
      <c r="T587" s="529"/>
      <c r="U587" s="529"/>
      <c r="V587" s="529"/>
      <c r="W587" s="529"/>
      <c r="X587" s="529"/>
      <c r="Y587" s="530"/>
      <c r="Z587" s="529"/>
      <c r="AA587" s="529"/>
      <c r="AB587" s="529"/>
      <c r="AC587" s="529"/>
      <c r="AD587" s="529"/>
      <c r="AE587" s="529"/>
      <c r="AF587" s="529"/>
      <c r="AG587" s="529"/>
      <c r="AH587" s="529"/>
      <c r="AI587" s="529"/>
      <c r="AJ587" s="529"/>
      <c r="AK587" s="530"/>
      <c r="AL587" s="529"/>
      <c r="AM587" s="529"/>
      <c r="AN587" s="529"/>
      <c r="AO587" s="529"/>
      <c r="AP587" s="529"/>
      <c r="AQ587" s="529"/>
      <c r="AR587" s="529"/>
      <c r="AS587" s="529"/>
      <c r="AT587" s="529"/>
      <c r="AU587" s="529"/>
      <c r="AV587" s="529"/>
      <c r="AW587" s="530"/>
      <c r="AX587" s="529">
        <f>AX$54*0.0148</f>
        <v>0.2365632</v>
      </c>
      <c r="AY587" s="529">
        <f>AY$54*0.0143</f>
        <v>0.19969066260000001</v>
      </c>
      <c r="AZ587" s="529">
        <f>AZ$54*0.0143</f>
        <v>0.20004197069999999</v>
      </c>
      <c r="BA587" s="529">
        <f>BA$54*0.0117</f>
        <v>0.15130637730000002</v>
      </c>
      <c r="BB587" s="529">
        <f>BB$54*0.0053</f>
        <v>6.6766225299999996E-2</v>
      </c>
      <c r="BC587" s="529">
        <f>BC$54*0.0041</f>
        <v>4.3559006800000001E-2</v>
      </c>
      <c r="BD587" s="529">
        <f>BD$54*0.0033</f>
        <v>3.35863011E-2</v>
      </c>
      <c r="BE587" s="529">
        <f>BE$54*0.0045</f>
        <v>4.2804373499999999E-2</v>
      </c>
      <c r="BF587" s="529"/>
      <c r="BG587" s="529"/>
      <c r="BH587" s="529"/>
      <c r="BI587" s="529"/>
      <c r="BJ587" s="529"/>
      <c r="BK587" s="529"/>
      <c r="BL587" s="529"/>
      <c r="BN587" s="413"/>
      <c r="BO587" s="268">
        <f t="shared" si="856"/>
        <v>9.7645852414952085E-3</v>
      </c>
    </row>
    <row r="588" spans="1:67">
      <c r="A588" s="5" t="s">
        <v>91</v>
      </c>
      <c r="B588" s="529"/>
      <c r="C588" s="529"/>
      <c r="D588" s="529"/>
      <c r="E588" s="529"/>
      <c r="F588" s="529"/>
      <c r="G588" s="529"/>
      <c r="H588" s="529"/>
      <c r="I588" s="529"/>
      <c r="J588" s="529"/>
      <c r="K588" s="529"/>
      <c r="L588" s="529"/>
      <c r="M588" s="530"/>
      <c r="N588" s="529"/>
      <c r="O588" s="529"/>
      <c r="P588" s="529"/>
      <c r="Q588" s="529"/>
      <c r="R588" s="529"/>
      <c r="S588" s="529"/>
      <c r="T588" s="529"/>
      <c r="U588" s="529"/>
      <c r="V588" s="529"/>
      <c r="W588" s="529"/>
      <c r="X588" s="529"/>
      <c r="Y588" s="530"/>
      <c r="Z588" s="529"/>
      <c r="AA588" s="529"/>
      <c r="AB588" s="529"/>
      <c r="AC588" s="529"/>
      <c r="AD588" s="529"/>
      <c r="AE588" s="529"/>
      <c r="AF588" s="529"/>
      <c r="AG588" s="529"/>
      <c r="AH588" s="529"/>
      <c r="AI588" s="529"/>
      <c r="AJ588" s="529"/>
      <c r="AK588" s="530"/>
      <c r="AL588" s="529"/>
      <c r="AM588" s="529"/>
      <c r="AN588" s="529"/>
      <c r="AO588" s="529"/>
      <c r="AP588" s="529"/>
      <c r="AQ588" s="529"/>
      <c r="AR588" s="529"/>
      <c r="AS588" s="529"/>
      <c r="AT588" s="529"/>
      <c r="AU588" s="529"/>
      <c r="AV588" s="529"/>
      <c r="AW588" s="530"/>
      <c r="AX588" s="4"/>
      <c r="AY588" s="4"/>
      <c r="AZ588" s="4"/>
      <c r="BA588" s="4"/>
      <c r="BB588" s="4"/>
      <c r="BC588" s="529">
        <f>BC$54*0.0141</f>
        <v>0.14980048679999999</v>
      </c>
      <c r="BD588" s="529">
        <f>BD$54*0.0134</f>
        <v>0.13638073780000001</v>
      </c>
      <c r="BE588" s="529">
        <f>BE$54*0.0118</f>
        <v>0.1122425794</v>
      </c>
      <c r="BF588" s="529"/>
      <c r="BG588" s="529"/>
      <c r="BH588" s="529"/>
      <c r="BI588" s="529"/>
      <c r="BJ588" s="529"/>
      <c r="BK588" s="529"/>
      <c r="BL588" s="529"/>
      <c r="BN588" s="413"/>
      <c r="BO588" s="268">
        <f t="shared" si="856"/>
        <v>3.9929907155784542E-3</v>
      </c>
    </row>
    <row r="589" spans="1:67">
      <c r="A589" s="5" t="s">
        <v>379</v>
      </c>
      <c r="B589" s="529"/>
      <c r="C589" s="529"/>
      <c r="D589" s="529"/>
      <c r="E589" s="529"/>
      <c r="F589" s="529"/>
      <c r="G589" s="529"/>
      <c r="H589" s="529"/>
      <c r="I589" s="529"/>
      <c r="J589" s="529"/>
      <c r="K589" s="529"/>
      <c r="L589" s="529"/>
      <c r="M589" s="530"/>
      <c r="N589" s="529"/>
      <c r="O589" s="529"/>
      <c r="P589" s="529"/>
      <c r="Q589" s="529"/>
      <c r="R589" s="529"/>
      <c r="S589" s="529"/>
      <c r="T589" s="529"/>
      <c r="U589" s="529"/>
      <c r="V589" s="529"/>
      <c r="W589" s="529"/>
      <c r="X589" s="529"/>
      <c r="Y589" s="530"/>
      <c r="Z589" s="529"/>
      <c r="AA589" s="529"/>
      <c r="AB589" s="529"/>
      <c r="AC589" s="529"/>
      <c r="AD589" s="529"/>
      <c r="AE589" s="529"/>
      <c r="AF589" s="529"/>
      <c r="AG589" s="529"/>
      <c r="AH589" s="529"/>
      <c r="AI589" s="529"/>
      <c r="AJ589" s="529"/>
      <c r="AK589" s="530"/>
      <c r="AL589" s="529"/>
      <c r="AM589" s="529"/>
      <c r="AN589" s="529"/>
      <c r="AO589" s="529"/>
      <c r="AP589" s="529"/>
      <c r="AQ589" s="529"/>
      <c r="AR589" s="529"/>
      <c r="AS589" s="529"/>
      <c r="AT589" s="529"/>
      <c r="AU589" s="529"/>
      <c r="AV589" s="529"/>
      <c r="AW589" s="530"/>
      <c r="AX589" s="4"/>
      <c r="AY589" s="4"/>
      <c r="AZ589" s="4"/>
      <c r="BA589" s="4"/>
      <c r="BB589" s="4"/>
      <c r="BC589" s="529">
        <f>BC$54*0.0048</f>
        <v>5.0995910399999997E-2</v>
      </c>
      <c r="BD589" s="529">
        <f>BD$54*0.0033</f>
        <v>3.35863011E-2</v>
      </c>
      <c r="BE589" s="529">
        <f>BE$54*0.0028</f>
        <v>2.6633832400000002E-2</v>
      </c>
      <c r="BF589" s="529"/>
      <c r="BG589" s="529"/>
      <c r="BH589" s="529"/>
      <c r="BI589" s="529"/>
      <c r="BJ589" s="529"/>
      <c r="BK589" s="529"/>
      <c r="BL589" s="529"/>
      <c r="BN589" s="413"/>
      <c r="BO589" s="268">
        <f t="shared" si="856"/>
        <v>1.1146036613717634E-3</v>
      </c>
    </row>
    <row r="590" spans="1:67">
      <c r="A590" s="5" t="s">
        <v>377</v>
      </c>
      <c r="B590" s="529"/>
      <c r="C590" s="529"/>
      <c r="D590" s="529"/>
      <c r="E590" s="529"/>
      <c r="F590" s="529"/>
      <c r="G590" s="529"/>
      <c r="H590" s="529"/>
      <c r="I590" s="529"/>
      <c r="J590" s="529"/>
      <c r="K590" s="529"/>
      <c r="L590" s="529"/>
      <c r="M590" s="530"/>
      <c r="N590" s="529"/>
      <c r="O590" s="529"/>
      <c r="P590" s="529"/>
      <c r="Q590" s="529"/>
      <c r="R590" s="529"/>
      <c r="S590" s="529"/>
      <c r="T590" s="529"/>
      <c r="U590" s="529"/>
      <c r="V590" s="529"/>
      <c r="W590" s="529"/>
      <c r="X590" s="529"/>
      <c r="Y590" s="530"/>
      <c r="Z590" s="529"/>
      <c r="AA590" s="529"/>
      <c r="AB590" s="529"/>
      <c r="AC590" s="529"/>
      <c r="AD590" s="529"/>
      <c r="AE590" s="529"/>
      <c r="AF590" s="529"/>
      <c r="AG590" s="529"/>
      <c r="AH590" s="529"/>
      <c r="AI590" s="529"/>
      <c r="AJ590" s="529"/>
      <c r="AK590" s="530"/>
      <c r="AL590" s="529"/>
      <c r="AM590" s="529"/>
      <c r="AN590" s="529"/>
      <c r="AO590" s="529"/>
      <c r="AP590" s="529"/>
      <c r="AQ590" s="529"/>
      <c r="AR590" s="529"/>
      <c r="AS590" s="529"/>
      <c r="AT590" s="529"/>
      <c r="AU590" s="529"/>
      <c r="AV590" s="529"/>
      <c r="AW590" s="530"/>
      <c r="AX590" s="4"/>
      <c r="AY590" s="4"/>
      <c r="AZ590" s="4"/>
      <c r="BA590" s="4"/>
      <c r="BB590" s="4"/>
      <c r="BC590" s="529">
        <f>BC$54*0.0046</f>
        <v>4.8871080800000001E-2</v>
      </c>
      <c r="BD590" s="529">
        <f>BD$54*0.0043</f>
        <v>4.3763968100000002E-2</v>
      </c>
      <c r="BE590" s="529">
        <f>BE$54*0.0041</f>
        <v>3.8999540300000003E-2</v>
      </c>
      <c r="BF590" s="529"/>
      <c r="BG590" s="529"/>
      <c r="BH590" s="529"/>
      <c r="BI590" s="529"/>
      <c r="BJ590" s="529"/>
      <c r="BK590" s="529"/>
      <c r="BL590" s="529"/>
      <c r="BN590" s="413"/>
      <c r="BO590" s="268">
        <f t="shared" si="856"/>
        <v>1.3192376741741664E-3</v>
      </c>
    </row>
    <row r="591" spans="1:67">
      <c r="A591" s="528" t="s">
        <v>52</v>
      </c>
      <c r="B591" s="529"/>
      <c r="C591" s="529"/>
      <c r="D591" s="529"/>
      <c r="E591" s="529"/>
      <c r="F591" s="529"/>
      <c r="G591" s="529"/>
      <c r="H591" s="529"/>
      <c r="I591" s="529"/>
      <c r="J591" s="529"/>
      <c r="K591" s="529"/>
      <c r="L591" s="529"/>
      <c r="M591" s="530"/>
      <c r="N591" s="529"/>
      <c r="O591" s="529"/>
      <c r="P591" s="529"/>
      <c r="Q591" s="529"/>
      <c r="R591" s="529"/>
      <c r="S591" s="529"/>
      <c r="T591" s="529"/>
      <c r="U591" s="529"/>
      <c r="V591" s="529"/>
      <c r="W591" s="529"/>
      <c r="X591" s="529"/>
      <c r="Y591" s="530"/>
      <c r="Z591" s="529"/>
      <c r="AA591" s="529"/>
      <c r="AB591" s="529"/>
      <c r="AC591" s="529"/>
      <c r="AD591" s="529"/>
      <c r="AE591" s="529"/>
      <c r="AF591" s="529"/>
      <c r="AG591" s="529"/>
      <c r="AH591" s="529"/>
      <c r="AI591" s="529"/>
      <c r="AJ591" s="529"/>
      <c r="AK591" s="530"/>
      <c r="AL591" s="529"/>
      <c r="AM591" s="529"/>
      <c r="AN591" s="529"/>
      <c r="AO591" s="529"/>
      <c r="AP591" s="529"/>
      <c r="AQ591" s="529"/>
      <c r="AR591" s="529"/>
      <c r="AS591" s="529"/>
      <c r="AT591" s="529"/>
      <c r="AU591" s="529"/>
      <c r="AV591" s="529"/>
      <c r="AW591" s="530"/>
      <c r="AX591" s="529">
        <f>AX$54*0.0225</f>
        <v>0.35963999999999996</v>
      </c>
      <c r="AY591" s="529">
        <f>AY$54*0.021</f>
        <v>0.29325202200000006</v>
      </c>
      <c r="AZ591" s="529">
        <f>AZ$54*0.0054</f>
        <v>7.55403246E-2</v>
      </c>
      <c r="BA591" s="1"/>
      <c r="BB591" s="1"/>
      <c r="BC591" s="1"/>
      <c r="BD591" s="1"/>
      <c r="BE591" s="1"/>
      <c r="BF591" s="1"/>
      <c r="BG591" s="1"/>
      <c r="BH591" s="529"/>
      <c r="BI591" s="529"/>
      <c r="BJ591" s="529"/>
      <c r="BK591" s="529"/>
      <c r="BL591" s="529"/>
      <c r="BN591" s="413"/>
      <c r="BO591" s="268">
        <f t="shared" si="856"/>
        <v>7.3003258532736339E-3</v>
      </c>
    </row>
    <row r="592" spans="1:67">
      <c r="A592" s="528" t="s">
        <v>216</v>
      </c>
      <c r="B592" s="529"/>
      <c r="C592" s="529"/>
      <c r="D592" s="529"/>
      <c r="E592" s="529"/>
      <c r="F592" s="529"/>
      <c r="G592" s="529"/>
      <c r="H592" s="529"/>
      <c r="I592" s="529"/>
      <c r="J592" s="529"/>
      <c r="K592" s="529"/>
      <c r="L592" s="529"/>
      <c r="M592" s="530"/>
      <c r="N592" s="529"/>
      <c r="O592" s="529"/>
      <c r="P592" s="529"/>
      <c r="Q592" s="529"/>
      <c r="R592" s="529"/>
      <c r="S592" s="529"/>
      <c r="T592" s="529"/>
      <c r="U592" s="529"/>
      <c r="V592" s="529"/>
      <c r="W592" s="529"/>
      <c r="X592" s="529"/>
      <c r="Y592" s="530"/>
      <c r="Z592" s="529"/>
      <c r="AA592" s="529"/>
      <c r="AB592" s="529"/>
      <c r="AC592" s="529"/>
      <c r="AD592" s="529"/>
      <c r="AE592" s="529"/>
      <c r="AF592" s="529"/>
      <c r="AG592" s="529"/>
      <c r="AH592" s="529"/>
      <c r="AI592" s="529"/>
      <c r="AJ592" s="529"/>
      <c r="AK592" s="530"/>
      <c r="AL592" s="529"/>
      <c r="AM592" s="529"/>
      <c r="AN592" s="529"/>
      <c r="AO592" s="529"/>
      <c r="AP592" s="529"/>
      <c r="AQ592" s="529"/>
      <c r="AR592" s="529"/>
      <c r="AS592" s="529"/>
      <c r="AT592" s="529"/>
      <c r="AU592" s="529"/>
      <c r="AV592" s="529"/>
      <c r="AW592" s="530"/>
      <c r="AX592" s="529">
        <f t="shared" ref="AX592:BE592" si="857">AX$54-SUM(AX568:AX591)</f>
        <v>1.2451536000000001</v>
      </c>
      <c r="AY592" s="529">
        <f t="shared" si="857"/>
        <v>1.2414335597999973</v>
      </c>
      <c r="AZ592" s="529">
        <f t="shared" si="857"/>
        <v>1.5205987563000019</v>
      </c>
      <c r="BA592" s="529">
        <f t="shared" si="857"/>
        <v>1.5143569898999996</v>
      </c>
      <c r="BB592" s="529">
        <f t="shared" si="857"/>
        <v>0.24312983930000343</v>
      </c>
      <c r="BC592" s="529">
        <f t="shared" si="857"/>
        <v>0.48871080799999866</v>
      </c>
      <c r="BD592" s="529">
        <f t="shared" si="857"/>
        <v>0.41728434700000072</v>
      </c>
      <c r="BE592" s="529">
        <f t="shared" si="857"/>
        <v>0.31199632240000064</v>
      </c>
      <c r="BF592" s="529"/>
      <c r="BG592" s="529"/>
      <c r="BH592" s="529"/>
      <c r="BI592" s="529"/>
      <c r="BJ592" s="529"/>
      <c r="BK592" s="529"/>
      <c r="BL592" s="529"/>
      <c r="BN592" s="413"/>
      <c r="BO592" s="268">
        <f t="shared" si="856"/>
        <v>6.9980039172666889E-2</v>
      </c>
    </row>
    <row r="593" spans="1:67">
      <c r="A593" s="531" t="s">
        <v>129</v>
      </c>
      <c r="B593" s="532"/>
      <c r="C593" s="532"/>
      <c r="D593" s="532"/>
      <c r="E593" s="532"/>
      <c r="F593" s="532"/>
      <c r="G593" s="532"/>
      <c r="H593" s="533"/>
      <c r="I593" s="533"/>
      <c r="J593" s="533"/>
      <c r="K593" s="533"/>
      <c r="L593" s="533"/>
      <c r="M593" s="534"/>
      <c r="N593" s="535"/>
      <c r="O593" s="535"/>
      <c r="P593" s="535"/>
      <c r="Q593" s="535"/>
      <c r="R593" s="535"/>
      <c r="S593" s="535"/>
      <c r="T593" s="535"/>
      <c r="U593" s="535"/>
      <c r="V593" s="535"/>
      <c r="W593" s="535"/>
      <c r="X593" s="535"/>
      <c r="Y593" s="536"/>
      <c r="Z593" s="535"/>
      <c r="AA593" s="535"/>
      <c r="AB593" s="535"/>
      <c r="AC593" s="535"/>
      <c r="AD593" s="535"/>
      <c r="AE593" s="535"/>
      <c r="AF593" s="535"/>
      <c r="AG593" s="535"/>
      <c r="AH593" s="535"/>
      <c r="AI593" s="535"/>
      <c r="AJ593" s="535"/>
      <c r="AK593" s="536"/>
      <c r="AL593" s="535"/>
      <c r="AM593" s="535"/>
      <c r="AN593" s="535"/>
      <c r="AO593" s="535"/>
      <c r="AP593" s="535"/>
      <c r="AQ593" s="535"/>
      <c r="AR593" s="535"/>
      <c r="AS593" s="535"/>
      <c r="AT593" s="535"/>
      <c r="AU593" s="535"/>
      <c r="AV593" s="535"/>
      <c r="AW593" s="536"/>
      <c r="AX593" s="535">
        <f t="shared" ref="AX593:BC593" si="858">SUM(AX568:AX592)</f>
        <v>15.984</v>
      </c>
      <c r="AY593" s="535">
        <f t="shared" si="858"/>
        <v>13.964382000000001</v>
      </c>
      <c r="AZ593" s="535">
        <f t="shared" si="858"/>
        <v>13.988949</v>
      </c>
      <c r="BA593" s="535">
        <f t="shared" si="858"/>
        <v>12.932169</v>
      </c>
      <c r="BB593" s="535">
        <f t="shared" si="858"/>
        <v>12.597401</v>
      </c>
      <c r="BC593" s="535">
        <f t="shared" si="858"/>
        <v>10.624148</v>
      </c>
      <c r="BD593" s="535">
        <f t="shared" ref="BD593:BE593" si="859">SUM(BD568:BD592)</f>
        <v>10.177667</v>
      </c>
      <c r="BE593" s="535">
        <f t="shared" si="859"/>
        <v>9.5120830000000005</v>
      </c>
      <c r="BF593" s="535">
        <f t="shared" ref="BF593:BG593" si="860">SUM(BF568:BF592)</f>
        <v>0</v>
      </c>
      <c r="BG593" s="535">
        <f t="shared" si="860"/>
        <v>0</v>
      </c>
      <c r="BH593" s="529"/>
      <c r="BI593" s="529"/>
      <c r="BJ593" s="529"/>
      <c r="BK593" s="529"/>
      <c r="BL593" s="529"/>
      <c r="BN593" s="413"/>
      <c r="BO593" s="269">
        <f t="shared" si="856"/>
        <v>1</v>
      </c>
    </row>
    <row r="594" spans="1:67" ht="16" thickBot="1">
      <c r="A594" s="537"/>
      <c r="B594" s="538"/>
      <c r="C594" s="538"/>
      <c r="D594" s="538"/>
      <c r="E594" s="538"/>
      <c r="F594" s="538"/>
      <c r="G594" s="538"/>
      <c r="H594" s="538"/>
      <c r="I594" s="538"/>
      <c r="J594" s="538"/>
      <c r="K594" s="538"/>
      <c r="L594" s="538"/>
      <c r="M594" s="539"/>
      <c r="N594" s="538"/>
      <c r="O594" s="538"/>
      <c r="P594" s="538"/>
      <c r="Q594" s="538"/>
      <c r="R594" s="538"/>
      <c r="S594" s="538"/>
      <c r="T594" s="538"/>
      <c r="U594" s="538"/>
      <c r="V594" s="538"/>
      <c r="W594" s="538"/>
      <c r="X594" s="538"/>
      <c r="Y594" s="539"/>
      <c r="Z594" s="538"/>
      <c r="AA594" s="538"/>
      <c r="AB594" s="538"/>
      <c r="AC594" s="538"/>
      <c r="AD594" s="538"/>
      <c r="AE594" s="538"/>
      <c r="AF594" s="538"/>
      <c r="AG594" s="538"/>
      <c r="AH594" s="538"/>
      <c r="AI594" s="538"/>
      <c r="AJ594" s="538"/>
      <c r="AK594" s="539"/>
      <c r="AL594" s="538"/>
      <c r="AM594" s="538"/>
      <c r="AN594" s="538"/>
      <c r="AO594" s="538"/>
      <c r="AP594" s="538"/>
      <c r="AQ594" s="538"/>
      <c r="AR594" s="538"/>
      <c r="AS594" s="538"/>
      <c r="AT594" s="538"/>
      <c r="AU594" s="538"/>
      <c r="AV594" s="538"/>
      <c r="AW594" s="539"/>
      <c r="AX594" s="538"/>
      <c r="AY594" s="538"/>
      <c r="AZ594" s="538"/>
      <c r="BA594" s="538"/>
      <c r="BB594" s="538"/>
      <c r="BC594" s="538"/>
      <c r="BD594" s="538"/>
      <c r="BE594" s="538"/>
      <c r="BF594" s="538"/>
      <c r="BG594" s="538"/>
      <c r="BH594" s="529"/>
      <c r="BI594" s="529"/>
      <c r="BJ594" s="529"/>
      <c r="BK594" s="529"/>
      <c r="BL594" s="529"/>
      <c r="BN594" s="413"/>
      <c r="BO594" s="355"/>
    </row>
    <row r="595" spans="1:67">
      <c r="BH595" s="529"/>
      <c r="BI595" s="529"/>
      <c r="BJ595" s="529"/>
      <c r="BK595" s="529"/>
      <c r="BL595" s="529"/>
    </row>
    <row r="596" spans="1:67">
      <c r="BH596" s="529"/>
      <c r="BI596" s="529"/>
      <c r="BJ596" s="529"/>
      <c r="BK596" s="529"/>
      <c r="BL596" s="529"/>
    </row>
    <row r="597" spans="1:67">
      <c r="BH597" s="529"/>
      <c r="BI597" s="529"/>
      <c r="BJ597" s="529"/>
      <c r="BK597" s="529"/>
      <c r="BL597" s="529"/>
    </row>
  </sheetData>
  <sortState xmlns:xlrd2="http://schemas.microsoft.com/office/spreadsheetml/2017/richdata2" ref="A547:BD568">
    <sortCondition descending="1" ref="BB547:BB568"/>
  </sortState>
  <mergeCells count="21">
    <mergeCell ref="EN32:EQ32"/>
    <mergeCell ref="ER32:EU32"/>
    <mergeCell ref="EN53:EQ53"/>
    <mergeCell ref="ER53:EU53"/>
    <mergeCell ref="DR32:EC32"/>
    <mergeCell ref="AM4:AQ4"/>
    <mergeCell ref="ED32:EI32"/>
    <mergeCell ref="BN4:BR4"/>
    <mergeCell ref="AL119:AP119"/>
    <mergeCell ref="AL123:AP123"/>
    <mergeCell ref="AM115:AQ115"/>
    <mergeCell ref="AL131:AP131"/>
    <mergeCell ref="AL121:AP121"/>
    <mergeCell ref="AL127:AP127"/>
    <mergeCell ref="AL132:AP132"/>
    <mergeCell ref="AL134:AP134"/>
    <mergeCell ref="AL124:AP124"/>
    <mergeCell ref="AL125:AP125"/>
    <mergeCell ref="AL126:AP126"/>
    <mergeCell ref="AL129:AP129"/>
    <mergeCell ref="AL130:AP130"/>
  </mergeCells>
  <phoneticPr fontId="20" type="noConversion"/>
  <pageMargins left="0.75" right="0.75" top="1" bottom="1" header="0.5" footer="0.5"/>
  <pageSetup paperSize="9"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3E758-0068-724E-A28C-C69779B5C34F}">
  <dimension ref="A2:AA507"/>
  <sheetViews>
    <sheetView topLeftCell="H1" workbookViewId="0">
      <selection activeCell="AA205" sqref="AA205"/>
    </sheetView>
  </sheetViews>
  <sheetFormatPr baseColWidth="10" defaultRowHeight="13"/>
  <cols>
    <col min="1" max="1" width="48.6640625" style="730" customWidth="1"/>
    <col min="2" max="2" width="11.1640625" style="730" bestFit="1" customWidth="1"/>
    <col min="3" max="16384" width="10.83203125" style="730"/>
  </cols>
  <sheetData>
    <row r="2" spans="1:27">
      <c r="A2" s="729" t="s">
        <v>578</v>
      </c>
    </row>
    <row r="3" spans="1:27">
      <c r="A3" s="731" t="e">
        <f>#REF!</f>
        <v>#REF!</v>
      </c>
    </row>
    <row r="5" spans="1:27">
      <c r="A5" s="732" t="s">
        <v>579</v>
      </c>
    </row>
    <row r="6" spans="1:27" ht="15">
      <c r="A6" s="730" t="s">
        <v>580</v>
      </c>
      <c r="B6" s="753" t="e">
        <f>#REF!</f>
        <v>#REF!</v>
      </c>
    </row>
    <row r="8" spans="1:27">
      <c r="A8" s="732" t="s">
        <v>772</v>
      </c>
    </row>
    <row r="10" spans="1:27">
      <c r="A10" s="733" t="s">
        <v>581</v>
      </c>
      <c r="B10" s="734"/>
      <c r="C10" s="734"/>
      <c r="D10" s="734"/>
      <c r="E10" s="734"/>
      <c r="F10" s="734"/>
      <c r="G10" s="734"/>
      <c r="H10" s="734"/>
      <c r="I10" s="734"/>
      <c r="J10" s="734"/>
      <c r="K10" s="734"/>
      <c r="L10" s="734"/>
      <c r="M10" s="734"/>
      <c r="N10" s="734"/>
      <c r="O10" s="734"/>
      <c r="P10" s="734"/>
      <c r="Q10" s="734"/>
      <c r="R10" s="734"/>
      <c r="S10" s="734"/>
      <c r="T10" s="734"/>
      <c r="U10" s="734"/>
      <c r="V10" s="734"/>
      <c r="W10" s="734"/>
      <c r="X10" s="734"/>
      <c r="Y10" s="734"/>
      <c r="Z10" s="734"/>
      <c r="AA10" s="734"/>
    </row>
    <row r="12" spans="1:27">
      <c r="A12" s="735" t="s">
        <v>582</v>
      </c>
      <c r="B12" s="735">
        <v>2003</v>
      </c>
      <c r="C12" s="735">
        <v>2004</v>
      </c>
      <c r="D12" s="735">
        <v>2005</v>
      </c>
      <c r="E12" s="735">
        <v>2006</v>
      </c>
      <c r="F12" s="735">
        <v>2007</v>
      </c>
      <c r="G12" s="735">
        <v>2008</v>
      </c>
      <c r="H12" s="735">
        <v>2009</v>
      </c>
      <c r="I12" s="735">
        <v>2010</v>
      </c>
      <c r="J12" s="735">
        <v>2011</v>
      </c>
      <c r="K12" s="735">
        <v>2012</v>
      </c>
      <c r="L12" s="735">
        <v>2013</v>
      </c>
      <c r="M12" s="735">
        <v>2014</v>
      </c>
      <c r="N12" s="735">
        <v>2015</v>
      </c>
      <c r="O12" s="735">
        <v>2016</v>
      </c>
      <c r="P12" s="735">
        <v>2017</v>
      </c>
      <c r="Q12" s="735">
        <v>2018</v>
      </c>
      <c r="R12" s="735">
        <v>2019</v>
      </c>
      <c r="S12" s="735">
        <v>2020</v>
      </c>
      <c r="T12" s="735">
        <v>2021</v>
      </c>
      <c r="U12" s="735">
        <v>2022</v>
      </c>
      <c r="V12" s="735">
        <v>2023</v>
      </c>
      <c r="W12" s="735">
        <v>2024</v>
      </c>
      <c r="X12" s="735">
        <v>2025</v>
      </c>
      <c r="Y12" s="735">
        <v>2026</v>
      </c>
      <c r="Z12" s="735">
        <v>2027</v>
      </c>
      <c r="AA12" s="735">
        <v>2028</v>
      </c>
    </row>
    <row r="14" spans="1:27" ht="15">
      <c r="A14" s="730" t="s">
        <v>583</v>
      </c>
      <c r="B14" s="736" t="e">
        <f>B106</f>
        <v>#REF!</v>
      </c>
      <c r="C14" s="736" t="e">
        <f t="shared" ref="C14:Z14" si="0">C106</f>
        <v>#REF!</v>
      </c>
      <c r="D14" s="736" t="e">
        <f t="shared" si="0"/>
        <v>#REF!</v>
      </c>
      <c r="E14" s="736" t="e">
        <f t="shared" si="0"/>
        <v>#REF!</v>
      </c>
      <c r="F14" s="736" t="e">
        <f t="shared" si="0"/>
        <v>#REF!</v>
      </c>
      <c r="G14" s="736" t="e">
        <f t="shared" si="0"/>
        <v>#REF!</v>
      </c>
      <c r="H14" s="736" t="e">
        <f t="shared" si="0"/>
        <v>#REF!</v>
      </c>
      <c r="I14" s="736" t="e">
        <f t="shared" si="0"/>
        <v>#REF!</v>
      </c>
      <c r="J14" s="736" t="e">
        <f t="shared" si="0"/>
        <v>#REF!</v>
      </c>
      <c r="K14" s="736" t="e">
        <f t="shared" si="0"/>
        <v>#REF!</v>
      </c>
      <c r="L14" s="736" t="e">
        <f t="shared" si="0"/>
        <v>#REF!</v>
      </c>
      <c r="M14" s="736" t="e">
        <f t="shared" si="0"/>
        <v>#REF!</v>
      </c>
      <c r="N14" s="736" t="e">
        <f t="shared" si="0"/>
        <v>#REF!</v>
      </c>
      <c r="O14" s="736" t="e">
        <f t="shared" si="0"/>
        <v>#REF!</v>
      </c>
      <c r="P14" s="736" t="e">
        <f t="shared" si="0"/>
        <v>#REF!</v>
      </c>
      <c r="Q14" s="736" t="e">
        <f t="shared" si="0"/>
        <v>#REF!</v>
      </c>
      <c r="R14" s="736" t="e">
        <f t="shared" si="0"/>
        <v>#REF!</v>
      </c>
      <c r="S14" s="736" t="e">
        <f t="shared" si="0"/>
        <v>#REF!</v>
      </c>
      <c r="T14" s="736" t="e">
        <f t="shared" si="0"/>
        <v>#REF!</v>
      </c>
      <c r="U14" s="736" t="e">
        <f t="shared" si="0"/>
        <v>#REF!</v>
      </c>
      <c r="V14" s="736" t="e">
        <f t="shared" si="0"/>
        <v>#REF!</v>
      </c>
      <c r="W14" s="736" t="e">
        <f t="shared" si="0"/>
        <v>#REF!</v>
      </c>
      <c r="X14" s="736" t="e">
        <f t="shared" si="0"/>
        <v>#REF!</v>
      </c>
      <c r="Y14" s="736" t="e">
        <f t="shared" si="0"/>
        <v>#REF!</v>
      </c>
      <c r="Z14" s="736" t="e">
        <f t="shared" si="0"/>
        <v>#REF!</v>
      </c>
      <c r="AA14" s="736" t="e">
        <f t="shared" ref="AA14" si="1">AA106</f>
        <v>#REF!</v>
      </c>
    </row>
    <row r="15" spans="1:27" ht="15">
      <c r="A15" s="730" t="s">
        <v>584</v>
      </c>
      <c r="B15" s="736" t="e">
        <f>B304</f>
        <v>#REF!</v>
      </c>
      <c r="C15" s="736" t="e">
        <f t="shared" ref="C15:Z15" si="2">C304</f>
        <v>#REF!</v>
      </c>
      <c r="D15" s="736" t="e">
        <f t="shared" si="2"/>
        <v>#REF!</v>
      </c>
      <c r="E15" s="736" t="e">
        <f t="shared" si="2"/>
        <v>#REF!</v>
      </c>
      <c r="F15" s="736" t="e">
        <f t="shared" si="2"/>
        <v>#REF!</v>
      </c>
      <c r="G15" s="736" t="e">
        <f t="shared" si="2"/>
        <v>#REF!</v>
      </c>
      <c r="H15" s="736" t="e">
        <f t="shared" si="2"/>
        <v>#REF!</v>
      </c>
      <c r="I15" s="736" t="e">
        <f t="shared" si="2"/>
        <v>#REF!</v>
      </c>
      <c r="J15" s="736" t="e">
        <f t="shared" si="2"/>
        <v>#REF!</v>
      </c>
      <c r="K15" s="736" t="e">
        <f t="shared" si="2"/>
        <v>#REF!</v>
      </c>
      <c r="L15" s="736" t="e">
        <f t="shared" si="2"/>
        <v>#REF!</v>
      </c>
      <c r="M15" s="736" t="e">
        <f t="shared" si="2"/>
        <v>#REF!</v>
      </c>
      <c r="N15" s="736" t="e">
        <f t="shared" si="2"/>
        <v>#REF!</v>
      </c>
      <c r="O15" s="736" t="e">
        <f t="shared" si="2"/>
        <v>#REF!</v>
      </c>
      <c r="P15" s="736" t="e">
        <f t="shared" si="2"/>
        <v>#REF!</v>
      </c>
      <c r="Q15" s="736" t="e">
        <f t="shared" si="2"/>
        <v>#REF!</v>
      </c>
      <c r="R15" s="736" t="e">
        <f t="shared" si="2"/>
        <v>#REF!</v>
      </c>
      <c r="S15" s="736" t="e">
        <f t="shared" si="2"/>
        <v>#REF!</v>
      </c>
      <c r="T15" s="736" t="e">
        <f t="shared" si="2"/>
        <v>#REF!</v>
      </c>
      <c r="U15" s="736" t="e">
        <f t="shared" si="2"/>
        <v>#REF!</v>
      </c>
      <c r="V15" s="736" t="e">
        <f t="shared" si="2"/>
        <v>#REF!</v>
      </c>
      <c r="W15" s="736" t="e">
        <f t="shared" si="2"/>
        <v>#REF!</v>
      </c>
      <c r="X15" s="736" t="e">
        <f t="shared" si="2"/>
        <v>#REF!</v>
      </c>
      <c r="Y15" s="736" t="e">
        <f t="shared" si="2"/>
        <v>#REF!</v>
      </c>
      <c r="Z15" s="736" t="e">
        <f t="shared" si="2"/>
        <v>#REF!</v>
      </c>
      <c r="AA15" s="736" t="e">
        <f t="shared" ref="AA15" si="3">AA304</f>
        <v>#REF!</v>
      </c>
    </row>
    <row r="16" spans="1:27" ht="15">
      <c r="A16" s="737" t="s">
        <v>585</v>
      </c>
      <c r="B16" s="738" t="e">
        <f>B14+B15</f>
        <v>#REF!</v>
      </c>
      <c r="C16" s="738" t="e">
        <f t="shared" ref="C16:Z16" si="4">C14+C15</f>
        <v>#REF!</v>
      </c>
      <c r="D16" s="738" t="e">
        <f t="shared" si="4"/>
        <v>#REF!</v>
      </c>
      <c r="E16" s="738" t="e">
        <f t="shared" si="4"/>
        <v>#REF!</v>
      </c>
      <c r="F16" s="738" t="e">
        <f t="shared" si="4"/>
        <v>#REF!</v>
      </c>
      <c r="G16" s="738" t="e">
        <f t="shared" si="4"/>
        <v>#REF!</v>
      </c>
      <c r="H16" s="738" t="e">
        <f t="shared" si="4"/>
        <v>#REF!</v>
      </c>
      <c r="I16" s="738" t="e">
        <f t="shared" si="4"/>
        <v>#REF!</v>
      </c>
      <c r="J16" s="738" t="e">
        <f t="shared" si="4"/>
        <v>#REF!</v>
      </c>
      <c r="K16" s="738" t="e">
        <f t="shared" si="4"/>
        <v>#REF!</v>
      </c>
      <c r="L16" s="738" t="e">
        <f t="shared" si="4"/>
        <v>#REF!</v>
      </c>
      <c r="M16" s="738" t="e">
        <f t="shared" si="4"/>
        <v>#REF!</v>
      </c>
      <c r="N16" s="738" t="e">
        <f t="shared" si="4"/>
        <v>#REF!</v>
      </c>
      <c r="O16" s="738" t="e">
        <f t="shared" si="4"/>
        <v>#REF!</v>
      </c>
      <c r="P16" s="738" t="e">
        <f t="shared" si="4"/>
        <v>#REF!</v>
      </c>
      <c r="Q16" s="738" t="e">
        <f t="shared" si="4"/>
        <v>#REF!</v>
      </c>
      <c r="R16" s="738" t="e">
        <f t="shared" si="4"/>
        <v>#REF!</v>
      </c>
      <c r="S16" s="738" t="e">
        <f t="shared" si="4"/>
        <v>#REF!</v>
      </c>
      <c r="T16" s="738" t="e">
        <f t="shared" si="4"/>
        <v>#REF!</v>
      </c>
      <c r="U16" s="738" t="e">
        <f t="shared" si="4"/>
        <v>#REF!</v>
      </c>
      <c r="V16" s="738" t="e">
        <f t="shared" si="4"/>
        <v>#REF!</v>
      </c>
      <c r="W16" s="738" t="e">
        <f t="shared" si="4"/>
        <v>#REF!</v>
      </c>
      <c r="X16" s="738" t="e">
        <f t="shared" si="4"/>
        <v>#REF!</v>
      </c>
      <c r="Y16" s="738" t="e">
        <f t="shared" si="4"/>
        <v>#REF!</v>
      </c>
      <c r="Z16" s="738" t="e">
        <f t="shared" si="4"/>
        <v>#REF!</v>
      </c>
      <c r="AA16" s="738" t="e">
        <f t="shared" ref="AA16" si="5">AA14+AA15</f>
        <v>#REF!</v>
      </c>
    </row>
    <row r="17" spans="1:27" ht="15">
      <c r="A17" s="730" t="s">
        <v>586</v>
      </c>
      <c r="B17" s="736" t="e">
        <f>B457</f>
        <v>#REF!</v>
      </c>
      <c r="C17" s="736" t="e">
        <f t="shared" ref="C17:Z17" si="6">C457</f>
        <v>#REF!</v>
      </c>
      <c r="D17" s="736" t="e">
        <f t="shared" si="6"/>
        <v>#REF!</v>
      </c>
      <c r="E17" s="736" t="e">
        <f t="shared" si="6"/>
        <v>#REF!</v>
      </c>
      <c r="F17" s="736" t="e">
        <f t="shared" si="6"/>
        <v>#REF!</v>
      </c>
      <c r="G17" s="736" t="e">
        <f t="shared" si="6"/>
        <v>#REF!</v>
      </c>
      <c r="H17" s="736" t="e">
        <f t="shared" si="6"/>
        <v>#REF!</v>
      </c>
      <c r="I17" s="736" t="e">
        <f t="shared" si="6"/>
        <v>#REF!</v>
      </c>
      <c r="J17" s="736" t="e">
        <f t="shared" si="6"/>
        <v>#REF!</v>
      </c>
      <c r="K17" s="736" t="e">
        <f t="shared" si="6"/>
        <v>#REF!</v>
      </c>
      <c r="L17" s="736" t="e">
        <f t="shared" si="6"/>
        <v>#REF!</v>
      </c>
      <c r="M17" s="736" t="e">
        <f t="shared" si="6"/>
        <v>#REF!</v>
      </c>
      <c r="N17" s="736" t="e">
        <f t="shared" si="6"/>
        <v>#REF!</v>
      </c>
      <c r="O17" s="736" t="e">
        <f t="shared" si="6"/>
        <v>#REF!</v>
      </c>
      <c r="P17" s="736" t="e">
        <f t="shared" si="6"/>
        <v>#REF!</v>
      </c>
      <c r="Q17" s="736" t="e">
        <f t="shared" si="6"/>
        <v>#REF!</v>
      </c>
      <c r="R17" s="736" t="e">
        <f t="shared" si="6"/>
        <v>#REF!</v>
      </c>
      <c r="S17" s="736" t="e">
        <f t="shared" si="6"/>
        <v>#REF!</v>
      </c>
      <c r="T17" s="736" t="e">
        <f t="shared" si="6"/>
        <v>#REF!</v>
      </c>
      <c r="U17" s="736" t="e">
        <f t="shared" si="6"/>
        <v>#REF!</v>
      </c>
      <c r="V17" s="736" t="e">
        <f t="shared" si="6"/>
        <v>#REF!</v>
      </c>
      <c r="W17" s="736" t="e">
        <f t="shared" si="6"/>
        <v>#REF!</v>
      </c>
      <c r="X17" s="736" t="e">
        <f t="shared" si="6"/>
        <v>#REF!</v>
      </c>
      <c r="Y17" s="736" t="e">
        <f t="shared" si="6"/>
        <v>#REF!</v>
      </c>
      <c r="Z17" s="736" t="e">
        <f t="shared" si="6"/>
        <v>#REF!</v>
      </c>
      <c r="AA17" s="736" t="e">
        <f t="shared" ref="AA17" si="7">AA457</f>
        <v>#REF!</v>
      </c>
    </row>
    <row r="18" spans="1:27" ht="16" thickBot="1">
      <c r="A18" s="754" t="s">
        <v>587</v>
      </c>
      <c r="B18" s="755" t="e">
        <f>B16+B17</f>
        <v>#REF!</v>
      </c>
      <c r="C18" s="755" t="e">
        <f t="shared" ref="C18:Z18" si="8">C16+C17</f>
        <v>#REF!</v>
      </c>
      <c r="D18" s="755" t="e">
        <f t="shared" si="8"/>
        <v>#REF!</v>
      </c>
      <c r="E18" s="755" t="e">
        <f t="shared" si="8"/>
        <v>#REF!</v>
      </c>
      <c r="F18" s="755" t="e">
        <f t="shared" si="8"/>
        <v>#REF!</v>
      </c>
      <c r="G18" s="755" t="e">
        <f t="shared" si="8"/>
        <v>#REF!</v>
      </c>
      <c r="H18" s="755" t="e">
        <f t="shared" si="8"/>
        <v>#REF!</v>
      </c>
      <c r="I18" s="755" t="e">
        <f t="shared" si="8"/>
        <v>#REF!</v>
      </c>
      <c r="J18" s="755" t="e">
        <f t="shared" si="8"/>
        <v>#REF!</v>
      </c>
      <c r="K18" s="755" t="e">
        <f t="shared" si="8"/>
        <v>#REF!</v>
      </c>
      <c r="L18" s="755" t="e">
        <f t="shared" si="8"/>
        <v>#REF!</v>
      </c>
      <c r="M18" s="755" t="e">
        <f t="shared" si="8"/>
        <v>#REF!</v>
      </c>
      <c r="N18" s="755" t="e">
        <f t="shared" si="8"/>
        <v>#REF!</v>
      </c>
      <c r="O18" s="755" t="e">
        <f t="shared" si="8"/>
        <v>#REF!</v>
      </c>
      <c r="P18" s="755" t="e">
        <f t="shared" si="8"/>
        <v>#REF!</v>
      </c>
      <c r="Q18" s="755" t="e">
        <f t="shared" si="8"/>
        <v>#REF!</v>
      </c>
      <c r="R18" s="755" t="e">
        <f t="shared" si="8"/>
        <v>#REF!</v>
      </c>
      <c r="S18" s="755" t="e">
        <f t="shared" si="8"/>
        <v>#REF!</v>
      </c>
      <c r="T18" s="755" t="e">
        <f t="shared" si="8"/>
        <v>#REF!</v>
      </c>
      <c r="U18" s="755" t="e">
        <f t="shared" si="8"/>
        <v>#REF!</v>
      </c>
      <c r="V18" s="755" t="e">
        <f t="shared" si="8"/>
        <v>#REF!</v>
      </c>
      <c r="W18" s="755" t="e">
        <f t="shared" si="8"/>
        <v>#REF!</v>
      </c>
      <c r="X18" s="755" t="e">
        <f t="shared" si="8"/>
        <v>#REF!</v>
      </c>
      <c r="Y18" s="755" t="e">
        <f t="shared" si="8"/>
        <v>#REF!</v>
      </c>
      <c r="Z18" s="755" t="e">
        <f t="shared" si="8"/>
        <v>#REF!</v>
      </c>
      <c r="AA18" s="755" t="e">
        <f t="shared" ref="AA18" si="9">AA16+AA17</f>
        <v>#REF!</v>
      </c>
    </row>
    <row r="21" spans="1:27" ht="15">
      <c r="A21" s="730" t="s">
        <v>588</v>
      </c>
      <c r="B21" s="736" t="e">
        <f>B110</f>
        <v>#REF!</v>
      </c>
      <c r="C21" s="736" t="e">
        <f t="shared" ref="C21:Z21" si="10">C110</f>
        <v>#REF!</v>
      </c>
      <c r="D21" s="736" t="e">
        <f t="shared" si="10"/>
        <v>#REF!</v>
      </c>
      <c r="E21" s="736" t="e">
        <f t="shared" si="10"/>
        <v>#REF!</v>
      </c>
      <c r="F21" s="736" t="e">
        <f t="shared" si="10"/>
        <v>#REF!</v>
      </c>
      <c r="G21" s="736" t="e">
        <f t="shared" si="10"/>
        <v>#REF!</v>
      </c>
      <c r="H21" s="736" t="e">
        <f t="shared" si="10"/>
        <v>#REF!</v>
      </c>
      <c r="I21" s="736" t="e">
        <f t="shared" si="10"/>
        <v>#REF!</v>
      </c>
      <c r="J21" s="736" t="e">
        <f t="shared" si="10"/>
        <v>#REF!</v>
      </c>
      <c r="K21" s="736" t="e">
        <f t="shared" si="10"/>
        <v>#REF!</v>
      </c>
      <c r="L21" s="736" t="e">
        <f t="shared" si="10"/>
        <v>#REF!</v>
      </c>
      <c r="M21" s="736" t="e">
        <f t="shared" si="10"/>
        <v>#REF!</v>
      </c>
      <c r="N21" s="736" t="e">
        <f t="shared" si="10"/>
        <v>#REF!</v>
      </c>
      <c r="O21" s="736" t="e">
        <f t="shared" si="10"/>
        <v>#REF!</v>
      </c>
      <c r="P21" s="736" t="e">
        <f t="shared" si="10"/>
        <v>#REF!</v>
      </c>
      <c r="Q21" s="736" t="e">
        <f t="shared" si="10"/>
        <v>#REF!</v>
      </c>
      <c r="R21" s="736" t="e">
        <f t="shared" si="10"/>
        <v>#REF!</v>
      </c>
      <c r="S21" s="736" t="e">
        <f t="shared" si="10"/>
        <v>#REF!</v>
      </c>
      <c r="T21" s="736" t="e">
        <f t="shared" si="10"/>
        <v>#REF!</v>
      </c>
      <c r="U21" s="736" t="e">
        <f t="shared" si="10"/>
        <v>#REF!</v>
      </c>
      <c r="V21" s="736" t="e">
        <f t="shared" si="10"/>
        <v>#REF!</v>
      </c>
      <c r="W21" s="736" t="e">
        <f t="shared" si="10"/>
        <v>#REF!</v>
      </c>
      <c r="X21" s="736" t="e">
        <f t="shared" si="10"/>
        <v>#REF!</v>
      </c>
      <c r="Y21" s="736" t="e">
        <f t="shared" si="10"/>
        <v>#REF!</v>
      </c>
      <c r="Z21" s="736" t="e">
        <f t="shared" si="10"/>
        <v>#REF!</v>
      </c>
      <c r="AA21" s="736" t="e">
        <f t="shared" ref="AA21" si="11">AA110</f>
        <v>#REF!</v>
      </c>
    </row>
    <row r="22" spans="1:27" ht="15">
      <c r="A22" s="730" t="s">
        <v>589</v>
      </c>
      <c r="B22" s="736" t="e">
        <f>B306</f>
        <v>#REF!</v>
      </c>
      <c r="C22" s="736" t="e">
        <f t="shared" ref="C22:Z22" si="12">C306</f>
        <v>#REF!</v>
      </c>
      <c r="D22" s="736" t="e">
        <f t="shared" si="12"/>
        <v>#REF!</v>
      </c>
      <c r="E22" s="736" t="e">
        <f t="shared" si="12"/>
        <v>#REF!</v>
      </c>
      <c r="F22" s="736" t="e">
        <f t="shared" si="12"/>
        <v>#REF!</v>
      </c>
      <c r="G22" s="736" t="e">
        <f t="shared" si="12"/>
        <v>#REF!</v>
      </c>
      <c r="H22" s="736" t="e">
        <f t="shared" si="12"/>
        <v>#REF!</v>
      </c>
      <c r="I22" s="736" t="e">
        <f t="shared" si="12"/>
        <v>#REF!</v>
      </c>
      <c r="J22" s="736" t="e">
        <f t="shared" si="12"/>
        <v>#REF!</v>
      </c>
      <c r="K22" s="736" t="e">
        <f t="shared" si="12"/>
        <v>#REF!</v>
      </c>
      <c r="L22" s="736" t="e">
        <f t="shared" si="12"/>
        <v>#REF!</v>
      </c>
      <c r="M22" s="736" t="e">
        <f t="shared" si="12"/>
        <v>#REF!</v>
      </c>
      <c r="N22" s="736" t="e">
        <f t="shared" si="12"/>
        <v>#REF!</v>
      </c>
      <c r="O22" s="736" t="e">
        <f t="shared" si="12"/>
        <v>#REF!</v>
      </c>
      <c r="P22" s="736" t="e">
        <f t="shared" si="12"/>
        <v>#REF!</v>
      </c>
      <c r="Q22" s="736" t="e">
        <f t="shared" si="12"/>
        <v>#REF!</v>
      </c>
      <c r="R22" s="736" t="e">
        <f t="shared" si="12"/>
        <v>#REF!</v>
      </c>
      <c r="S22" s="736" t="e">
        <f t="shared" si="12"/>
        <v>#REF!</v>
      </c>
      <c r="T22" s="736" t="e">
        <f t="shared" si="12"/>
        <v>#REF!</v>
      </c>
      <c r="U22" s="736" t="e">
        <f t="shared" si="12"/>
        <v>#REF!</v>
      </c>
      <c r="V22" s="736" t="e">
        <f t="shared" si="12"/>
        <v>#REF!</v>
      </c>
      <c r="W22" s="736" t="e">
        <f t="shared" si="12"/>
        <v>#REF!</v>
      </c>
      <c r="X22" s="736" t="e">
        <f t="shared" si="12"/>
        <v>#REF!</v>
      </c>
      <c r="Y22" s="736" t="e">
        <f t="shared" si="12"/>
        <v>#REF!</v>
      </c>
      <c r="Z22" s="736" t="e">
        <f t="shared" si="12"/>
        <v>#REF!</v>
      </c>
      <c r="AA22" s="736" t="e">
        <f t="shared" ref="AA22" si="13">AA306</f>
        <v>#REF!</v>
      </c>
    </row>
    <row r="23" spans="1:27" ht="15">
      <c r="A23" s="756" t="s">
        <v>590</v>
      </c>
      <c r="B23" s="757" t="e">
        <f>B21+B22</f>
        <v>#REF!</v>
      </c>
      <c r="C23" s="757" t="e">
        <f t="shared" ref="C23:Z23" si="14">C21+C22</f>
        <v>#REF!</v>
      </c>
      <c r="D23" s="757" t="e">
        <f t="shared" si="14"/>
        <v>#REF!</v>
      </c>
      <c r="E23" s="757" t="e">
        <f t="shared" si="14"/>
        <v>#REF!</v>
      </c>
      <c r="F23" s="757" t="e">
        <f t="shared" si="14"/>
        <v>#REF!</v>
      </c>
      <c r="G23" s="757" t="e">
        <f t="shared" si="14"/>
        <v>#REF!</v>
      </c>
      <c r="H23" s="757" t="e">
        <f t="shared" si="14"/>
        <v>#REF!</v>
      </c>
      <c r="I23" s="757" t="e">
        <f t="shared" si="14"/>
        <v>#REF!</v>
      </c>
      <c r="J23" s="757" t="e">
        <f t="shared" si="14"/>
        <v>#REF!</v>
      </c>
      <c r="K23" s="757" t="e">
        <f t="shared" si="14"/>
        <v>#REF!</v>
      </c>
      <c r="L23" s="757" t="e">
        <f t="shared" si="14"/>
        <v>#REF!</v>
      </c>
      <c r="M23" s="757" t="e">
        <f t="shared" si="14"/>
        <v>#REF!</v>
      </c>
      <c r="N23" s="757" t="e">
        <f t="shared" si="14"/>
        <v>#REF!</v>
      </c>
      <c r="O23" s="757" t="e">
        <f t="shared" si="14"/>
        <v>#REF!</v>
      </c>
      <c r="P23" s="757" t="e">
        <f t="shared" si="14"/>
        <v>#REF!</v>
      </c>
      <c r="Q23" s="757" t="e">
        <f t="shared" si="14"/>
        <v>#REF!</v>
      </c>
      <c r="R23" s="757" t="e">
        <f t="shared" si="14"/>
        <v>#REF!</v>
      </c>
      <c r="S23" s="757" t="e">
        <f t="shared" si="14"/>
        <v>#REF!</v>
      </c>
      <c r="T23" s="757" t="e">
        <f t="shared" si="14"/>
        <v>#REF!</v>
      </c>
      <c r="U23" s="757" t="e">
        <f t="shared" si="14"/>
        <v>#REF!</v>
      </c>
      <c r="V23" s="757" t="e">
        <f t="shared" si="14"/>
        <v>#REF!</v>
      </c>
      <c r="W23" s="757" t="e">
        <f t="shared" si="14"/>
        <v>#REF!</v>
      </c>
      <c r="X23" s="757" t="e">
        <f t="shared" si="14"/>
        <v>#REF!</v>
      </c>
      <c r="Y23" s="757" t="e">
        <f t="shared" si="14"/>
        <v>#REF!</v>
      </c>
      <c r="Z23" s="757" t="e">
        <f t="shared" si="14"/>
        <v>#REF!</v>
      </c>
      <c r="AA23" s="757" t="e">
        <f t="shared" ref="AA23" si="15">AA21+AA22</f>
        <v>#REF!</v>
      </c>
    </row>
    <row r="24" spans="1:27" ht="15">
      <c r="A24" s="730" t="s">
        <v>591</v>
      </c>
      <c r="B24" s="736" t="e">
        <f>B470</f>
        <v>#REF!</v>
      </c>
      <c r="C24" s="736" t="e">
        <f t="shared" ref="C24:Z24" si="16">C470</f>
        <v>#REF!</v>
      </c>
      <c r="D24" s="736" t="e">
        <f t="shared" si="16"/>
        <v>#REF!</v>
      </c>
      <c r="E24" s="736" t="e">
        <f t="shared" si="16"/>
        <v>#REF!</v>
      </c>
      <c r="F24" s="736" t="e">
        <f t="shared" si="16"/>
        <v>#REF!</v>
      </c>
      <c r="G24" s="736" t="e">
        <f t="shared" si="16"/>
        <v>#REF!</v>
      </c>
      <c r="H24" s="736" t="e">
        <f t="shared" si="16"/>
        <v>#REF!</v>
      </c>
      <c r="I24" s="736" t="e">
        <f t="shared" si="16"/>
        <v>#REF!</v>
      </c>
      <c r="J24" s="736" t="e">
        <f t="shared" si="16"/>
        <v>#REF!</v>
      </c>
      <c r="K24" s="736" t="e">
        <f t="shared" si="16"/>
        <v>#REF!</v>
      </c>
      <c r="L24" s="736" t="e">
        <f t="shared" si="16"/>
        <v>#REF!</v>
      </c>
      <c r="M24" s="736" t="e">
        <f t="shared" si="16"/>
        <v>#REF!</v>
      </c>
      <c r="N24" s="736" t="e">
        <f t="shared" si="16"/>
        <v>#REF!</v>
      </c>
      <c r="O24" s="736" t="e">
        <f t="shared" si="16"/>
        <v>#REF!</v>
      </c>
      <c r="P24" s="736" t="e">
        <f t="shared" si="16"/>
        <v>#REF!</v>
      </c>
      <c r="Q24" s="736" t="e">
        <f t="shared" si="16"/>
        <v>#REF!</v>
      </c>
      <c r="R24" s="736" t="e">
        <f t="shared" si="16"/>
        <v>#REF!</v>
      </c>
      <c r="S24" s="736" t="e">
        <f t="shared" si="16"/>
        <v>#REF!</v>
      </c>
      <c r="T24" s="736" t="e">
        <f t="shared" si="16"/>
        <v>#REF!</v>
      </c>
      <c r="U24" s="736" t="e">
        <f t="shared" si="16"/>
        <v>#REF!</v>
      </c>
      <c r="V24" s="736" t="e">
        <f t="shared" si="16"/>
        <v>#REF!</v>
      </c>
      <c r="W24" s="736" t="e">
        <f t="shared" si="16"/>
        <v>#REF!</v>
      </c>
      <c r="X24" s="736" t="e">
        <f t="shared" si="16"/>
        <v>#REF!</v>
      </c>
      <c r="Y24" s="736" t="e">
        <f t="shared" si="16"/>
        <v>#REF!</v>
      </c>
      <c r="Z24" s="736" t="e">
        <f t="shared" si="16"/>
        <v>#REF!</v>
      </c>
      <c r="AA24" s="736" t="e">
        <f t="shared" ref="AA24" si="17">AA470</f>
        <v>#REF!</v>
      </c>
    </row>
    <row r="25" spans="1:27" ht="16" thickBot="1">
      <c r="A25" s="754" t="s">
        <v>592</v>
      </c>
      <c r="B25" s="755" t="e">
        <f>B23+B24</f>
        <v>#REF!</v>
      </c>
      <c r="C25" s="755" t="e">
        <f t="shared" ref="C25:Z25" si="18">C23+C24</f>
        <v>#REF!</v>
      </c>
      <c r="D25" s="755" t="e">
        <f t="shared" si="18"/>
        <v>#REF!</v>
      </c>
      <c r="E25" s="755" t="e">
        <f t="shared" si="18"/>
        <v>#REF!</v>
      </c>
      <c r="F25" s="755" t="e">
        <f t="shared" si="18"/>
        <v>#REF!</v>
      </c>
      <c r="G25" s="755" t="e">
        <f t="shared" si="18"/>
        <v>#REF!</v>
      </c>
      <c r="H25" s="755" t="e">
        <f t="shared" si="18"/>
        <v>#REF!</v>
      </c>
      <c r="I25" s="755" t="e">
        <f t="shared" si="18"/>
        <v>#REF!</v>
      </c>
      <c r="J25" s="755" t="e">
        <f t="shared" si="18"/>
        <v>#REF!</v>
      </c>
      <c r="K25" s="755" t="e">
        <f t="shared" si="18"/>
        <v>#REF!</v>
      </c>
      <c r="L25" s="755" t="e">
        <f t="shared" si="18"/>
        <v>#REF!</v>
      </c>
      <c r="M25" s="755" t="e">
        <f t="shared" si="18"/>
        <v>#REF!</v>
      </c>
      <c r="N25" s="755" t="e">
        <f t="shared" si="18"/>
        <v>#REF!</v>
      </c>
      <c r="O25" s="755" t="e">
        <f t="shared" si="18"/>
        <v>#REF!</v>
      </c>
      <c r="P25" s="755" t="e">
        <f t="shared" si="18"/>
        <v>#REF!</v>
      </c>
      <c r="Q25" s="755" t="e">
        <f t="shared" si="18"/>
        <v>#REF!</v>
      </c>
      <c r="R25" s="755" t="e">
        <f t="shared" si="18"/>
        <v>#REF!</v>
      </c>
      <c r="S25" s="755" t="e">
        <f t="shared" si="18"/>
        <v>#REF!</v>
      </c>
      <c r="T25" s="755" t="e">
        <f t="shared" si="18"/>
        <v>#REF!</v>
      </c>
      <c r="U25" s="755" t="e">
        <f t="shared" si="18"/>
        <v>#REF!</v>
      </c>
      <c r="V25" s="755" t="e">
        <f t="shared" si="18"/>
        <v>#REF!</v>
      </c>
      <c r="W25" s="755" t="e">
        <f t="shared" si="18"/>
        <v>#REF!</v>
      </c>
      <c r="X25" s="755" t="e">
        <f t="shared" si="18"/>
        <v>#REF!</v>
      </c>
      <c r="Y25" s="755" t="e">
        <f t="shared" si="18"/>
        <v>#REF!</v>
      </c>
      <c r="Z25" s="755" t="e">
        <f t="shared" si="18"/>
        <v>#REF!</v>
      </c>
      <c r="AA25" s="755" t="e">
        <f t="shared" ref="AA25" si="19">AA23+AA24</f>
        <v>#REF!</v>
      </c>
    </row>
    <row r="28" spans="1:27" ht="15">
      <c r="A28" s="730" t="s">
        <v>593</v>
      </c>
      <c r="B28" s="736" t="e">
        <f>B114</f>
        <v>#REF!</v>
      </c>
      <c r="C28" s="736" t="e">
        <f t="shared" ref="C28:Z28" si="20">C114</f>
        <v>#REF!</v>
      </c>
      <c r="D28" s="736" t="e">
        <f t="shared" si="20"/>
        <v>#REF!</v>
      </c>
      <c r="E28" s="736" t="e">
        <f t="shared" si="20"/>
        <v>#REF!</v>
      </c>
      <c r="F28" s="736" t="e">
        <f t="shared" si="20"/>
        <v>#REF!</v>
      </c>
      <c r="G28" s="736" t="e">
        <f t="shared" si="20"/>
        <v>#REF!</v>
      </c>
      <c r="H28" s="736" t="e">
        <f t="shared" si="20"/>
        <v>#REF!</v>
      </c>
      <c r="I28" s="736" t="e">
        <f t="shared" si="20"/>
        <v>#REF!</v>
      </c>
      <c r="J28" s="736" t="e">
        <f t="shared" si="20"/>
        <v>#REF!</v>
      </c>
      <c r="K28" s="736" t="e">
        <f t="shared" si="20"/>
        <v>#REF!</v>
      </c>
      <c r="L28" s="736" t="e">
        <f t="shared" si="20"/>
        <v>#REF!</v>
      </c>
      <c r="M28" s="736" t="e">
        <f t="shared" si="20"/>
        <v>#REF!</v>
      </c>
      <c r="N28" s="736" t="e">
        <f t="shared" si="20"/>
        <v>#REF!</v>
      </c>
      <c r="O28" s="736" t="e">
        <f t="shared" si="20"/>
        <v>#REF!</v>
      </c>
      <c r="P28" s="736" t="e">
        <f t="shared" si="20"/>
        <v>#REF!</v>
      </c>
      <c r="Q28" s="736" t="e">
        <f t="shared" si="20"/>
        <v>#REF!</v>
      </c>
      <c r="R28" s="736" t="e">
        <f t="shared" si="20"/>
        <v>#REF!</v>
      </c>
      <c r="S28" s="736" t="e">
        <f t="shared" si="20"/>
        <v>#REF!</v>
      </c>
      <c r="T28" s="736" t="e">
        <f t="shared" si="20"/>
        <v>#REF!</v>
      </c>
      <c r="U28" s="736" t="e">
        <f t="shared" si="20"/>
        <v>#REF!</v>
      </c>
      <c r="V28" s="736" t="e">
        <f t="shared" si="20"/>
        <v>#REF!</v>
      </c>
      <c r="W28" s="736" t="e">
        <f t="shared" si="20"/>
        <v>#REF!</v>
      </c>
      <c r="X28" s="736" t="e">
        <f t="shared" si="20"/>
        <v>#REF!</v>
      </c>
      <c r="Y28" s="736" t="e">
        <f t="shared" si="20"/>
        <v>#REF!</v>
      </c>
      <c r="Z28" s="736" t="e">
        <f t="shared" si="20"/>
        <v>#REF!</v>
      </c>
      <c r="AA28" s="736" t="e">
        <f t="shared" ref="AA28" si="21">AA114</f>
        <v>#REF!</v>
      </c>
    </row>
    <row r="29" spans="1:27" ht="15">
      <c r="A29" s="730" t="s">
        <v>594</v>
      </c>
      <c r="B29" s="736" t="e">
        <f>B308</f>
        <v>#REF!</v>
      </c>
      <c r="C29" s="736" t="e">
        <f t="shared" ref="C29:Z29" si="22">C308</f>
        <v>#REF!</v>
      </c>
      <c r="D29" s="736" t="e">
        <f t="shared" si="22"/>
        <v>#REF!</v>
      </c>
      <c r="E29" s="736" t="e">
        <f t="shared" si="22"/>
        <v>#REF!</v>
      </c>
      <c r="F29" s="736" t="e">
        <f t="shared" si="22"/>
        <v>#REF!</v>
      </c>
      <c r="G29" s="736" t="e">
        <f t="shared" si="22"/>
        <v>#REF!</v>
      </c>
      <c r="H29" s="736" t="e">
        <f t="shared" si="22"/>
        <v>#REF!</v>
      </c>
      <c r="I29" s="736" t="e">
        <f t="shared" si="22"/>
        <v>#REF!</v>
      </c>
      <c r="J29" s="736" t="e">
        <f t="shared" si="22"/>
        <v>#REF!</v>
      </c>
      <c r="K29" s="736" t="e">
        <f t="shared" si="22"/>
        <v>#REF!</v>
      </c>
      <c r="L29" s="736" t="e">
        <f t="shared" si="22"/>
        <v>#REF!</v>
      </c>
      <c r="M29" s="736" t="e">
        <f t="shared" si="22"/>
        <v>#REF!</v>
      </c>
      <c r="N29" s="736" t="e">
        <f t="shared" si="22"/>
        <v>#REF!</v>
      </c>
      <c r="O29" s="736" t="e">
        <f t="shared" si="22"/>
        <v>#REF!</v>
      </c>
      <c r="P29" s="736" t="e">
        <f t="shared" si="22"/>
        <v>#REF!</v>
      </c>
      <c r="Q29" s="736" t="e">
        <f t="shared" si="22"/>
        <v>#REF!</v>
      </c>
      <c r="R29" s="736" t="e">
        <f t="shared" si="22"/>
        <v>#REF!</v>
      </c>
      <c r="S29" s="736" t="e">
        <f t="shared" si="22"/>
        <v>#REF!</v>
      </c>
      <c r="T29" s="736" t="e">
        <f t="shared" si="22"/>
        <v>#REF!</v>
      </c>
      <c r="U29" s="736" t="e">
        <f t="shared" si="22"/>
        <v>#REF!</v>
      </c>
      <c r="V29" s="736" t="e">
        <f t="shared" si="22"/>
        <v>#REF!</v>
      </c>
      <c r="W29" s="736" t="e">
        <f t="shared" si="22"/>
        <v>#REF!</v>
      </c>
      <c r="X29" s="736" t="e">
        <f t="shared" si="22"/>
        <v>#REF!</v>
      </c>
      <c r="Y29" s="736" t="e">
        <f t="shared" si="22"/>
        <v>#REF!</v>
      </c>
      <c r="Z29" s="736" t="e">
        <f t="shared" si="22"/>
        <v>#REF!</v>
      </c>
      <c r="AA29" s="736" t="e">
        <f t="shared" ref="AA29" si="23">AA308</f>
        <v>#REF!</v>
      </c>
    </row>
    <row r="30" spans="1:27" ht="15">
      <c r="A30" s="756" t="s">
        <v>595</v>
      </c>
      <c r="B30" s="757" t="e">
        <f>B28+B29</f>
        <v>#REF!</v>
      </c>
      <c r="C30" s="757" t="e">
        <f t="shared" ref="C30:Z30" si="24">C28+C29</f>
        <v>#REF!</v>
      </c>
      <c r="D30" s="757" t="e">
        <f t="shared" si="24"/>
        <v>#REF!</v>
      </c>
      <c r="E30" s="757" t="e">
        <f t="shared" si="24"/>
        <v>#REF!</v>
      </c>
      <c r="F30" s="757" t="e">
        <f t="shared" si="24"/>
        <v>#REF!</v>
      </c>
      <c r="G30" s="757" t="e">
        <f t="shared" si="24"/>
        <v>#REF!</v>
      </c>
      <c r="H30" s="757" t="e">
        <f t="shared" si="24"/>
        <v>#REF!</v>
      </c>
      <c r="I30" s="757" t="e">
        <f t="shared" si="24"/>
        <v>#REF!</v>
      </c>
      <c r="J30" s="757" t="e">
        <f t="shared" si="24"/>
        <v>#REF!</v>
      </c>
      <c r="K30" s="757" t="e">
        <f t="shared" si="24"/>
        <v>#REF!</v>
      </c>
      <c r="L30" s="757" t="e">
        <f t="shared" si="24"/>
        <v>#REF!</v>
      </c>
      <c r="M30" s="757" t="e">
        <f t="shared" si="24"/>
        <v>#REF!</v>
      </c>
      <c r="N30" s="757" t="e">
        <f t="shared" si="24"/>
        <v>#REF!</v>
      </c>
      <c r="O30" s="757" t="e">
        <f t="shared" si="24"/>
        <v>#REF!</v>
      </c>
      <c r="P30" s="757" t="e">
        <f t="shared" si="24"/>
        <v>#REF!</v>
      </c>
      <c r="Q30" s="757" t="e">
        <f t="shared" si="24"/>
        <v>#REF!</v>
      </c>
      <c r="R30" s="757" t="e">
        <f t="shared" si="24"/>
        <v>#REF!</v>
      </c>
      <c r="S30" s="757" t="e">
        <f t="shared" si="24"/>
        <v>#REF!</v>
      </c>
      <c r="T30" s="757" t="e">
        <f t="shared" si="24"/>
        <v>#REF!</v>
      </c>
      <c r="U30" s="757" t="e">
        <f t="shared" si="24"/>
        <v>#REF!</v>
      </c>
      <c r="V30" s="757" t="e">
        <f t="shared" si="24"/>
        <v>#REF!</v>
      </c>
      <c r="W30" s="757" t="e">
        <f t="shared" si="24"/>
        <v>#REF!</v>
      </c>
      <c r="X30" s="757" t="e">
        <f t="shared" si="24"/>
        <v>#REF!</v>
      </c>
      <c r="Y30" s="757" t="e">
        <f t="shared" si="24"/>
        <v>#REF!</v>
      </c>
      <c r="Z30" s="757" t="e">
        <f t="shared" si="24"/>
        <v>#REF!</v>
      </c>
      <c r="AA30" s="757" t="e">
        <f t="shared" ref="AA30" si="25">AA28+AA29</f>
        <v>#REF!</v>
      </c>
    </row>
    <row r="31" spans="1:27" ht="15">
      <c r="A31" s="730" t="s">
        <v>596</v>
      </c>
      <c r="B31" s="736" t="e">
        <f>B487</f>
        <v>#REF!</v>
      </c>
      <c r="C31" s="736" t="e">
        <f t="shared" ref="C31:Z31" si="26">C487</f>
        <v>#REF!</v>
      </c>
      <c r="D31" s="736" t="e">
        <f t="shared" si="26"/>
        <v>#REF!</v>
      </c>
      <c r="E31" s="736" t="e">
        <f t="shared" si="26"/>
        <v>#REF!</v>
      </c>
      <c r="F31" s="736" t="e">
        <f t="shared" si="26"/>
        <v>#REF!</v>
      </c>
      <c r="G31" s="736" t="e">
        <f t="shared" si="26"/>
        <v>#REF!</v>
      </c>
      <c r="H31" s="736" t="e">
        <f t="shared" si="26"/>
        <v>#REF!</v>
      </c>
      <c r="I31" s="736" t="e">
        <f t="shared" si="26"/>
        <v>#REF!</v>
      </c>
      <c r="J31" s="736" t="e">
        <f t="shared" si="26"/>
        <v>#REF!</v>
      </c>
      <c r="K31" s="736" t="e">
        <f t="shared" si="26"/>
        <v>#REF!</v>
      </c>
      <c r="L31" s="736" t="e">
        <f t="shared" si="26"/>
        <v>#REF!</v>
      </c>
      <c r="M31" s="736" t="e">
        <f t="shared" si="26"/>
        <v>#REF!</v>
      </c>
      <c r="N31" s="736" t="e">
        <f t="shared" si="26"/>
        <v>#REF!</v>
      </c>
      <c r="O31" s="736" t="e">
        <f t="shared" si="26"/>
        <v>#REF!</v>
      </c>
      <c r="P31" s="736" t="e">
        <f t="shared" si="26"/>
        <v>#REF!</v>
      </c>
      <c r="Q31" s="736" t="e">
        <f t="shared" si="26"/>
        <v>#REF!</v>
      </c>
      <c r="R31" s="736" t="e">
        <f t="shared" si="26"/>
        <v>#REF!</v>
      </c>
      <c r="S31" s="736" t="e">
        <f t="shared" si="26"/>
        <v>#REF!</v>
      </c>
      <c r="T31" s="736" t="e">
        <f t="shared" si="26"/>
        <v>#REF!</v>
      </c>
      <c r="U31" s="736" t="e">
        <f t="shared" si="26"/>
        <v>#REF!</v>
      </c>
      <c r="V31" s="736" t="e">
        <f t="shared" si="26"/>
        <v>#REF!</v>
      </c>
      <c r="W31" s="736" t="e">
        <f t="shared" si="26"/>
        <v>#REF!</v>
      </c>
      <c r="X31" s="736" t="e">
        <f t="shared" si="26"/>
        <v>#REF!</v>
      </c>
      <c r="Y31" s="736" t="e">
        <f t="shared" si="26"/>
        <v>#REF!</v>
      </c>
      <c r="Z31" s="736" t="e">
        <f t="shared" si="26"/>
        <v>#REF!</v>
      </c>
      <c r="AA31" s="736" t="e">
        <f t="shared" ref="AA31" si="27">AA487</f>
        <v>#REF!</v>
      </c>
    </row>
    <row r="32" spans="1:27" ht="16" thickBot="1">
      <c r="A32" s="754" t="s">
        <v>597</v>
      </c>
      <c r="B32" s="755" t="e">
        <f>B30+B31</f>
        <v>#REF!</v>
      </c>
      <c r="C32" s="755" t="e">
        <f t="shared" ref="C32:Z32" si="28">C30+C31</f>
        <v>#REF!</v>
      </c>
      <c r="D32" s="755" t="e">
        <f t="shared" si="28"/>
        <v>#REF!</v>
      </c>
      <c r="E32" s="755" t="e">
        <f t="shared" si="28"/>
        <v>#REF!</v>
      </c>
      <c r="F32" s="755" t="e">
        <f t="shared" si="28"/>
        <v>#REF!</v>
      </c>
      <c r="G32" s="755" t="e">
        <f t="shared" si="28"/>
        <v>#REF!</v>
      </c>
      <c r="H32" s="755" t="e">
        <f t="shared" si="28"/>
        <v>#REF!</v>
      </c>
      <c r="I32" s="755" t="e">
        <f t="shared" si="28"/>
        <v>#REF!</v>
      </c>
      <c r="J32" s="755" t="e">
        <f t="shared" si="28"/>
        <v>#REF!</v>
      </c>
      <c r="K32" s="755" t="e">
        <f t="shared" si="28"/>
        <v>#REF!</v>
      </c>
      <c r="L32" s="755" t="e">
        <f t="shared" si="28"/>
        <v>#REF!</v>
      </c>
      <c r="M32" s="755" t="e">
        <f t="shared" si="28"/>
        <v>#REF!</v>
      </c>
      <c r="N32" s="755" t="e">
        <f t="shared" si="28"/>
        <v>#REF!</v>
      </c>
      <c r="O32" s="755" t="e">
        <f t="shared" si="28"/>
        <v>#REF!</v>
      </c>
      <c r="P32" s="755" t="e">
        <f t="shared" si="28"/>
        <v>#REF!</v>
      </c>
      <c r="Q32" s="755" t="e">
        <f t="shared" si="28"/>
        <v>#REF!</v>
      </c>
      <c r="R32" s="755" t="e">
        <f t="shared" si="28"/>
        <v>#REF!</v>
      </c>
      <c r="S32" s="755" t="e">
        <f t="shared" si="28"/>
        <v>#REF!</v>
      </c>
      <c r="T32" s="755" t="e">
        <f t="shared" si="28"/>
        <v>#REF!</v>
      </c>
      <c r="U32" s="755" t="e">
        <f t="shared" si="28"/>
        <v>#REF!</v>
      </c>
      <c r="V32" s="755" t="e">
        <f t="shared" si="28"/>
        <v>#REF!</v>
      </c>
      <c r="W32" s="755" t="e">
        <f t="shared" si="28"/>
        <v>#REF!</v>
      </c>
      <c r="X32" s="755" t="e">
        <f t="shared" si="28"/>
        <v>#REF!</v>
      </c>
      <c r="Y32" s="755" t="e">
        <f t="shared" si="28"/>
        <v>#REF!</v>
      </c>
      <c r="Z32" s="755" t="e">
        <f t="shared" si="28"/>
        <v>#REF!</v>
      </c>
      <c r="AA32" s="755" t="e">
        <f t="shared" ref="AA32" si="29">AA30+AA31</f>
        <v>#REF!</v>
      </c>
    </row>
    <row r="35" spans="1:27" ht="15">
      <c r="A35" s="730" t="s">
        <v>598</v>
      </c>
      <c r="B35" s="736" t="e">
        <f>B14+B21</f>
        <v>#REF!</v>
      </c>
      <c r="C35" s="736" t="e">
        <f t="shared" ref="C35:Z36" si="30">C14+C21</f>
        <v>#REF!</v>
      </c>
      <c r="D35" s="736" t="e">
        <f t="shared" si="30"/>
        <v>#REF!</v>
      </c>
      <c r="E35" s="736" t="e">
        <f t="shared" si="30"/>
        <v>#REF!</v>
      </c>
      <c r="F35" s="736" t="e">
        <f t="shared" si="30"/>
        <v>#REF!</v>
      </c>
      <c r="G35" s="736" t="e">
        <f t="shared" si="30"/>
        <v>#REF!</v>
      </c>
      <c r="H35" s="736" t="e">
        <f t="shared" si="30"/>
        <v>#REF!</v>
      </c>
      <c r="I35" s="736" t="e">
        <f t="shared" si="30"/>
        <v>#REF!</v>
      </c>
      <c r="J35" s="736" t="e">
        <f t="shared" si="30"/>
        <v>#REF!</v>
      </c>
      <c r="K35" s="736" t="e">
        <f t="shared" si="30"/>
        <v>#REF!</v>
      </c>
      <c r="L35" s="736" t="e">
        <f t="shared" si="30"/>
        <v>#REF!</v>
      </c>
      <c r="M35" s="736" t="e">
        <f t="shared" si="30"/>
        <v>#REF!</v>
      </c>
      <c r="N35" s="736" t="e">
        <f t="shared" si="30"/>
        <v>#REF!</v>
      </c>
      <c r="O35" s="736" t="e">
        <f t="shared" si="30"/>
        <v>#REF!</v>
      </c>
      <c r="P35" s="736" t="e">
        <f t="shared" si="30"/>
        <v>#REF!</v>
      </c>
      <c r="Q35" s="736" t="e">
        <f t="shared" si="30"/>
        <v>#REF!</v>
      </c>
      <c r="R35" s="736" t="e">
        <f t="shared" si="30"/>
        <v>#REF!</v>
      </c>
      <c r="S35" s="736" t="e">
        <f t="shared" si="30"/>
        <v>#REF!</v>
      </c>
      <c r="T35" s="736" t="e">
        <f t="shared" si="30"/>
        <v>#REF!</v>
      </c>
      <c r="U35" s="736" t="e">
        <f t="shared" si="30"/>
        <v>#REF!</v>
      </c>
      <c r="V35" s="736" t="e">
        <f t="shared" si="30"/>
        <v>#REF!</v>
      </c>
      <c r="W35" s="736" t="e">
        <f t="shared" si="30"/>
        <v>#REF!</v>
      </c>
      <c r="X35" s="736" t="e">
        <f t="shared" si="30"/>
        <v>#REF!</v>
      </c>
      <c r="Y35" s="736" t="e">
        <f t="shared" si="30"/>
        <v>#REF!</v>
      </c>
      <c r="Z35" s="736" t="e">
        <f t="shared" si="30"/>
        <v>#REF!</v>
      </c>
      <c r="AA35" s="736" t="e">
        <f t="shared" ref="AA35" si="31">AA14+AA21</f>
        <v>#REF!</v>
      </c>
    </row>
    <row r="36" spans="1:27" ht="15">
      <c r="A36" s="730" t="s">
        <v>599</v>
      </c>
      <c r="B36" s="736" t="e">
        <f>B15+B22</f>
        <v>#REF!</v>
      </c>
      <c r="C36" s="736" t="e">
        <f t="shared" si="30"/>
        <v>#REF!</v>
      </c>
      <c r="D36" s="736" t="e">
        <f t="shared" si="30"/>
        <v>#REF!</v>
      </c>
      <c r="E36" s="736" t="e">
        <f t="shared" si="30"/>
        <v>#REF!</v>
      </c>
      <c r="F36" s="736" t="e">
        <f t="shared" si="30"/>
        <v>#REF!</v>
      </c>
      <c r="G36" s="736" t="e">
        <f t="shared" si="30"/>
        <v>#REF!</v>
      </c>
      <c r="H36" s="736" t="e">
        <f t="shared" si="30"/>
        <v>#REF!</v>
      </c>
      <c r="I36" s="736" t="e">
        <f t="shared" si="30"/>
        <v>#REF!</v>
      </c>
      <c r="J36" s="736" t="e">
        <f t="shared" si="30"/>
        <v>#REF!</v>
      </c>
      <c r="K36" s="736" t="e">
        <f t="shared" si="30"/>
        <v>#REF!</v>
      </c>
      <c r="L36" s="736" t="e">
        <f t="shared" si="30"/>
        <v>#REF!</v>
      </c>
      <c r="M36" s="736" t="e">
        <f t="shared" si="30"/>
        <v>#REF!</v>
      </c>
      <c r="N36" s="736" t="e">
        <f t="shared" si="30"/>
        <v>#REF!</v>
      </c>
      <c r="O36" s="736" t="e">
        <f t="shared" si="30"/>
        <v>#REF!</v>
      </c>
      <c r="P36" s="736" t="e">
        <f t="shared" si="30"/>
        <v>#REF!</v>
      </c>
      <c r="Q36" s="736" t="e">
        <f t="shared" si="30"/>
        <v>#REF!</v>
      </c>
      <c r="R36" s="736" t="e">
        <f t="shared" si="30"/>
        <v>#REF!</v>
      </c>
      <c r="S36" s="736" t="e">
        <f t="shared" si="30"/>
        <v>#REF!</v>
      </c>
      <c r="T36" s="736" t="e">
        <f t="shared" si="30"/>
        <v>#REF!</v>
      </c>
      <c r="U36" s="736" t="e">
        <f t="shared" si="30"/>
        <v>#REF!</v>
      </c>
      <c r="V36" s="736" t="e">
        <f t="shared" si="30"/>
        <v>#REF!</v>
      </c>
      <c r="W36" s="736" t="e">
        <f t="shared" si="30"/>
        <v>#REF!</v>
      </c>
      <c r="X36" s="736" t="e">
        <f t="shared" si="30"/>
        <v>#REF!</v>
      </c>
      <c r="Y36" s="736" t="e">
        <f t="shared" si="30"/>
        <v>#REF!</v>
      </c>
      <c r="Z36" s="736" t="e">
        <f t="shared" si="30"/>
        <v>#REF!</v>
      </c>
      <c r="AA36" s="736" t="e">
        <f t="shared" ref="AA36" si="32">AA15+AA22</f>
        <v>#REF!</v>
      </c>
    </row>
    <row r="37" spans="1:27" ht="15">
      <c r="A37" s="756" t="s">
        <v>600</v>
      </c>
      <c r="B37" s="757" t="e">
        <f>B35+B36</f>
        <v>#REF!</v>
      </c>
      <c r="C37" s="757" t="e">
        <f t="shared" ref="C37:Z37" si="33">C35+C36</f>
        <v>#REF!</v>
      </c>
      <c r="D37" s="757" t="e">
        <f t="shared" si="33"/>
        <v>#REF!</v>
      </c>
      <c r="E37" s="757" t="e">
        <f t="shared" si="33"/>
        <v>#REF!</v>
      </c>
      <c r="F37" s="757" t="e">
        <f t="shared" si="33"/>
        <v>#REF!</v>
      </c>
      <c r="G37" s="757" t="e">
        <f t="shared" si="33"/>
        <v>#REF!</v>
      </c>
      <c r="H37" s="757" t="e">
        <f t="shared" si="33"/>
        <v>#REF!</v>
      </c>
      <c r="I37" s="757" t="e">
        <f t="shared" si="33"/>
        <v>#REF!</v>
      </c>
      <c r="J37" s="757" t="e">
        <f t="shared" si="33"/>
        <v>#REF!</v>
      </c>
      <c r="K37" s="757" t="e">
        <f t="shared" si="33"/>
        <v>#REF!</v>
      </c>
      <c r="L37" s="757" t="e">
        <f t="shared" si="33"/>
        <v>#REF!</v>
      </c>
      <c r="M37" s="757" t="e">
        <f t="shared" si="33"/>
        <v>#REF!</v>
      </c>
      <c r="N37" s="757" t="e">
        <f t="shared" si="33"/>
        <v>#REF!</v>
      </c>
      <c r="O37" s="757" t="e">
        <f t="shared" si="33"/>
        <v>#REF!</v>
      </c>
      <c r="P37" s="757" t="e">
        <f t="shared" si="33"/>
        <v>#REF!</v>
      </c>
      <c r="Q37" s="757" t="e">
        <f t="shared" si="33"/>
        <v>#REF!</v>
      </c>
      <c r="R37" s="757" t="e">
        <f t="shared" si="33"/>
        <v>#REF!</v>
      </c>
      <c r="S37" s="757" t="e">
        <f t="shared" si="33"/>
        <v>#REF!</v>
      </c>
      <c r="T37" s="757" t="e">
        <f t="shared" si="33"/>
        <v>#REF!</v>
      </c>
      <c r="U37" s="757" t="e">
        <f t="shared" si="33"/>
        <v>#REF!</v>
      </c>
      <c r="V37" s="757" t="e">
        <f t="shared" si="33"/>
        <v>#REF!</v>
      </c>
      <c r="W37" s="757" t="e">
        <f t="shared" si="33"/>
        <v>#REF!</v>
      </c>
      <c r="X37" s="757" t="e">
        <f t="shared" si="33"/>
        <v>#REF!</v>
      </c>
      <c r="Y37" s="757" t="e">
        <f t="shared" si="33"/>
        <v>#REF!</v>
      </c>
      <c r="Z37" s="757" t="e">
        <f t="shared" si="33"/>
        <v>#REF!</v>
      </c>
      <c r="AA37" s="757" t="e">
        <f t="shared" ref="AA37" si="34">AA35+AA36</f>
        <v>#REF!</v>
      </c>
    </row>
    <row r="38" spans="1:27" ht="15">
      <c r="A38" s="730" t="s">
        <v>601</v>
      </c>
      <c r="B38" s="736" t="e">
        <f>B17+B24</f>
        <v>#REF!</v>
      </c>
      <c r="C38" s="736" t="e">
        <f t="shared" ref="C38:Z38" si="35">C17+C24</f>
        <v>#REF!</v>
      </c>
      <c r="D38" s="736" t="e">
        <f t="shared" si="35"/>
        <v>#REF!</v>
      </c>
      <c r="E38" s="736" t="e">
        <f t="shared" si="35"/>
        <v>#REF!</v>
      </c>
      <c r="F38" s="736" t="e">
        <f t="shared" si="35"/>
        <v>#REF!</v>
      </c>
      <c r="G38" s="736" t="e">
        <f t="shared" si="35"/>
        <v>#REF!</v>
      </c>
      <c r="H38" s="736" t="e">
        <f t="shared" si="35"/>
        <v>#REF!</v>
      </c>
      <c r="I38" s="736" t="e">
        <f t="shared" si="35"/>
        <v>#REF!</v>
      </c>
      <c r="J38" s="736" t="e">
        <f t="shared" si="35"/>
        <v>#REF!</v>
      </c>
      <c r="K38" s="736" t="e">
        <f t="shared" si="35"/>
        <v>#REF!</v>
      </c>
      <c r="L38" s="736" t="e">
        <f t="shared" si="35"/>
        <v>#REF!</v>
      </c>
      <c r="M38" s="736" t="e">
        <f t="shared" si="35"/>
        <v>#REF!</v>
      </c>
      <c r="N38" s="736" t="e">
        <f t="shared" si="35"/>
        <v>#REF!</v>
      </c>
      <c r="O38" s="736" t="e">
        <f t="shared" si="35"/>
        <v>#REF!</v>
      </c>
      <c r="P38" s="736" t="e">
        <f t="shared" si="35"/>
        <v>#REF!</v>
      </c>
      <c r="Q38" s="736" t="e">
        <f t="shared" si="35"/>
        <v>#REF!</v>
      </c>
      <c r="R38" s="736" t="e">
        <f t="shared" si="35"/>
        <v>#REF!</v>
      </c>
      <c r="S38" s="736" t="e">
        <f t="shared" si="35"/>
        <v>#REF!</v>
      </c>
      <c r="T38" s="736" t="e">
        <f t="shared" si="35"/>
        <v>#REF!</v>
      </c>
      <c r="U38" s="736" t="e">
        <f t="shared" si="35"/>
        <v>#REF!</v>
      </c>
      <c r="V38" s="736" t="e">
        <f t="shared" si="35"/>
        <v>#REF!</v>
      </c>
      <c r="W38" s="736" t="e">
        <f t="shared" si="35"/>
        <v>#REF!</v>
      </c>
      <c r="X38" s="736" t="e">
        <f t="shared" si="35"/>
        <v>#REF!</v>
      </c>
      <c r="Y38" s="736" t="e">
        <f t="shared" si="35"/>
        <v>#REF!</v>
      </c>
      <c r="Z38" s="736" t="e">
        <f t="shared" si="35"/>
        <v>#REF!</v>
      </c>
      <c r="AA38" s="736" t="e">
        <f t="shared" ref="AA38" si="36">AA17+AA24</f>
        <v>#REF!</v>
      </c>
    </row>
    <row r="39" spans="1:27" ht="16" thickBot="1">
      <c r="A39" s="754" t="s">
        <v>602</v>
      </c>
      <c r="B39" s="755" t="e">
        <f>B37+B38</f>
        <v>#REF!</v>
      </c>
      <c r="C39" s="755" t="e">
        <f t="shared" ref="C39:Z39" si="37">C37+C38</f>
        <v>#REF!</v>
      </c>
      <c r="D39" s="755" t="e">
        <f t="shared" si="37"/>
        <v>#REF!</v>
      </c>
      <c r="E39" s="755" t="e">
        <f t="shared" si="37"/>
        <v>#REF!</v>
      </c>
      <c r="F39" s="755" t="e">
        <f t="shared" si="37"/>
        <v>#REF!</v>
      </c>
      <c r="G39" s="755" t="e">
        <f t="shared" si="37"/>
        <v>#REF!</v>
      </c>
      <c r="H39" s="755" t="e">
        <f t="shared" si="37"/>
        <v>#REF!</v>
      </c>
      <c r="I39" s="755" t="e">
        <f t="shared" si="37"/>
        <v>#REF!</v>
      </c>
      <c r="J39" s="755" t="e">
        <f t="shared" si="37"/>
        <v>#REF!</v>
      </c>
      <c r="K39" s="755" t="e">
        <f t="shared" si="37"/>
        <v>#REF!</v>
      </c>
      <c r="L39" s="755" t="e">
        <f t="shared" si="37"/>
        <v>#REF!</v>
      </c>
      <c r="M39" s="755" t="e">
        <f t="shared" si="37"/>
        <v>#REF!</v>
      </c>
      <c r="N39" s="755" t="e">
        <f t="shared" si="37"/>
        <v>#REF!</v>
      </c>
      <c r="O39" s="755" t="e">
        <f t="shared" si="37"/>
        <v>#REF!</v>
      </c>
      <c r="P39" s="755" t="e">
        <f t="shared" si="37"/>
        <v>#REF!</v>
      </c>
      <c r="Q39" s="755" t="e">
        <f t="shared" si="37"/>
        <v>#REF!</v>
      </c>
      <c r="R39" s="755" t="e">
        <f t="shared" si="37"/>
        <v>#REF!</v>
      </c>
      <c r="S39" s="755" t="e">
        <f t="shared" si="37"/>
        <v>#REF!</v>
      </c>
      <c r="T39" s="755" t="e">
        <f t="shared" si="37"/>
        <v>#REF!</v>
      </c>
      <c r="U39" s="755" t="e">
        <f t="shared" si="37"/>
        <v>#REF!</v>
      </c>
      <c r="V39" s="755" t="e">
        <f t="shared" si="37"/>
        <v>#REF!</v>
      </c>
      <c r="W39" s="755" t="e">
        <f t="shared" si="37"/>
        <v>#REF!</v>
      </c>
      <c r="X39" s="755" t="e">
        <f t="shared" si="37"/>
        <v>#REF!</v>
      </c>
      <c r="Y39" s="755" t="e">
        <f t="shared" si="37"/>
        <v>#REF!</v>
      </c>
      <c r="Z39" s="755" t="e">
        <f t="shared" si="37"/>
        <v>#REF!</v>
      </c>
      <c r="AA39" s="755" t="e">
        <f t="shared" ref="AA39" si="38">AA37+AA38</f>
        <v>#REF!</v>
      </c>
    </row>
    <row r="42" spans="1:27" ht="15">
      <c r="A42" s="730" t="s">
        <v>603</v>
      </c>
      <c r="B42" s="736" t="e">
        <f>B21+B28</f>
        <v>#REF!</v>
      </c>
      <c r="C42" s="736" t="e">
        <f t="shared" ref="C42:Z43" si="39">C21+C28</f>
        <v>#REF!</v>
      </c>
      <c r="D42" s="736" t="e">
        <f t="shared" si="39"/>
        <v>#REF!</v>
      </c>
      <c r="E42" s="736" t="e">
        <f t="shared" si="39"/>
        <v>#REF!</v>
      </c>
      <c r="F42" s="736" t="e">
        <f t="shared" si="39"/>
        <v>#REF!</v>
      </c>
      <c r="G42" s="736" t="e">
        <f t="shared" si="39"/>
        <v>#REF!</v>
      </c>
      <c r="H42" s="736" t="e">
        <f t="shared" si="39"/>
        <v>#REF!</v>
      </c>
      <c r="I42" s="736" t="e">
        <f t="shared" si="39"/>
        <v>#REF!</v>
      </c>
      <c r="J42" s="736" t="e">
        <f t="shared" si="39"/>
        <v>#REF!</v>
      </c>
      <c r="K42" s="736" t="e">
        <f t="shared" si="39"/>
        <v>#REF!</v>
      </c>
      <c r="L42" s="736" t="e">
        <f t="shared" si="39"/>
        <v>#REF!</v>
      </c>
      <c r="M42" s="736" t="e">
        <f t="shared" si="39"/>
        <v>#REF!</v>
      </c>
      <c r="N42" s="736" t="e">
        <f t="shared" si="39"/>
        <v>#REF!</v>
      </c>
      <c r="O42" s="736" t="e">
        <f t="shared" si="39"/>
        <v>#REF!</v>
      </c>
      <c r="P42" s="736" t="e">
        <f t="shared" si="39"/>
        <v>#REF!</v>
      </c>
      <c r="Q42" s="736" t="e">
        <f t="shared" si="39"/>
        <v>#REF!</v>
      </c>
      <c r="R42" s="736" t="e">
        <f t="shared" si="39"/>
        <v>#REF!</v>
      </c>
      <c r="S42" s="736" t="e">
        <f t="shared" si="39"/>
        <v>#REF!</v>
      </c>
      <c r="T42" s="736" t="e">
        <f t="shared" si="39"/>
        <v>#REF!</v>
      </c>
      <c r="U42" s="736" t="e">
        <f t="shared" si="39"/>
        <v>#REF!</v>
      </c>
      <c r="V42" s="736" t="e">
        <f t="shared" si="39"/>
        <v>#REF!</v>
      </c>
      <c r="W42" s="736" t="e">
        <f t="shared" si="39"/>
        <v>#REF!</v>
      </c>
      <c r="X42" s="736" t="e">
        <f t="shared" si="39"/>
        <v>#REF!</v>
      </c>
      <c r="Y42" s="736" t="e">
        <f t="shared" si="39"/>
        <v>#REF!</v>
      </c>
      <c r="Z42" s="736" t="e">
        <f t="shared" si="39"/>
        <v>#REF!</v>
      </c>
      <c r="AA42" s="736" t="e">
        <f t="shared" ref="AA42" si="40">AA21+AA28</f>
        <v>#REF!</v>
      </c>
    </row>
    <row r="43" spans="1:27" ht="15">
      <c r="A43" s="730" t="s">
        <v>604</v>
      </c>
      <c r="B43" s="736" t="e">
        <f>B22+B29</f>
        <v>#REF!</v>
      </c>
      <c r="C43" s="736" t="e">
        <f t="shared" si="39"/>
        <v>#REF!</v>
      </c>
      <c r="D43" s="736" t="e">
        <f t="shared" si="39"/>
        <v>#REF!</v>
      </c>
      <c r="E43" s="736" t="e">
        <f t="shared" si="39"/>
        <v>#REF!</v>
      </c>
      <c r="F43" s="736" t="e">
        <f t="shared" si="39"/>
        <v>#REF!</v>
      </c>
      <c r="G43" s="736" t="e">
        <f t="shared" si="39"/>
        <v>#REF!</v>
      </c>
      <c r="H43" s="736" t="e">
        <f t="shared" si="39"/>
        <v>#REF!</v>
      </c>
      <c r="I43" s="736" t="e">
        <f t="shared" si="39"/>
        <v>#REF!</v>
      </c>
      <c r="J43" s="736" t="e">
        <f t="shared" si="39"/>
        <v>#REF!</v>
      </c>
      <c r="K43" s="736" t="e">
        <f t="shared" si="39"/>
        <v>#REF!</v>
      </c>
      <c r="L43" s="736" t="e">
        <f t="shared" si="39"/>
        <v>#REF!</v>
      </c>
      <c r="M43" s="736" t="e">
        <f t="shared" si="39"/>
        <v>#REF!</v>
      </c>
      <c r="N43" s="736" t="e">
        <f t="shared" si="39"/>
        <v>#REF!</v>
      </c>
      <c r="O43" s="736" t="e">
        <f t="shared" si="39"/>
        <v>#REF!</v>
      </c>
      <c r="P43" s="736" t="e">
        <f t="shared" si="39"/>
        <v>#REF!</v>
      </c>
      <c r="Q43" s="736" t="e">
        <f t="shared" si="39"/>
        <v>#REF!</v>
      </c>
      <c r="R43" s="736" t="e">
        <f t="shared" si="39"/>
        <v>#REF!</v>
      </c>
      <c r="S43" s="736" t="e">
        <f t="shared" si="39"/>
        <v>#REF!</v>
      </c>
      <c r="T43" s="736" t="e">
        <f t="shared" si="39"/>
        <v>#REF!</v>
      </c>
      <c r="U43" s="736" t="e">
        <f t="shared" si="39"/>
        <v>#REF!</v>
      </c>
      <c r="V43" s="736" t="e">
        <f t="shared" si="39"/>
        <v>#REF!</v>
      </c>
      <c r="W43" s="736" t="e">
        <f t="shared" si="39"/>
        <v>#REF!</v>
      </c>
      <c r="X43" s="736" t="e">
        <f t="shared" si="39"/>
        <v>#REF!</v>
      </c>
      <c r="Y43" s="736" t="e">
        <f t="shared" si="39"/>
        <v>#REF!</v>
      </c>
      <c r="Z43" s="736" t="e">
        <f t="shared" si="39"/>
        <v>#REF!</v>
      </c>
      <c r="AA43" s="736" t="e">
        <f t="shared" ref="AA43" si="41">AA22+AA29</f>
        <v>#REF!</v>
      </c>
    </row>
    <row r="44" spans="1:27" ht="15">
      <c r="A44" s="756" t="s">
        <v>605</v>
      </c>
      <c r="B44" s="757" t="e">
        <f>B42+B43</f>
        <v>#REF!</v>
      </c>
      <c r="C44" s="757" t="e">
        <f t="shared" ref="C44:Z44" si="42">C42+C43</f>
        <v>#REF!</v>
      </c>
      <c r="D44" s="757" t="e">
        <f t="shared" si="42"/>
        <v>#REF!</v>
      </c>
      <c r="E44" s="757" t="e">
        <f t="shared" si="42"/>
        <v>#REF!</v>
      </c>
      <c r="F44" s="757" t="e">
        <f t="shared" si="42"/>
        <v>#REF!</v>
      </c>
      <c r="G44" s="757" t="e">
        <f t="shared" si="42"/>
        <v>#REF!</v>
      </c>
      <c r="H44" s="757" t="e">
        <f t="shared" si="42"/>
        <v>#REF!</v>
      </c>
      <c r="I44" s="757" t="e">
        <f t="shared" si="42"/>
        <v>#REF!</v>
      </c>
      <c r="J44" s="757" t="e">
        <f t="shared" si="42"/>
        <v>#REF!</v>
      </c>
      <c r="K44" s="757" t="e">
        <f t="shared" si="42"/>
        <v>#REF!</v>
      </c>
      <c r="L44" s="757" t="e">
        <f t="shared" si="42"/>
        <v>#REF!</v>
      </c>
      <c r="M44" s="757" t="e">
        <f t="shared" si="42"/>
        <v>#REF!</v>
      </c>
      <c r="N44" s="757" t="e">
        <f t="shared" si="42"/>
        <v>#REF!</v>
      </c>
      <c r="O44" s="757" t="e">
        <f t="shared" si="42"/>
        <v>#REF!</v>
      </c>
      <c r="P44" s="757" t="e">
        <f t="shared" si="42"/>
        <v>#REF!</v>
      </c>
      <c r="Q44" s="757" t="e">
        <f t="shared" si="42"/>
        <v>#REF!</v>
      </c>
      <c r="R44" s="757" t="e">
        <f t="shared" si="42"/>
        <v>#REF!</v>
      </c>
      <c r="S44" s="757" t="e">
        <f t="shared" si="42"/>
        <v>#REF!</v>
      </c>
      <c r="T44" s="757" t="e">
        <f t="shared" si="42"/>
        <v>#REF!</v>
      </c>
      <c r="U44" s="757" t="e">
        <f t="shared" si="42"/>
        <v>#REF!</v>
      </c>
      <c r="V44" s="757" t="e">
        <f t="shared" si="42"/>
        <v>#REF!</v>
      </c>
      <c r="W44" s="757" t="e">
        <f t="shared" si="42"/>
        <v>#REF!</v>
      </c>
      <c r="X44" s="757" t="e">
        <f t="shared" si="42"/>
        <v>#REF!</v>
      </c>
      <c r="Y44" s="757" t="e">
        <f t="shared" si="42"/>
        <v>#REF!</v>
      </c>
      <c r="Z44" s="757" t="e">
        <f t="shared" si="42"/>
        <v>#REF!</v>
      </c>
      <c r="AA44" s="757" t="e">
        <f t="shared" ref="AA44" si="43">AA42+AA43</f>
        <v>#REF!</v>
      </c>
    </row>
    <row r="45" spans="1:27" ht="15">
      <c r="A45" s="730" t="s">
        <v>606</v>
      </c>
      <c r="B45" s="736" t="e">
        <f>B24+B31</f>
        <v>#REF!</v>
      </c>
      <c r="C45" s="736" t="e">
        <f t="shared" ref="C45:Z45" si="44">C24+C31</f>
        <v>#REF!</v>
      </c>
      <c r="D45" s="736" t="e">
        <f t="shared" si="44"/>
        <v>#REF!</v>
      </c>
      <c r="E45" s="736" t="e">
        <f t="shared" si="44"/>
        <v>#REF!</v>
      </c>
      <c r="F45" s="736" t="e">
        <f t="shared" si="44"/>
        <v>#REF!</v>
      </c>
      <c r="G45" s="736" t="e">
        <f t="shared" si="44"/>
        <v>#REF!</v>
      </c>
      <c r="H45" s="736" t="e">
        <f t="shared" si="44"/>
        <v>#REF!</v>
      </c>
      <c r="I45" s="736" t="e">
        <f t="shared" si="44"/>
        <v>#REF!</v>
      </c>
      <c r="J45" s="736" t="e">
        <f t="shared" si="44"/>
        <v>#REF!</v>
      </c>
      <c r="K45" s="736" t="e">
        <f t="shared" si="44"/>
        <v>#REF!</v>
      </c>
      <c r="L45" s="736" t="e">
        <f t="shared" si="44"/>
        <v>#REF!</v>
      </c>
      <c r="M45" s="736" t="e">
        <f t="shared" si="44"/>
        <v>#REF!</v>
      </c>
      <c r="N45" s="736" t="e">
        <f t="shared" si="44"/>
        <v>#REF!</v>
      </c>
      <c r="O45" s="736" t="e">
        <f t="shared" si="44"/>
        <v>#REF!</v>
      </c>
      <c r="P45" s="736" t="e">
        <f t="shared" si="44"/>
        <v>#REF!</v>
      </c>
      <c r="Q45" s="736" t="e">
        <f t="shared" si="44"/>
        <v>#REF!</v>
      </c>
      <c r="R45" s="736" t="e">
        <f t="shared" si="44"/>
        <v>#REF!</v>
      </c>
      <c r="S45" s="736" t="e">
        <f t="shared" si="44"/>
        <v>#REF!</v>
      </c>
      <c r="T45" s="736" t="e">
        <f t="shared" si="44"/>
        <v>#REF!</v>
      </c>
      <c r="U45" s="736" t="e">
        <f t="shared" si="44"/>
        <v>#REF!</v>
      </c>
      <c r="V45" s="736" t="e">
        <f t="shared" si="44"/>
        <v>#REF!</v>
      </c>
      <c r="W45" s="736" t="e">
        <f t="shared" si="44"/>
        <v>#REF!</v>
      </c>
      <c r="X45" s="736" t="e">
        <f t="shared" si="44"/>
        <v>#REF!</v>
      </c>
      <c r="Y45" s="736" t="e">
        <f t="shared" si="44"/>
        <v>#REF!</v>
      </c>
      <c r="Z45" s="736" t="e">
        <f t="shared" si="44"/>
        <v>#REF!</v>
      </c>
      <c r="AA45" s="736" t="e">
        <f t="shared" ref="AA45" si="45">AA24+AA31</f>
        <v>#REF!</v>
      </c>
    </row>
    <row r="46" spans="1:27" ht="16" thickBot="1">
      <c r="A46" s="754" t="s">
        <v>607</v>
      </c>
      <c r="B46" s="755" t="e">
        <f>B44+B45</f>
        <v>#REF!</v>
      </c>
      <c r="C46" s="755" t="e">
        <f t="shared" ref="C46:Z46" si="46">C44+C45</f>
        <v>#REF!</v>
      </c>
      <c r="D46" s="755" t="e">
        <f t="shared" si="46"/>
        <v>#REF!</v>
      </c>
      <c r="E46" s="755" t="e">
        <f t="shared" si="46"/>
        <v>#REF!</v>
      </c>
      <c r="F46" s="755" t="e">
        <f t="shared" si="46"/>
        <v>#REF!</v>
      </c>
      <c r="G46" s="755" t="e">
        <f t="shared" si="46"/>
        <v>#REF!</v>
      </c>
      <c r="H46" s="755" t="e">
        <f t="shared" si="46"/>
        <v>#REF!</v>
      </c>
      <c r="I46" s="755" t="e">
        <f t="shared" si="46"/>
        <v>#REF!</v>
      </c>
      <c r="J46" s="755" t="e">
        <f t="shared" si="46"/>
        <v>#REF!</v>
      </c>
      <c r="K46" s="755" t="e">
        <f t="shared" si="46"/>
        <v>#REF!</v>
      </c>
      <c r="L46" s="755" t="e">
        <f t="shared" si="46"/>
        <v>#REF!</v>
      </c>
      <c r="M46" s="755" t="e">
        <f t="shared" si="46"/>
        <v>#REF!</v>
      </c>
      <c r="N46" s="755" t="e">
        <f t="shared" si="46"/>
        <v>#REF!</v>
      </c>
      <c r="O46" s="755" t="e">
        <f t="shared" si="46"/>
        <v>#REF!</v>
      </c>
      <c r="P46" s="755" t="e">
        <f t="shared" si="46"/>
        <v>#REF!</v>
      </c>
      <c r="Q46" s="755" t="e">
        <f t="shared" si="46"/>
        <v>#REF!</v>
      </c>
      <c r="R46" s="755" t="e">
        <f t="shared" si="46"/>
        <v>#REF!</v>
      </c>
      <c r="S46" s="755" t="e">
        <f t="shared" si="46"/>
        <v>#REF!</v>
      </c>
      <c r="T46" s="755" t="e">
        <f t="shared" si="46"/>
        <v>#REF!</v>
      </c>
      <c r="U46" s="755" t="e">
        <f t="shared" si="46"/>
        <v>#REF!</v>
      </c>
      <c r="V46" s="755" t="e">
        <f t="shared" si="46"/>
        <v>#REF!</v>
      </c>
      <c r="W46" s="755" t="e">
        <f t="shared" si="46"/>
        <v>#REF!</v>
      </c>
      <c r="X46" s="755" t="e">
        <f t="shared" si="46"/>
        <v>#REF!</v>
      </c>
      <c r="Y46" s="755" t="e">
        <f t="shared" si="46"/>
        <v>#REF!</v>
      </c>
      <c r="Z46" s="755" t="e">
        <f t="shared" si="46"/>
        <v>#REF!</v>
      </c>
      <c r="AA46" s="755" t="e">
        <f t="shared" ref="AA46" si="47">AA44+AA45</f>
        <v>#REF!</v>
      </c>
    </row>
    <row r="49" spans="1:27" ht="15">
      <c r="A49" s="730" t="s">
        <v>608</v>
      </c>
      <c r="B49" s="736" t="e">
        <f>B14+B21+B28</f>
        <v>#REF!</v>
      </c>
      <c r="C49" s="736" t="e">
        <f t="shared" ref="C49:Z50" si="48">C14+C21+C28</f>
        <v>#REF!</v>
      </c>
      <c r="D49" s="736" t="e">
        <f t="shared" si="48"/>
        <v>#REF!</v>
      </c>
      <c r="E49" s="736" t="e">
        <f t="shared" si="48"/>
        <v>#REF!</v>
      </c>
      <c r="F49" s="736" t="e">
        <f t="shared" si="48"/>
        <v>#REF!</v>
      </c>
      <c r="G49" s="736" t="e">
        <f t="shared" si="48"/>
        <v>#REF!</v>
      </c>
      <c r="H49" s="736" t="e">
        <f t="shared" si="48"/>
        <v>#REF!</v>
      </c>
      <c r="I49" s="736" t="e">
        <f t="shared" si="48"/>
        <v>#REF!</v>
      </c>
      <c r="J49" s="736" t="e">
        <f t="shared" si="48"/>
        <v>#REF!</v>
      </c>
      <c r="K49" s="736" t="e">
        <f t="shared" si="48"/>
        <v>#REF!</v>
      </c>
      <c r="L49" s="736" t="e">
        <f t="shared" si="48"/>
        <v>#REF!</v>
      </c>
      <c r="M49" s="736" t="e">
        <f t="shared" si="48"/>
        <v>#REF!</v>
      </c>
      <c r="N49" s="736" t="e">
        <f t="shared" si="48"/>
        <v>#REF!</v>
      </c>
      <c r="O49" s="736" t="e">
        <f t="shared" si="48"/>
        <v>#REF!</v>
      </c>
      <c r="P49" s="736" t="e">
        <f t="shared" si="48"/>
        <v>#REF!</v>
      </c>
      <c r="Q49" s="736" t="e">
        <f t="shared" si="48"/>
        <v>#REF!</v>
      </c>
      <c r="R49" s="736" t="e">
        <f t="shared" si="48"/>
        <v>#REF!</v>
      </c>
      <c r="S49" s="736" t="e">
        <f t="shared" si="48"/>
        <v>#REF!</v>
      </c>
      <c r="T49" s="736" t="e">
        <f t="shared" si="48"/>
        <v>#REF!</v>
      </c>
      <c r="U49" s="736" t="e">
        <f t="shared" si="48"/>
        <v>#REF!</v>
      </c>
      <c r="V49" s="736" t="e">
        <f t="shared" si="48"/>
        <v>#REF!</v>
      </c>
      <c r="W49" s="736" t="e">
        <f t="shared" si="48"/>
        <v>#REF!</v>
      </c>
      <c r="X49" s="736" t="e">
        <f t="shared" si="48"/>
        <v>#REF!</v>
      </c>
      <c r="Y49" s="736" t="e">
        <f t="shared" si="48"/>
        <v>#REF!</v>
      </c>
      <c r="Z49" s="736" t="e">
        <f t="shared" si="48"/>
        <v>#REF!</v>
      </c>
      <c r="AA49" s="736" t="e">
        <f t="shared" ref="AA49" si="49">AA14+AA21+AA28</f>
        <v>#REF!</v>
      </c>
    </row>
    <row r="50" spans="1:27" ht="15">
      <c r="A50" s="730" t="s">
        <v>609</v>
      </c>
      <c r="B50" s="736" t="e">
        <f>B15+B22+B29</f>
        <v>#REF!</v>
      </c>
      <c r="C50" s="736" t="e">
        <f t="shared" si="48"/>
        <v>#REF!</v>
      </c>
      <c r="D50" s="736" t="e">
        <f t="shared" si="48"/>
        <v>#REF!</v>
      </c>
      <c r="E50" s="736" t="e">
        <f t="shared" si="48"/>
        <v>#REF!</v>
      </c>
      <c r="F50" s="736" t="e">
        <f t="shared" si="48"/>
        <v>#REF!</v>
      </c>
      <c r="G50" s="736" t="e">
        <f t="shared" si="48"/>
        <v>#REF!</v>
      </c>
      <c r="H50" s="736" t="e">
        <f t="shared" si="48"/>
        <v>#REF!</v>
      </c>
      <c r="I50" s="736" t="e">
        <f t="shared" si="48"/>
        <v>#REF!</v>
      </c>
      <c r="J50" s="736" t="e">
        <f t="shared" si="48"/>
        <v>#REF!</v>
      </c>
      <c r="K50" s="736" t="e">
        <f t="shared" si="48"/>
        <v>#REF!</v>
      </c>
      <c r="L50" s="736" t="e">
        <f t="shared" si="48"/>
        <v>#REF!</v>
      </c>
      <c r="M50" s="736" t="e">
        <f t="shared" si="48"/>
        <v>#REF!</v>
      </c>
      <c r="N50" s="736" t="e">
        <f t="shared" si="48"/>
        <v>#REF!</v>
      </c>
      <c r="O50" s="736" t="e">
        <f t="shared" si="48"/>
        <v>#REF!</v>
      </c>
      <c r="P50" s="736" t="e">
        <f t="shared" si="48"/>
        <v>#REF!</v>
      </c>
      <c r="Q50" s="736" t="e">
        <f t="shared" si="48"/>
        <v>#REF!</v>
      </c>
      <c r="R50" s="736" t="e">
        <f t="shared" si="48"/>
        <v>#REF!</v>
      </c>
      <c r="S50" s="736" t="e">
        <f t="shared" si="48"/>
        <v>#REF!</v>
      </c>
      <c r="T50" s="736" t="e">
        <f t="shared" si="48"/>
        <v>#REF!</v>
      </c>
      <c r="U50" s="736" t="e">
        <f t="shared" si="48"/>
        <v>#REF!</v>
      </c>
      <c r="V50" s="736" t="e">
        <f t="shared" si="48"/>
        <v>#REF!</v>
      </c>
      <c r="W50" s="736" t="e">
        <f t="shared" si="48"/>
        <v>#REF!</v>
      </c>
      <c r="X50" s="736" t="e">
        <f t="shared" si="48"/>
        <v>#REF!</v>
      </c>
      <c r="Y50" s="736" t="e">
        <f t="shared" si="48"/>
        <v>#REF!</v>
      </c>
      <c r="Z50" s="736" t="e">
        <f t="shared" si="48"/>
        <v>#REF!</v>
      </c>
      <c r="AA50" s="736" t="e">
        <f t="shared" ref="AA50" si="50">AA15+AA22+AA29</f>
        <v>#REF!</v>
      </c>
    </row>
    <row r="51" spans="1:27" ht="15">
      <c r="A51" s="756" t="s">
        <v>610</v>
      </c>
      <c r="B51" s="757" t="e">
        <f>B49+B50</f>
        <v>#REF!</v>
      </c>
      <c r="C51" s="757" t="e">
        <f t="shared" ref="C51:Z51" si="51">C49+C50</f>
        <v>#REF!</v>
      </c>
      <c r="D51" s="757" t="e">
        <f t="shared" si="51"/>
        <v>#REF!</v>
      </c>
      <c r="E51" s="757" t="e">
        <f t="shared" si="51"/>
        <v>#REF!</v>
      </c>
      <c r="F51" s="757" t="e">
        <f t="shared" si="51"/>
        <v>#REF!</v>
      </c>
      <c r="G51" s="757" t="e">
        <f t="shared" si="51"/>
        <v>#REF!</v>
      </c>
      <c r="H51" s="757" t="e">
        <f t="shared" si="51"/>
        <v>#REF!</v>
      </c>
      <c r="I51" s="757" t="e">
        <f t="shared" si="51"/>
        <v>#REF!</v>
      </c>
      <c r="J51" s="757" t="e">
        <f t="shared" si="51"/>
        <v>#REF!</v>
      </c>
      <c r="K51" s="757" t="e">
        <f t="shared" si="51"/>
        <v>#REF!</v>
      </c>
      <c r="L51" s="757" t="e">
        <f t="shared" si="51"/>
        <v>#REF!</v>
      </c>
      <c r="M51" s="757" t="e">
        <f t="shared" si="51"/>
        <v>#REF!</v>
      </c>
      <c r="N51" s="757" t="e">
        <f t="shared" si="51"/>
        <v>#REF!</v>
      </c>
      <c r="O51" s="757" t="e">
        <f t="shared" si="51"/>
        <v>#REF!</v>
      </c>
      <c r="P51" s="757" t="e">
        <f t="shared" si="51"/>
        <v>#REF!</v>
      </c>
      <c r="Q51" s="757" t="e">
        <f t="shared" si="51"/>
        <v>#REF!</v>
      </c>
      <c r="R51" s="757" t="e">
        <f t="shared" si="51"/>
        <v>#REF!</v>
      </c>
      <c r="S51" s="757" t="e">
        <f t="shared" si="51"/>
        <v>#REF!</v>
      </c>
      <c r="T51" s="757" t="e">
        <f t="shared" si="51"/>
        <v>#REF!</v>
      </c>
      <c r="U51" s="757" t="e">
        <f t="shared" si="51"/>
        <v>#REF!</v>
      </c>
      <c r="V51" s="757" t="e">
        <f t="shared" si="51"/>
        <v>#REF!</v>
      </c>
      <c r="W51" s="757" t="e">
        <f t="shared" si="51"/>
        <v>#REF!</v>
      </c>
      <c r="X51" s="757" t="e">
        <f t="shared" si="51"/>
        <v>#REF!</v>
      </c>
      <c r="Y51" s="757" t="e">
        <f t="shared" si="51"/>
        <v>#REF!</v>
      </c>
      <c r="Z51" s="757" t="e">
        <f t="shared" si="51"/>
        <v>#REF!</v>
      </c>
      <c r="AA51" s="757" t="e">
        <f t="shared" ref="AA51" si="52">AA49+AA50</f>
        <v>#REF!</v>
      </c>
    </row>
    <row r="52" spans="1:27" ht="15">
      <c r="A52" s="730" t="s">
        <v>611</v>
      </c>
      <c r="B52" s="736" t="e">
        <f>B17+B24+B31</f>
        <v>#REF!</v>
      </c>
      <c r="C52" s="736" t="e">
        <f t="shared" ref="C52:Z52" si="53">C17+C24+C31</f>
        <v>#REF!</v>
      </c>
      <c r="D52" s="736" t="e">
        <f t="shared" si="53"/>
        <v>#REF!</v>
      </c>
      <c r="E52" s="736" t="e">
        <f t="shared" si="53"/>
        <v>#REF!</v>
      </c>
      <c r="F52" s="736" t="e">
        <f t="shared" si="53"/>
        <v>#REF!</v>
      </c>
      <c r="G52" s="736" t="e">
        <f t="shared" si="53"/>
        <v>#REF!</v>
      </c>
      <c r="H52" s="736" t="e">
        <f t="shared" si="53"/>
        <v>#REF!</v>
      </c>
      <c r="I52" s="736" t="e">
        <f t="shared" si="53"/>
        <v>#REF!</v>
      </c>
      <c r="J52" s="736" t="e">
        <f t="shared" si="53"/>
        <v>#REF!</v>
      </c>
      <c r="K52" s="736" t="e">
        <f t="shared" si="53"/>
        <v>#REF!</v>
      </c>
      <c r="L52" s="736" t="e">
        <f t="shared" si="53"/>
        <v>#REF!</v>
      </c>
      <c r="M52" s="736" t="e">
        <f t="shared" si="53"/>
        <v>#REF!</v>
      </c>
      <c r="N52" s="736" t="e">
        <f t="shared" si="53"/>
        <v>#REF!</v>
      </c>
      <c r="O52" s="736" t="e">
        <f t="shared" si="53"/>
        <v>#REF!</v>
      </c>
      <c r="P52" s="736" t="e">
        <f t="shared" si="53"/>
        <v>#REF!</v>
      </c>
      <c r="Q52" s="736" t="e">
        <f t="shared" si="53"/>
        <v>#REF!</v>
      </c>
      <c r="R52" s="736" t="e">
        <f t="shared" si="53"/>
        <v>#REF!</v>
      </c>
      <c r="S52" s="736" t="e">
        <f t="shared" si="53"/>
        <v>#REF!</v>
      </c>
      <c r="T52" s="736" t="e">
        <f t="shared" si="53"/>
        <v>#REF!</v>
      </c>
      <c r="U52" s="736" t="e">
        <f t="shared" si="53"/>
        <v>#REF!</v>
      </c>
      <c r="V52" s="736" t="e">
        <f t="shared" si="53"/>
        <v>#REF!</v>
      </c>
      <c r="W52" s="736" t="e">
        <f t="shared" si="53"/>
        <v>#REF!</v>
      </c>
      <c r="X52" s="736" t="e">
        <f t="shared" si="53"/>
        <v>#REF!</v>
      </c>
      <c r="Y52" s="736" t="e">
        <f t="shared" si="53"/>
        <v>#REF!</v>
      </c>
      <c r="Z52" s="736" t="e">
        <f t="shared" si="53"/>
        <v>#REF!</v>
      </c>
      <c r="AA52" s="736" t="e">
        <f t="shared" ref="AA52" si="54">AA17+AA24+AA31</f>
        <v>#REF!</v>
      </c>
    </row>
    <row r="53" spans="1:27" ht="16" thickBot="1">
      <c r="A53" s="754" t="s">
        <v>612</v>
      </c>
      <c r="B53" s="755" t="e">
        <f>B51+B52</f>
        <v>#REF!</v>
      </c>
      <c r="C53" s="755" t="e">
        <f t="shared" ref="C53:Z53" si="55">C51+C52</f>
        <v>#REF!</v>
      </c>
      <c r="D53" s="755" t="e">
        <f t="shared" si="55"/>
        <v>#REF!</v>
      </c>
      <c r="E53" s="755" t="e">
        <f t="shared" si="55"/>
        <v>#REF!</v>
      </c>
      <c r="F53" s="755" t="e">
        <f t="shared" si="55"/>
        <v>#REF!</v>
      </c>
      <c r="G53" s="755" t="e">
        <f t="shared" si="55"/>
        <v>#REF!</v>
      </c>
      <c r="H53" s="755" t="e">
        <f t="shared" si="55"/>
        <v>#REF!</v>
      </c>
      <c r="I53" s="755" t="e">
        <f t="shared" si="55"/>
        <v>#REF!</v>
      </c>
      <c r="J53" s="755" t="e">
        <f t="shared" si="55"/>
        <v>#REF!</v>
      </c>
      <c r="K53" s="755" t="e">
        <f t="shared" si="55"/>
        <v>#REF!</v>
      </c>
      <c r="L53" s="755" t="e">
        <f t="shared" si="55"/>
        <v>#REF!</v>
      </c>
      <c r="M53" s="755" t="e">
        <f t="shared" si="55"/>
        <v>#REF!</v>
      </c>
      <c r="N53" s="755" t="e">
        <f t="shared" si="55"/>
        <v>#REF!</v>
      </c>
      <c r="O53" s="755" t="e">
        <f t="shared" si="55"/>
        <v>#REF!</v>
      </c>
      <c r="P53" s="755" t="e">
        <f t="shared" si="55"/>
        <v>#REF!</v>
      </c>
      <c r="Q53" s="755" t="e">
        <f t="shared" si="55"/>
        <v>#REF!</v>
      </c>
      <c r="R53" s="755" t="e">
        <f t="shared" si="55"/>
        <v>#REF!</v>
      </c>
      <c r="S53" s="755" t="e">
        <f t="shared" si="55"/>
        <v>#REF!</v>
      </c>
      <c r="T53" s="755" t="e">
        <f t="shared" si="55"/>
        <v>#REF!</v>
      </c>
      <c r="U53" s="755" t="e">
        <f t="shared" si="55"/>
        <v>#REF!</v>
      </c>
      <c r="V53" s="755" t="e">
        <f t="shared" si="55"/>
        <v>#REF!</v>
      </c>
      <c r="W53" s="755" t="e">
        <f t="shared" si="55"/>
        <v>#REF!</v>
      </c>
      <c r="X53" s="755" t="e">
        <f t="shared" si="55"/>
        <v>#REF!</v>
      </c>
      <c r="Y53" s="755" t="e">
        <f t="shared" si="55"/>
        <v>#REF!</v>
      </c>
      <c r="Z53" s="755" t="e">
        <f t="shared" si="55"/>
        <v>#REF!</v>
      </c>
      <c r="AA53" s="755" t="e">
        <f t="shared" ref="AA53" si="56">AA51+AA52</f>
        <v>#REF!</v>
      </c>
    </row>
    <row r="55" spans="1:27">
      <c r="B55" s="739" t="e">
        <f>B53-B89</f>
        <v>#REF!</v>
      </c>
      <c r="C55" s="739" t="e">
        <f t="shared" ref="C55:Z55" si="57">C53-C89</f>
        <v>#REF!</v>
      </c>
      <c r="D55" s="739" t="e">
        <f t="shared" si="57"/>
        <v>#REF!</v>
      </c>
      <c r="E55" s="739" t="e">
        <f t="shared" si="57"/>
        <v>#REF!</v>
      </c>
      <c r="F55" s="739" t="e">
        <f t="shared" si="57"/>
        <v>#REF!</v>
      </c>
      <c r="G55" s="739" t="e">
        <f t="shared" si="57"/>
        <v>#REF!</v>
      </c>
      <c r="H55" s="739" t="e">
        <f t="shared" si="57"/>
        <v>#REF!</v>
      </c>
      <c r="I55" s="739" t="e">
        <f t="shared" si="57"/>
        <v>#REF!</v>
      </c>
      <c r="J55" s="739" t="e">
        <f t="shared" si="57"/>
        <v>#REF!</v>
      </c>
      <c r="K55" s="739" t="e">
        <f t="shared" si="57"/>
        <v>#REF!</v>
      </c>
      <c r="L55" s="739" t="e">
        <f t="shared" si="57"/>
        <v>#REF!</v>
      </c>
      <c r="M55" s="739" t="e">
        <f t="shared" si="57"/>
        <v>#REF!</v>
      </c>
      <c r="N55" s="739" t="e">
        <f t="shared" si="57"/>
        <v>#REF!</v>
      </c>
      <c r="O55" s="739" t="e">
        <f t="shared" si="57"/>
        <v>#REF!</v>
      </c>
      <c r="P55" s="739" t="e">
        <f t="shared" si="57"/>
        <v>#REF!</v>
      </c>
      <c r="Q55" s="739" t="e">
        <f t="shared" si="57"/>
        <v>#REF!</v>
      </c>
      <c r="R55" s="739" t="e">
        <f t="shared" si="57"/>
        <v>#REF!</v>
      </c>
      <c r="S55" s="739" t="e">
        <f t="shared" si="57"/>
        <v>#REF!</v>
      </c>
      <c r="T55" s="739" t="e">
        <f t="shared" si="57"/>
        <v>#REF!</v>
      </c>
      <c r="U55" s="739" t="e">
        <f t="shared" si="57"/>
        <v>#REF!</v>
      </c>
      <c r="V55" s="739" t="e">
        <f t="shared" si="57"/>
        <v>#REF!</v>
      </c>
      <c r="W55" s="739" t="e">
        <f t="shared" si="57"/>
        <v>#REF!</v>
      </c>
      <c r="X55" s="739" t="e">
        <f t="shared" si="57"/>
        <v>#REF!</v>
      </c>
      <c r="Y55" s="739" t="e">
        <f t="shared" si="57"/>
        <v>#REF!</v>
      </c>
      <c r="Z55" s="739" t="e">
        <f t="shared" si="57"/>
        <v>#REF!</v>
      </c>
      <c r="AA55" s="739" t="e">
        <f t="shared" ref="AA55" si="58">AA53-AA89</f>
        <v>#REF!</v>
      </c>
    </row>
    <row r="70" spans="1:27">
      <c r="A70" s="735" t="s">
        <v>613</v>
      </c>
      <c r="B70" s="735">
        <f>B$12</f>
        <v>2003</v>
      </c>
      <c r="C70" s="735">
        <f t="shared" ref="C70:AA70" si="59">C$12</f>
        <v>2004</v>
      </c>
      <c r="D70" s="735">
        <f t="shared" si="59"/>
        <v>2005</v>
      </c>
      <c r="E70" s="735">
        <f t="shared" si="59"/>
        <v>2006</v>
      </c>
      <c r="F70" s="735">
        <f t="shared" si="59"/>
        <v>2007</v>
      </c>
      <c r="G70" s="735">
        <f t="shared" si="59"/>
        <v>2008</v>
      </c>
      <c r="H70" s="735">
        <f t="shared" si="59"/>
        <v>2009</v>
      </c>
      <c r="I70" s="735">
        <f t="shared" si="59"/>
        <v>2010</v>
      </c>
      <c r="J70" s="735">
        <f t="shared" si="59"/>
        <v>2011</v>
      </c>
      <c r="K70" s="735">
        <f t="shared" si="59"/>
        <v>2012</v>
      </c>
      <c r="L70" s="735">
        <f t="shared" si="59"/>
        <v>2013</v>
      </c>
      <c r="M70" s="735">
        <f t="shared" si="59"/>
        <v>2014</v>
      </c>
      <c r="N70" s="735">
        <f t="shared" si="59"/>
        <v>2015</v>
      </c>
      <c r="O70" s="735">
        <f t="shared" si="59"/>
        <v>2016</v>
      </c>
      <c r="P70" s="735">
        <f t="shared" si="59"/>
        <v>2017</v>
      </c>
      <c r="Q70" s="735">
        <f t="shared" si="59"/>
        <v>2018</v>
      </c>
      <c r="R70" s="735">
        <f t="shared" si="59"/>
        <v>2019</v>
      </c>
      <c r="S70" s="735">
        <f t="shared" si="59"/>
        <v>2020</v>
      </c>
      <c r="T70" s="735">
        <f t="shared" si="59"/>
        <v>2021</v>
      </c>
      <c r="U70" s="735">
        <f t="shared" si="59"/>
        <v>2022</v>
      </c>
      <c r="V70" s="735">
        <f t="shared" si="59"/>
        <v>2023</v>
      </c>
      <c r="W70" s="735">
        <f t="shared" si="59"/>
        <v>2024</v>
      </c>
      <c r="X70" s="735">
        <f t="shared" si="59"/>
        <v>2025</v>
      </c>
      <c r="Y70" s="735">
        <f t="shared" si="59"/>
        <v>2026</v>
      </c>
      <c r="Z70" s="735">
        <f t="shared" si="59"/>
        <v>2027</v>
      </c>
      <c r="AA70" s="735">
        <f t="shared" si="59"/>
        <v>2028</v>
      </c>
    </row>
    <row r="72" spans="1:27" ht="15">
      <c r="A72" s="730" t="s">
        <v>614</v>
      </c>
      <c r="B72" s="742" t="e">
        <f>#REF!/$B$6</f>
        <v>#REF!</v>
      </c>
      <c r="C72" s="742" t="e">
        <f>#REF!/$B$6</f>
        <v>#REF!</v>
      </c>
      <c r="D72" s="742" t="e">
        <f>#REF!/$B$6</f>
        <v>#REF!</v>
      </c>
      <c r="E72" s="742" t="e">
        <f>#REF!/$B$6</f>
        <v>#REF!</v>
      </c>
      <c r="F72" s="742" t="e">
        <f>#REF!/$B$6</f>
        <v>#REF!</v>
      </c>
      <c r="G72" s="742" t="e">
        <f>#REF!/$B$6</f>
        <v>#REF!</v>
      </c>
      <c r="H72" s="742" t="e">
        <f>#REF!/$B$6</f>
        <v>#REF!</v>
      </c>
      <c r="I72" s="742" t="e">
        <f>#REF!/$B$6</f>
        <v>#REF!</v>
      </c>
      <c r="J72" s="742" t="e">
        <f>#REF!/$B$6</f>
        <v>#REF!</v>
      </c>
      <c r="K72" s="742" t="e">
        <f>#REF!/$B$6</f>
        <v>#REF!</v>
      </c>
      <c r="L72" s="742" t="e">
        <f>#REF!/$B$6</f>
        <v>#REF!</v>
      </c>
      <c r="M72" s="742" t="e">
        <f>#REF!/$B$6</f>
        <v>#REF!</v>
      </c>
      <c r="N72" s="742" t="e">
        <f>#REF!/$B$6</f>
        <v>#REF!</v>
      </c>
      <c r="O72" s="742" t="e">
        <f>#REF!/$B$6</f>
        <v>#REF!</v>
      </c>
      <c r="P72" s="742" t="e">
        <f>#REF!/$B$6</f>
        <v>#REF!</v>
      </c>
      <c r="Q72" s="742" t="e">
        <f>#REF!/$B$6</f>
        <v>#REF!</v>
      </c>
      <c r="R72" s="742" t="e">
        <f>#REF!/$B$6</f>
        <v>#REF!</v>
      </c>
      <c r="S72" s="742" t="e">
        <f>#REF!/$B$6</f>
        <v>#REF!</v>
      </c>
      <c r="T72" s="742" t="e">
        <f>#REF!/$B$6</f>
        <v>#REF!</v>
      </c>
      <c r="U72" s="742" t="e">
        <f>#REF!/$B$6</f>
        <v>#REF!</v>
      </c>
      <c r="V72" s="742" t="e">
        <f>#REF!/$B$6</f>
        <v>#REF!</v>
      </c>
      <c r="W72" s="742" t="e">
        <f>#REF!/$B$6</f>
        <v>#REF!</v>
      </c>
      <c r="X72" s="742" t="e">
        <f>#REF!/$B$6</f>
        <v>#REF!</v>
      </c>
      <c r="Y72" s="742" t="e">
        <f>#REF!/$B$6</f>
        <v>#REF!</v>
      </c>
      <c r="Z72" s="742" t="e">
        <f>#REF!/$B$6</f>
        <v>#REF!</v>
      </c>
      <c r="AA72" s="742" t="e">
        <f>#REF!/$B$6</f>
        <v>#REF!</v>
      </c>
    </row>
    <row r="73" spans="1:27" ht="15">
      <c r="A73" s="730" t="s">
        <v>615</v>
      </c>
      <c r="C73" s="740" t="e">
        <f>C72/B72-1</f>
        <v>#REF!</v>
      </c>
      <c r="D73" s="740" t="e">
        <f t="shared" ref="D73:AA73" si="60">D72/C72-1</f>
        <v>#REF!</v>
      </c>
      <c r="E73" s="740" t="e">
        <f t="shared" si="60"/>
        <v>#REF!</v>
      </c>
      <c r="F73" s="740" t="e">
        <f t="shared" si="60"/>
        <v>#REF!</v>
      </c>
      <c r="G73" s="740" t="e">
        <f t="shared" si="60"/>
        <v>#REF!</v>
      </c>
      <c r="H73" s="740" t="e">
        <f t="shared" si="60"/>
        <v>#REF!</v>
      </c>
      <c r="I73" s="740" t="e">
        <f t="shared" si="60"/>
        <v>#REF!</v>
      </c>
      <c r="J73" s="740" t="e">
        <f t="shared" si="60"/>
        <v>#REF!</v>
      </c>
      <c r="K73" s="740" t="e">
        <f t="shared" si="60"/>
        <v>#REF!</v>
      </c>
      <c r="L73" s="740" t="e">
        <f t="shared" si="60"/>
        <v>#REF!</v>
      </c>
      <c r="M73" s="740" t="e">
        <f t="shared" si="60"/>
        <v>#REF!</v>
      </c>
      <c r="N73" s="740" t="e">
        <f t="shared" si="60"/>
        <v>#REF!</v>
      </c>
      <c r="O73" s="740" t="e">
        <f t="shared" si="60"/>
        <v>#REF!</v>
      </c>
      <c r="P73" s="740" t="e">
        <f t="shared" si="60"/>
        <v>#REF!</v>
      </c>
      <c r="Q73" s="740" t="e">
        <f t="shared" si="60"/>
        <v>#REF!</v>
      </c>
      <c r="R73" s="740" t="e">
        <f t="shared" si="60"/>
        <v>#REF!</v>
      </c>
      <c r="S73" s="740" t="e">
        <f t="shared" si="60"/>
        <v>#REF!</v>
      </c>
      <c r="T73" s="740" t="e">
        <f t="shared" si="60"/>
        <v>#REF!</v>
      </c>
      <c r="U73" s="740" t="e">
        <f t="shared" si="60"/>
        <v>#REF!</v>
      </c>
      <c r="V73" s="740" t="e">
        <f t="shared" si="60"/>
        <v>#REF!</v>
      </c>
      <c r="W73" s="740" t="e">
        <f t="shared" si="60"/>
        <v>#REF!</v>
      </c>
      <c r="X73" s="740" t="e">
        <f t="shared" si="60"/>
        <v>#REF!</v>
      </c>
      <c r="Y73" s="740" t="e">
        <f t="shared" si="60"/>
        <v>#REF!</v>
      </c>
      <c r="Z73" s="740" t="e">
        <f t="shared" si="60"/>
        <v>#REF!</v>
      </c>
      <c r="AA73" s="740" t="e">
        <f t="shared" si="60"/>
        <v>#REF!</v>
      </c>
    </row>
    <row r="75" spans="1:27" ht="15">
      <c r="A75" s="730" t="s">
        <v>616</v>
      </c>
      <c r="B75" s="758" t="e">
        <f>#REF!</f>
        <v>#REF!</v>
      </c>
      <c r="C75" s="758" t="e">
        <f>#REF!</f>
        <v>#REF!</v>
      </c>
      <c r="D75" s="758" t="e">
        <f>#REF!</f>
        <v>#REF!</v>
      </c>
      <c r="E75" s="758" t="e">
        <f>#REF!</f>
        <v>#REF!</v>
      </c>
      <c r="F75" s="758" t="e">
        <f>#REF!</f>
        <v>#REF!</v>
      </c>
      <c r="G75" s="758" t="e">
        <f>#REF!</f>
        <v>#REF!</v>
      </c>
      <c r="H75" s="758" t="e">
        <f>#REF!</f>
        <v>#REF!</v>
      </c>
      <c r="I75" s="758" t="e">
        <f>#REF!</f>
        <v>#REF!</v>
      </c>
      <c r="J75" s="758" t="e">
        <f>#REF!</f>
        <v>#REF!</v>
      </c>
      <c r="K75" s="758" t="e">
        <f>#REF!</f>
        <v>#REF!</v>
      </c>
      <c r="L75" s="758" t="e">
        <f>#REF!</f>
        <v>#REF!</v>
      </c>
      <c r="M75" s="758" t="e">
        <f>#REF!</f>
        <v>#REF!</v>
      </c>
      <c r="N75" s="758" t="e">
        <f>#REF!</f>
        <v>#REF!</v>
      </c>
      <c r="O75" s="758" t="e">
        <f>#REF!</f>
        <v>#REF!</v>
      </c>
      <c r="P75" s="758" t="e">
        <f>#REF!</f>
        <v>#REF!</v>
      </c>
      <c r="Q75" s="758" t="e">
        <f>#REF!</f>
        <v>#REF!</v>
      </c>
      <c r="R75" s="758" t="e">
        <f>#REF!</f>
        <v>#REF!</v>
      </c>
      <c r="S75" s="758" t="e">
        <f>#REF!</f>
        <v>#REF!</v>
      </c>
      <c r="T75" s="758" t="e">
        <f>#REF!</f>
        <v>#REF!</v>
      </c>
      <c r="U75" s="758" t="e">
        <f>#REF!</f>
        <v>#REF!</v>
      </c>
      <c r="V75" s="758" t="e">
        <f>#REF!</f>
        <v>#REF!</v>
      </c>
      <c r="W75" s="758" t="e">
        <f>#REF!</f>
        <v>#REF!</v>
      </c>
      <c r="X75" s="758" t="e">
        <f>#REF!</f>
        <v>#REF!</v>
      </c>
      <c r="Y75" s="758" t="e">
        <f>#REF!</f>
        <v>#REF!</v>
      </c>
      <c r="Z75" s="758" t="e">
        <f>#REF!</f>
        <v>#REF!</v>
      </c>
      <c r="AA75" s="758" t="e">
        <f>#REF!</f>
        <v>#REF!</v>
      </c>
    </row>
    <row r="77" spans="1:27" ht="15">
      <c r="A77" s="741" t="s">
        <v>617</v>
      </c>
      <c r="B77" s="759" t="e">
        <f>B72/B75*1000</f>
        <v>#REF!</v>
      </c>
      <c r="C77" s="759" t="e">
        <f t="shared" ref="C77:Z77" si="61">C72/C75*1000</f>
        <v>#REF!</v>
      </c>
      <c r="D77" s="759" t="e">
        <f t="shared" si="61"/>
        <v>#REF!</v>
      </c>
      <c r="E77" s="759" t="e">
        <f t="shared" si="61"/>
        <v>#REF!</v>
      </c>
      <c r="F77" s="759" t="e">
        <f t="shared" si="61"/>
        <v>#REF!</v>
      </c>
      <c r="G77" s="759" t="e">
        <f t="shared" si="61"/>
        <v>#REF!</v>
      </c>
      <c r="H77" s="759" t="e">
        <f t="shared" si="61"/>
        <v>#REF!</v>
      </c>
      <c r="I77" s="759" t="e">
        <f t="shared" si="61"/>
        <v>#REF!</v>
      </c>
      <c r="J77" s="759" t="e">
        <f t="shared" si="61"/>
        <v>#REF!</v>
      </c>
      <c r="K77" s="759" t="e">
        <f t="shared" si="61"/>
        <v>#REF!</v>
      </c>
      <c r="L77" s="759" t="e">
        <f t="shared" si="61"/>
        <v>#REF!</v>
      </c>
      <c r="M77" s="759" t="e">
        <f t="shared" si="61"/>
        <v>#REF!</v>
      </c>
      <c r="N77" s="759" t="e">
        <f t="shared" si="61"/>
        <v>#REF!</v>
      </c>
      <c r="O77" s="759" t="e">
        <f t="shared" si="61"/>
        <v>#REF!</v>
      </c>
      <c r="P77" s="759" t="e">
        <f t="shared" si="61"/>
        <v>#REF!</v>
      </c>
      <c r="Q77" s="759" t="e">
        <f t="shared" si="61"/>
        <v>#REF!</v>
      </c>
      <c r="R77" s="759" t="e">
        <f t="shared" si="61"/>
        <v>#REF!</v>
      </c>
      <c r="S77" s="759" t="e">
        <f t="shared" si="61"/>
        <v>#REF!</v>
      </c>
      <c r="T77" s="759" t="e">
        <f t="shared" si="61"/>
        <v>#REF!</v>
      </c>
      <c r="U77" s="759" t="e">
        <f t="shared" si="61"/>
        <v>#REF!</v>
      </c>
      <c r="V77" s="759" t="e">
        <f t="shared" si="61"/>
        <v>#REF!</v>
      </c>
      <c r="W77" s="759" t="e">
        <f t="shared" si="61"/>
        <v>#REF!</v>
      </c>
      <c r="X77" s="759" t="e">
        <f t="shared" si="61"/>
        <v>#REF!</v>
      </c>
      <c r="Y77" s="759" t="e">
        <f t="shared" si="61"/>
        <v>#REF!</v>
      </c>
      <c r="Z77" s="759" t="e">
        <f t="shared" si="61"/>
        <v>#REF!</v>
      </c>
      <c r="AA77" s="759" t="e">
        <f t="shared" ref="AA77" si="62">AA72/AA75*1000</f>
        <v>#REF!</v>
      </c>
    </row>
    <row r="80" spans="1:27" ht="15">
      <c r="A80" s="730" t="s">
        <v>618</v>
      </c>
      <c r="B80" s="743" t="e">
        <f>(B18/1000)/B72</f>
        <v>#REF!</v>
      </c>
      <c r="C80" s="743" t="e">
        <f t="shared" ref="C80:Z80" si="63">(C18/1000)/C72</f>
        <v>#REF!</v>
      </c>
      <c r="D80" s="743" t="e">
        <f t="shared" si="63"/>
        <v>#REF!</v>
      </c>
      <c r="E80" s="743" t="e">
        <f t="shared" si="63"/>
        <v>#REF!</v>
      </c>
      <c r="F80" s="743" t="e">
        <f t="shared" si="63"/>
        <v>#REF!</v>
      </c>
      <c r="G80" s="743" t="e">
        <f t="shared" si="63"/>
        <v>#REF!</v>
      </c>
      <c r="H80" s="743" t="e">
        <f t="shared" si="63"/>
        <v>#REF!</v>
      </c>
      <c r="I80" s="743" t="e">
        <f t="shared" si="63"/>
        <v>#REF!</v>
      </c>
      <c r="J80" s="743" t="e">
        <f t="shared" si="63"/>
        <v>#REF!</v>
      </c>
      <c r="K80" s="743" t="e">
        <f t="shared" si="63"/>
        <v>#REF!</v>
      </c>
      <c r="L80" s="743" t="e">
        <f t="shared" si="63"/>
        <v>#REF!</v>
      </c>
      <c r="M80" s="743" t="e">
        <f t="shared" si="63"/>
        <v>#REF!</v>
      </c>
      <c r="N80" s="743" t="e">
        <f t="shared" si="63"/>
        <v>#REF!</v>
      </c>
      <c r="O80" s="743" t="e">
        <f t="shared" si="63"/>
        <v>#REF!</v>
      </c>
      <c r="P80" s="743" t="e">
        <f t="shared" si="63"/>
        <v>#REF!</v>
      </c>
      <c r="Q80" s="743" t="e">
        <f t="shared" si="63"/>
        <v>#REF!</v>
      </c>
      <c r="R80" s="743" t="e">
        <f t="shared" si="63"/>
        <v>#REF!</v>
      </c>
      <c r="S80" s="743" t="e">
        <f t="shared" si="63"/>
        <v>#REF!</v>
      </c>
      <c r="T80" s="743" t="e">
        <f t="shared" si="63"/>
        <v>#REF!</v>
      </c>
      <c r="U80" s="743" t="e">
        <f t="shared" si="63"/>
        <v>#REF!</v>
      </c>
      <c r="V80" s="743" t="e">
        <f t="shared" si="63"/>
        <v>#REF!</v>
      </c>
      <c r="W80" s="743" t="e">
        <f t="shared" si="63"/>
        <v>#REF!</v>
      </c>
      <c r="X80" s="743" t="e">
        <f t="shared" si="63"/>
        <v>#REF!</v>
      </c>
      <c r="Y80" s="743" t="e">
        <f t="shared" si="63"/>
        <v>#REF!</v>
      </c>
      <c r="Z80" s="743" t="e">
        <f t="shared" si="63"/>
        <v>#REF!</v>
      </c>
      <c r="AA80" s="743" t="e">
        <f t="shared" ref="AA80" si="64">(AA18/1000)/AA72</f>
        <v>#REF!</v>
      </c>
    </row>
    <row r="81" spans="1:27" ht="15">
      <c r="A81" s="730" t="s">
        <v>619</v>
      </c>
      <c r="B81" s="743" t="e">
        <f>(B46/1000)/B72</f>
        <v>#REF!</v>
      </c>
      <c r="C81" s="743" t="e">
        <f t="shared" ref="C81:Z81" si="65">(C46/1000)/C72</f>
        <v>#REF!</v>
      </c>
      <c r="D81" s="743" t="e">
        <f t="shared" si="65"/>
        <v>#REF!</v>
      </c>
      <c r="E81" s="743" t="e">
        <f t="shared" si="65"/>
        <v>#REF!</v>
      </c>
      <c r="F81" s="743" t="e">
        <f t="shared" si="65"/>
        <v>#REF!</v>
      </c>
      <c r="G81" s="743" t="e">
        <f t="shared" si="65"/>
        <v>#REF!</v>
      </c>
      <c r="H81" s="743" t="e">
        <f t="shared" si="65"/>
        <v>#REF!</v>
      </c>
      <c r="I81" s="743" t="e">
        <f t="shared" si="65"/>
        <v>#REF!</v>
      </c>
      <c r="J81" s="743" t="e">
        <f t="shared" si="65"/>
        <v>#REF!</v>
      </c>
      <c r="K81" s="743" t="e">
        <f t="shared" si="65"/>
        <v>#REF!</v>
      </c>
      <c r="L81" s="743" t="e">
        <f t="shared" si="65"/>
        <v>#REF!</v>
      </c>
      <c r="M81" s="743" t="e">
        <f t="shared" si="65"/>
        <v>#REF!</v>
      </c>
      <c r="N81" s="743" t="e">
        <f t="shared" si="65"/>
        <v>#REF!</v>
      </c>
      <c r="O81" s="743" t="e">
        <f t="shared" si="65"/>
        <v>#REF!</v>
      </c>
      <c r="P81" s="743" t="e">
        <f t="shared" si="65"/>
        <v>#REF!</v>
      </c>
      <c r="Q81" s="743" t="e">
        <f t="shared" si="65"/>
        <v>#REF!</v>
      </c>
      <c r="R81" s="743" t="e">
        <f t="shared" si="65"/>
        <v>#REF!</v>
      </c>
      <c r="S81" s="743" t="e">
        <f t="shared" si="65"/>
        <v>#REF!</v>
      </c>
      <c r="T81" s="743" t="e">
        <f t="shared" si="65"/>
        <v>#REF!</v>
      </c>
      <c r="U81" s="743" t="e">
        <f t="shared" si="65"/>
        <v>#REF!</v>
      </c>
      <c r="V81" s="743" t="e">
        <f t="shared" si="65"/>
        <v>#REF!</v>
      </c>
      <c r="W81" s="743" t="e">
        <f t="shared" si="65"/>
        <v>#REF!</v>
      </c>
      <c r="X81" s="743" t="e">
        <f t="shared" si="65"/>
        <v>#REF!</v>
      </c>
      <c r="Y81" s="743" t="e">
        <f t="shared" si="65"/>
        <v>#REF!</v>
      </c>
      <c r="Z81" s="743" t="e">
        <f t="shared" si="65"/>
        <v>#REF!</v>
      </c>
      <c r="AA81" s="743" t="e">
        <f t="shared" ref="AA81" si="66">(AA46/1000)/AA72</f>
        <v>#REF!</v>
      </c>
    </row>
    <row r="82" spans="1:27">
      <c r="A82" s="732" t="s">
        <v>620</v>
      </c>
      <c r="B82" s="744" t="e">
        <f>B80+B81</f>
        <v>#REF!</v>
      </c>
      <c r="C82" s="744" t="e">
        <f t="shared" ref="C82:Z82" si="67">C80+C81</f>
        <v>#REF!</v>
      </c>
      <c r="D82" s="744" t="e">
        <f t="shared" si="67"/>
        <v>#REF!</v>
      </c>
      <c r="E82" s="744" t="e">
        <f t="shared" si="67"/>
        <v>#REF!</v>
      </c>
      <c r="F82" s="744" t="e">
        <f t="shared" si="67"/>
        <v>#REF!</v>
      </c>
      <c r="G82" s="744" t="e">
        <f t="shared" si="67"/>
        <v>#REF!</v>
      </c>
      <c r="H82" s="744" t="e">
        <f t="shared" si="67"/>
        <v>#REF!</v>
      </c>
      <c r="I82" s="744" t="e">
        <f t="shared" si="67"/>
        <v>#REF!</v>
      </c>
      <c r="J82" s="744" t="e">
        <f t="shared" si="67"/>
        <v>#REF!</v>
      </c>
      <c r="K82" s="744" t="e">
        <f t="shared" si="67"/>
        <v>#REF!</v>
      </c>
      <c r="L82" s="744" t="e">
        <f t="shared" si="67"/>
        <v>#REF!</v>
      </c>
      <c r="M82" s="744" t="e">
        <f t="shared" si="67"/>
        <v>#REF!</v>
      </c>
      <c r="N82" s="744" t="e">
        <f t="shared" si="67"/>
        <v>#REF!</v>
      </c>
      <c r="O82" s="744" t="e">
        <f t="shared" si="67"/>
        <v>#REF!</v>
      </c>
      <c r="P82" s="744" t="e">
        <f t="shared" si="67"/>
        <v>#REF!</v>
      </c>
      <c r="Q82" s="744" t="e">
        <f t="shared" si="67"/>
        <v>#REF!</v>
      </c>
      <c r="R82" s="744" t="e">
        <f t="shared" si="67"/>
        <v>#REF!</v>
      </c>
      <c r="S82" s="744" t="e">
        <f t="shared" si="67"/>
        <v>#REF!</v>
      </c>
      <c r="T82" s="744" t="e">
        <f t="shared" si="67"/>
        <v>#REF!</v>
      </c>
      <c r="U82" s="744" t="e">
        <f t="shared" si="67"/>
        <v>#REF!</v>
      </c>
      <c r="V82" s="744" t="e">
        <f t="shared" si="67"/>
        <v>#REF!</v>
      </c>
      <c r="W82" s="744" t="e">
        <f t="shared" si="67"/>
        <v>#REF!</v>
      </c>
      <c r="X82" s="744" t="e">
        <f t="shared" si="67"/>
        <v>#REF!</v>
      </c>
      <c r="Y82" s="744" t="e">
        <f t="shared" si="67"/>
        <v>#REF!</v>
      </c>
      <c r="Z82" s="744" t="e">
        <f t="shared" si="67"/>
        <v>#REF!</v>
      </c>
      <c r="AA82" s="744" t="e">
        <f t="shared" ref="AA82" si="68">AA80+AA81</f>
        <v>#REF!</v>
      </c>
    </row>
    <row r="84" spans="1:27" ht="15">
      <c r="A84" s="730" t="s">
        <v>621</v>
      </c>
      <c r="B84" s="742" t="e">
        <f>B18/B75</f>
        <v>#REF!</v>
      </c>
      <c r="C84" s="742" t="e">
        <f t="shared" ref="C84:Z84" si="69">C18/C75</f>
        <v>#REF!</v>
      </c>
      <c r="D84" s="742" t="e">
        <f t="shared" si="69"/>
        <v>#REF!</v>
      </c>
      <c r="E84" s="742" t="e">
        <f t="shared" si="69"/>
        <v>#REF!</v>
      </c>
      <c r="F84" s="742" t="e">
        <f t="shared" si="69"/>
        <v>#REF!</v>
      </c>
      <c r="G84" s="742" t="e">
        <f t="shared" si="69"/>
        <v>#REF!</v>
      </c>
      <c r="H84" s="742" t="e">
        <f t="shared" si="69"/>
        <v>#REF!</v>
      </c>
      <c r="I84" s="742" t="e">
        <f t="shared" si="69"/>
        <v>#REF!</v>
      </c>
      <c r="J84" s="742" t="e">
        <f t="shared" si="69"/>
        <v>#REF!</v>
      </c>
      <c r="K84" s="742" t="e">
        <f t="shared" si="69"/>
        <v>#REF!</v>
      </c>
      <c r="L84" s="742" t="e">
        <f t="shared" si="69"/>
        <v>#REF!</v>
      </c>
      <c r="M84" s="742" t="e">
        <f t="shared" si="69"/>
        <v>#REF!</v>
      </c>
      <c r="N84" s="742" t="e">
        <f t="shared" si="69"/>
        <v>#REF!</v>
      </c>
      <c r="O84" s="742" t="e">
        <f t="shared" si="69"/>
        <v>#REF!</v>
      </c>
      <c r="P84" s="742" t="e">
        <f t="shared" si="69"/>
        <v>#REF!</v>
      </c>
      <c r="Q84" s="742" t="e">
        <f t="shared" si="69"/>
        <v>#REF!</v>
      </c>
      <c r="R84" s="742" t="e">
        <f t="shared" si="69"/>
        <v>#REF!</v>
      </c>
      <c r="S84" s="742" t="e">
        <f t="shared" si="69"/>
        <v>#REF!</v>
      </c>
      <c r="T84" s="742" t="e">
        <f t="shared" si="69"/>
        <v>#REF!</v>
      </c>
      <c r="U84" s="742" t="e">
        <f t="shared" si="69"/>
        <v>#REF!</v>
      </c>
      <c r="V84" s="742" t="e">
        <f t="shared" si="69"/>
        <v>#REF!</v>
      </c>
      <c r="W84" s="742" t="e">
        <f t="shared" si="69"/>
        <v>#REF!</v>
      </c>
      <c r="X84" s="742" t="e">
        <f t="shared" si="69"/>
        <v>#REF!</v>
      </c>
      <c r="Y84" s="742" t="e">
        <f t="shared" si="69"/>
        <v>#REF!</v>
      </c>
      <c r="Z84" s="742" t="e">
        <f t="shared" si="69"/>
        <v>#REF!</v>
      </c>
      <c r="AA84" s="742" t="e">
        <f t="shared" ref="AA84" si="70">AA18/AA75</f>
        <v>#REF!</v>
      </c>
    </row>
    <row r="85" spans="1:27" ht="15">
      <c r="A85" s="730" t="s">
        <v>622</v>
      </c>
      <c r="B85" s="742" t="e">
        <f>B46/B75</f>
        <v>#REF!</v>
      </c>
      <c r="C85" s="742" t="e">
        <f t="shared" ref="C85:Z85" si="71">C46/C75</f>
        <v>#REF!</v>
      </c>
      <c r="D85" s="742" t="e">
        <f t="shared" si="71"/>
        <v>#REF!</v>
      </c>
      <c r="E85" s="742" t="e">
        <f t="shared" si="71"/>
        <v>#REF!</v>
      </c>
      <c r="F85" s="742" t="e">
        <f t="shared" si="71"/>
        <v>#REF!</v>
      </c>
      <c r="G85" s="742" t="e">
        <f t="shared" si="71"/>
        <v>#REF!</v>
      </c>
      <c r="H85" s="742" t="e">
        <f t="shared" si="71"/>
        <v>#REF!</v>
      </c>
      <c r="I85" s="742" t="e">
        <f t="shared" si="71"/>
        <v>#REF!</v>
      </c>
      <c r="J85" s="742" t="e">
        <f t="shared" si="71"/>
        <v>#REF!</v>
      </c>
      <c r="K85" s="742" t="e">
        <f t="shared" si="71"/>
        <v>#REF!</v>
      </c>
      <c r="L85" s="742" t="e">
        <f t="shared" si="71"/>
        <v>#REF!</v>
      </c>
      <c r="M85" s="742" t="e">
        <f t="shared" si="71"/>
        <v>#REF!</v>
      </c>
      <c r="N85" s="742" t="e">
        <f t="shared" si="71"/>
        <v>#REF!</v>
      </c>
      <c r="O85" s="742" t="e">
        <f t="shared" si="71"/>
        <v>#REF!</v>
      </c>
      <c r="P85" s="742" t="e">
        <f t="shared" si="71"/>
        <v>#REF!</v>
      </c>
      <c r="Q85" s="742" t="e">
        <f t="shared" si="71"/>
        <v>#REF!</v>
      </c>
      <c r="R85" s="742" t="e">
        <f t="shared" si="71"/>
        <v>#REF!</v>
      </c>
      <c r="S85" s="742" t="e">
        <f t="shared" si="71"/>
        <v>#REF!</v>
      </c>
      <c r="T85" s="742" t="e">
        <f t="shared" si="71"/>
        <v>#REF!</v>
      </c>
      <c r="U85" s="742" t="e">
        <f t="shared" si="71"/>
        <v>#REF!</v>
      </c>
      <c r="V85" s="742" t="e">
        <f t="shared" si="71"/>
        <v>#REF!</v>
      </c>
      <c r="W85" s="742" t="e">
        <f t="shared" si="71"/>
        <v>#REF!</v>
      </c>
      <c r="X85" s="742" t="e">
        <f t="shared" si="71"/>
        <v>#REF!</v>
      </c>
      <c r="Y85" s="742" t="e">
        <f t="shared" si="71"/>
        <v>#REF!</v>
      </c>
      <c r="Z85" s="742" t="e">
        <f t="shared" si="71"/>
        <v>#REF!</v>
      </c>
      <c r="AA85" s="742" t="e">
        <f t="shared" ref="AA85" si="72">AA46/AA75</f>
        <v>#REF!</v>
      </c>
    </row>
    <row r="86" spans="1:27">
      <c r="A86" s="732" t="s">
        <v>623</v>
      </c>
      <c r="B86" s="745" t="e">
        <f>B84+B85</f>
        <v>#REF!</v>
      </c>
      <c r="C86" s="745" t="e">
        <f t="shared" ref="C86:Z86" si="73">C84+C85</f>
        <v>#REF!</v>
      </c>
      <c r="D86" s="745" t="e">
        <f t="shared" si="73"/>
        <v>#REF!</v>
      </c>
      <c r="E86" s="745" t="e">
        <f t="shared" si="73"/>
        <v>#REF!</v>
      </c>
      <c r="F86" s="745" t="e">
        <f t="shared" si="73"/>
        <v>#REF!</v>
      </c>
      <c r="G86" s="745" t="e">
        <f t="shared" si="73"/>
        <v>#REF!</v>
      </c>
      <c r="H86" s="745" t="e">
        <f t="shared" si="73"/>
        <v>#REF!</v>
      </c>
      <c r="I86" s="745" t="e">
        <f t="shared" si="73"/>
        <v>#REF!</v>
      </c>
      <c r="J86" s="745" t="e">
        <f t="shared" si="73"/>
        <v>#REF!</v>
      </c>
      <c r="K86" s="745" t="e">
        <f t="shared" si="73"/>
        <v>#REF!</v>
      </c>
      <c r="L86" s="745" t="e">
        <f t="shared" si="73"/>
        <v>#REF!</v>
      </c>
      <c r="M86" s="745" t="e">
        <f t="shared" si="73"/>
        <v>#REF!</v>
      </c>
      <c r="N86" s="745" t="e">
        <f t="shared" si="73"/>
        <v>#REF!</v>
      </c>
      <c r="O86" s="745" t="e">
        <f t="shared" si="73"/>
        <v>#REF!</v>
      </c>
      <c r="P86" s="745" t="e">
        <f t="shared" si="73"/>
        <v>#REF!</v>
      </c>
      <c r="Q86" s="745" t="e">
        <f t="shared" si="73"/>
        <v>#REF!</v>
      </c>
      <c r="R86" s="745" t="e">
        <f t="shared" si="73"/>
        <v>#REF!</v>
      </c>
      <c r="S86" s="745" t="e">
        <f t="shared" si="73"/>
        <v>#REF!</v>
      </c>
      <c r="T86" s="745" t="e">
        <f t="shared" si="73"/>
        <v>#REF!</v>
      </c>
      <c r="U86" s="745" t="e">
        <f t="shared" si="73"/>
        <v>#REF!</v>
      </c>
      <c r="V86" s="745" t="e">
        <f t="shared" si="73"/>
        <v>#REF!</v>
      </c>
      <c r="W86" s="745" t="e">
        <f t="shared" si="73"/>
        <v>#REF!</v>
      </c>
      <c r="X86" s="745" t="e">
        <f t="shared" si="73"/>
        <v>#REF!</v>
      </c>
      <c r="Y86" s="745" t="e">
        <f t="shared" si="73"/>
        <v>#REF!</v>
      </c>
      <c r="Z86" s="745" t="e">
        <f t="shared" si="73"/>
        <v>#REF!</v>
      </c>
      <c r="AA86" s="745" t="e">
        <f t="shared" ref="AA86" si="74">AA84+AA85</f>
        <v>#REF!</v>
      </c>
    </row>
    <row r="89" spans="1:27" ht="15">
      <c r="A89" s="730" t="s">
        <v>624</v>
      </c>
      <c r="B89" s="742" t="e">
        <f>#REF!/$B$6</f>
        <v>#REF!</v>
      </c>
      <c r="C89" s="742" t="e">
        <f>#REF!/$B$6</f>
        <v>#REF!</v>
      </c>
      <c r="D89" s="742" t="e">
        <f>#REF!/$B$6</f>
        <v>#REF!</v>
      </c>
      <c r="E89" s="742" t="e">
        <f>#REF!/$B$6</f>
        <v>#REF!</v>
      </c>
      <c r="F89" s="742" t="e">
        <f>#REF!/$B$6</f>
        <v>#REF!</v>
      </c>
      <c r="G89" s="742" t="e">
        <f>#REF!/$B$6</f>
        <v>#REF!</v>
      </c>
      <c r="H89" s="742" t="e">
        <f>#REF!/$B$6</f>
        <v>#REF!</v>
      </c>
      <c r="I89" s="742" t="e">
        <f>#REF!/$B$6</f>
        <v>#REF!</v>
      </c>
      <c r="J89" s="742" t="e">
        <f>#REF!/$B$6</f>
        <v>#REF!</v>
      </c>
      <c r="K89" s="742" t="e">
        <f>#REF!/$B$6</f>
        <v>#REF!</v>
      </c>
      <c r="L89" s="742" t="e">
        <f>#REF!/$B$6</f>
        <v>#REF!</v>
      </c>
      <c r="M89" s="742" t="e">
        <f>#REF!/$B$6</f>
        <v>#REF!</v>
      </c>
      <c r="N89" s="742" t="e">
        <f>#REF!/$B$6</f>
        <v>#REF!</v>
      </c>
      <c r="O89" s="742" t="e">
        <f>#REF!/$B$6</f>
        <v>#REF!</v>
      </c>
      <c r="P89" s="742" t="e">
        <f>#REF!/$B$6</f>
        <v>#REF!</v>
      </c>
      <c r="Q89" s="742" t="e">
        <f>#REF!/$B$6</f>
        <v>#REF!</v>
      </c>
      <c r="R89" s="742" t="e">
        <f>#REF!/$B$6</f>
        <v>#REF!</v>
      </c>
      <c r="S89" s="742" t="e">
        <f>#REF!/$B$6</f>
        <v>#REF!</v>
      </c>
      <c r="T89" s="742" t="e">
        <f>#REF!/$B$6</f>
        <v>#REF!</v>
      </c>
      <c r="U89" s="742" t="e">
        <f>#REF!/$B$6</f>
        <v>#REF!</v>
      </c>
      <c r="V89" s="742" t="e">
        <f>#REF!/$B$6</f>
        <v>#REF!</v>
      </c>
      <c r="W89" s="742" t="e">
        <f>#REF!/$B$6</f>
        <v>#REF!</v>
      </c>
      <c r="X89" s="742" t="e">
        <f>#REF!/$B$6</f>
        <v>#REF!</v>
      </c>
      <c r="Y89" s="742" t="e">
        <f>#REF!/$B$6</f>
        <v>#REF!</v>
      </c>
      <c r="Z89" s="742" t="e">
        <f>#REF!/$B$6</f>
        <v>#REF!</v>
      </c>
      <c r="AA89" s="742" t="e">
        <f>#REF!/$B$6</f>
        <v>#REF!</v>
      </c>
    </row>
    <row r="100" spans="1:27">
      <c r="A100" s="733" t="s">
        <v>110</v>
      </c>
      <c r="B100" s="734"/>
      <c r="C100" s="734"/>
      <c r="D100" s="734"/>
      <c r="E100" s="734"/>
      <c r="F100" s="734"/>
      <c r="G100" s="734"/>
      <c r="H100" s="734"/>
      <c r="I100" s="734"/>
      <c r="J100" s="734"/>
      <c r="K100" s="734"/>
      <c r="L100" s="734"/>
      <c r="M100" s="734"/>
      <c r="N100" s="734"/>
      <c r="O100" s="734"/>
      <c r="P100" s="734"/>
      <c r="Q100" s="734"/>
      <c r="R100" s="734"/>
      <c r="S100" s="734"/>
      <c r="T100" s="734"/>
      <c r="U100" s="734"/>
      <c r="V100" s="734"/>
      <c r="W100" s="734"/>
      <c r="X100" s="734"/>
      <c r="Y100" s="734"/>
      <c r="Z100" s="734"/>
      <c r="AA100" s="734"/>
    </row>
    <row r="102" spans="1:27">
      <c r="A102" s="735" t="s">
        <v>625</v>
      </c>
      <c r="B102" s="735">
        <f>B$12</f>
        <v>2003</v>
      </c>
      <c r="C102" s="735">
        <f t="shared" ref="C102:AA102" si="75">C$12</f>
        <v>2004</v>
      </c>
      <c r="D102" s="735">
        <f t="shared" si="75"/>
        <v>2005</v>
      </c>
      <c r="E102" s="735">
        <f t="shared" si="75"/>
        <v>2006</v>
      </c>
      <c r="F102" s="735">
        <f t="shared" si="75"/>
        <v>2007</v>
      </c>
      <c r="G102" s="735">
        <f t="shared" si="75"/>
        <v>2008</v>
      </c>
      <c r="H102" s="735">
        <f t="shared" si="75"/>
        <v>2009</v>
      </c>
      <c r="I102" s="735">
        <f t="shared" si="75"/>
        <v>2010</v>
      </c>
      <c r="J102" s="735">
        <f t="shared" si="75"/>
        <v>2011</v>
      </c>
      <c r="K102" s="735">
        <f t="shared" si="75"/>
        <v>2012</v>
      </c>
      <c r="L102" s="735">
        <f t="shared" si="75"/>
        <v>2013</v>
      </c>
      <c r="M102" s="735">
        <f t="shared" si="75"/>
        <v>2014</v>
      </c>
      <c r="N102" s="735">
        <f t="shared" si="75"/>
        <v>2015</v>
      </c>
      <c r="O102" s="735">
        <f t="shared" si="75"/>
        <v>2016</v>
      </c>
      <c r="P102" s="735">
        <f t="shared" si="75"/>
        <v>2017</v>
      </c>
      <c r="Q102" s="735">
        <f t="shared" si="75"/>
        <v>2018</v>
      </c>
      <c r="R102" s="735">
        <f t="shared" si="75"/>
        <v>2019</v>
      </c>
      <c r="S102" s="735">
        <f t="shared" si="75"/>
        <v>2020</v>
      </c>
      <c r="T102" s="735">
        <f t="shared" si="75"/>
        <v>2021</v>
      </c>
      <c r="U102" s="735">
        <f t="shared" si="75"/>
        <v>2022</v>
      </c>
      <c r="V102" s="735">
        <f t="shared" si="75"/>
        <v>2023</v>
      </c>
      <c r="W102" s="735">
        <f t="shared" si="75"/>
        <v>2024</v>
      </c>
      <c r="X102" s="735">
        <f t="shared" si="75"/>
        <v>2025</v>
      </c>
      <c r="Y102" s="735">
        <f t="shared" si="75"/>
        <v>2026</v>
      </c>
      <c r="Z102" s="735">
        <f t="shared" si="75"/>
        <v>2027</v>
      </c>
      <c r="AA102" s="735">
        <f t="shared" si="75"/>
        <v>2028</v>
      </c>
    </row>
    <row r="104" spans="1:27" ht="15">
      <c r="A104" s="730" t="s">
        <v>626</v>
      </c>
      <c r="B104" s="736" t="e">
        <f>B156</f>
        <v>#REF!</v>
      </c>
      <c r="C104" s="736" t="e">
        <f t="shared" ref="C104:Z104" si="76">C156</f>
        <v>#REF!</v>
      </c>
      <c r="D104" s="736" t="e">
        <f t="shared" si="76"/>
        <v>#REF!</v>
      </c>
      <c r="E104" s="736" t="e">
        <f t="shared" si="76"/>
        <v>#REF!</v>
      </c>
      <c r="F104" s="736" t="e">
        <f t="shared" si="76"/>
        <v>#REF!</v>
      </c>
      <c r="G104" s="736" t="e">
        <f t="shared" si="76"/>
        <v>#REF!</v>
      </c>
      <c r="H104" s="736" t="e">
        <f t="shared" si="76"/>
        <v>#REF!</v>
      </c>
      <c r="I104" s="736" t="e">
        <f t="shared" si="76"/>
        <v>#REF!</v>
      </c>
      <c r="J104" s="736" t="e">
        <f t="shared" si="76"/>
        <v>#REF!</v>
      </c>
      <c r="K104" s="736" t="e">
        <f t="shared" si="76"/>
        <v>#REF!</v>
      </c>
      <c r="L104" s="736" t="e">
        <f t="shared" si="76"/>
        <v>#REF!</v>
      </c>
      <c r="M104" s="736" t="e">
        <f t="shared" si="76"/>
        <v>#REF!</v>
      </c>
      <c r="N104" s="736" t="e">
        <f t="shared" si="76"/>
        <v>#REF!</v>
      </c>
      <c r="O104" s="736" t="e">
        <f t="shared" si="76"/>
        <v>#REF!</v>
      </c>
      <c r="P104" s="736" t="e">
        <f t="shared" si="76"/>
        <v>#REF!</v>
      </c>
      <c r="Q104" s="736" t="e">
        <f t="shared" si="76"/>
        <v>#REF!</v>
      </c>
      <c r="R104" s="736" t="e">
        <f t="shared" si="76"/>
        <v>#REF!</v>
      </c>
      <c r="S104" s="736" t="e">
        <f t="shared" si="76"/>
        <v>#REF!</v>
      </c>
      <c r="T104" s="736" t="e">
        <f t="shared" si="76"/>
        <v>#REF!</v>
      </c>
      <c r="U104" s="736" t="e">
        <f t="shared" si="76"/>
        <v>#REF!</v>
      </c>
      <c r="V104" s="736" t="e">
        <f t="shared" si="76"/>
        <v>#REF!</v>
      </c>
      <c r="W104" s="736" t="e">
        <f t="shared" si="76"/>
        <v>#REF!</v>
      </c>
      <c r="X104" s="736" t="e">
        <f t="shared" si="76"/>
        <v>#REF!</v>
      </c>
      <c r="Y104" s="736" t="e">
        <f t="shared" si="76"/>
        <v>#REF!</v>
      </c>
      <c r="Z104" s="736" t="e">
        <f t="shared" si="76"/>
        <v>#REF!</v>
      </c>
      <c r="AA104" s="736" t="e">
        <f t="shared" ref="AA104" si="77">AA156</f>
        <v>#REF!</v>
      </c>
    </row>
    <row r="105" spans="1:27" ht="15">
      <c r="A105" s="730" t="s">
        <v>627</v>
      </c>
      <c r="B105" s="736" t="e">
        <f>B163</f>
        <v>#REF!</v>
      </c>
      <c r="C105" s="736" t="e">
        <f t="shared" ref="C105:Z105" si="78">C163</f>
        <v>#REF!</v>
      </c>
      <c r="D105" s="736" t="e">
        <f t="shared" si="78"/>
        <v>#REF!</v>
      </c>
      <c r="E105" s="736" t="e">
        <f t="shared" si="78"/>
        <v>#REF!</v>
      </c>
      <c r="F105" s="736" t="e">
        <f t="shared" si="78"/>
        <v>#REF!</v>
      </c>
      <c r="G105" s="736" t="e">
        <f t="shared" si="78"/>
        <v>#REF!</v>
      </c>
      <c r="H105" s="736" t="e">
        <f t="shared" si="78"/>
        <v>#REF!</v>
      </c>
      <c r="I105" s="736" t="e">
        <f t="shared" si="78"/>
        <v>#REF!</v>
      </c>
      <c r="J105" s="736" t="e">
        <f t="shared" si="78"/>
        <v>#REF!</v>
      </c>
      <c r="K105" s="736" t="e">
        <f t="shared" si="78"/>
        <v>#REF!</v>
      </c>
      <c r="L105" s="736" t="e">
        <f t="shared" si="78"/>
        <v>#REF!</v>
      </c>
      <c r="M105" s="736" t="e">
        <f t="shared" si="78"/>
        <v>#REF!</v>
      </c>
      <c r="N105" s="736" t="e">
        <f t="shared" si="78"/>
        <v>#REF!</v>
      </c>
      <c r="O105" s="736" t="e">
        <f t="shared" si="78"/>
        <v>#REF!</v>
      </c>
      <c r="P105" s="736" t="e">
        <f t="shared" si="78"/>
        <v>#REF!</v>
      </c>
      <c r="Q105" s="736" t="e">
        <f t="shared" si="78"/>
        <v>#REF!</v>
      </c>
      <c r="R105" s="736" t="e">
        <f t="shared" si="78"/>
        <v>#REF!</v>
      </c>
      <c r="S105" s="736" t="e">
        <f t="shared" si="78"/>
        <v>#REF!</v>
      </c>
      <c r="T105" s="736" t="e">
        <f t="shared" si="78"/>
        <v>#REF!</v>
      </c>
      <c r="U105" s="736" t="e">
        <f t="shared" si="78"/>
        <v>#REF!</v>
      </c>
      <c r="V105" s="736" t="e">
        <f t="shared" si="78"/>
        <v>#REF!</v>
      </c>
      <c r="W105" s="736" t="e">
        <f t="shared" si="78"/>
        <v>#REF!</v>
      </c>
      <c r="X105" s="736" t="e">
        <f t="shared" si="78"/>
        <v>#REF!</v>
      </c>
      <c r="Y105" s="736" t="e">
        <f t="shared" si="78"/>
        <v>#REF!</v>
      </c>
      <c r="Z105" s="736" t="e">
        <f t="shared" si="78"/>
        <v>#REF!</v>
      </c>
      <c r="AA105" s="736" t="e">
        <f t="shared" ref="AA105" si="79">AA163</f>
        <v>#REF!</v>
      </c>
    </row>
    <row r="106" spans="1:27">
      <c r="A106" s="760" t="s">
        <v>628</v>
      </c>
      <c r="B106" s="761" t="e">
        <f>B104+B105</f>
        <v>#REF!</v>
      </c>
      <c r="C106" s="761" t="e">
        <f t="shared" ref="C106:Z106" si="80">C104+C105</f>
        <v>#REF!</v>
      </c>
      <c r="D106" s="761" t="e">
        <f t="shared" si="80"/>
        <v>#REF!</v>
      </c>
      <c r="E106" s="761" t="e">
        <f t="shared" si="80"/>
        <v>#REF!</v>
      </c>
      <c r="F106" s="761" t="e">
        <f t="shared" si="80"/>
        <v>#REF!</v>
      </c>
      <c r="G106" s="761" t="e">
        <f t="shared" si="80"/>
        <v>#REF!</v>
      </c>
      <c r="H106" s="761" t="e">
        <f t="shared" si="80"/>
        <v>#REF!</v>
      </c>
      <c r="I106" s="761" t="e">
        <f t="shared" si="80"/>
        <v>#REF!</v>
      </c>
      <c r="J106" s="761" t="e">
        <f t="shared" si="80"/>
        <v>#REF!</v>
      </c>
      <c r="K106" s="761" t="e">
        <f t="shared" si="80"/>
        <v>#REF!</v>
      </c>
      <c r="L106" s="761" t="e">
        <f t="shared" si="80"/>
        <v>#REF!</v>
      </c>
      <c r="M106" s="761" t="e">
        <f t="shared" si="80"/>
        <v>#REF!</v>
      </c>
      <c r="N106" s="761" t="e">
        <f t="shared" si="80"/>
        <v>#REF!</v>
      </c>
      <c r="O106" s="761" t="e">
        <f t="shared" si="80"/>
        <v>#REF!</v>
      </c>
      <c r="P106" s="761" t="e">
        <f t="shared" si="80"/>
        <v>#REF!</v>
      </c>
      <c r="Q106" s="761" t="e">
        <f t="shared" si="80"/>
        <v>#REF!</v>
      </c>
      <c r="R106" s="761" t="e">
        <f t="shared" si="80"/>
        <v>#REF!</v>
      </c>
      <c r="S106" s="761" t="e">
        <f t="shared" si="80"/>
        <v>#REF!</v>
      </c>
      <c r="T106" s="761" t="e">
        <f t="shared" si="80"/>
        <v>#REF!</v>
      </c>
      <c r="U106" s="761" t="e">
        <f t="shared" si="80"/>
        <v>#REF!</v>
      </c>
      <c r="V106" s="761" t="e">
        <f t="shared" si="80"/>
        <v>#REF!</v>
      </c>
      <c r="W106" s="761" t="e">
        <f t="shared" si="80"/>
        <v>#REF!</v>
      </c>
      <c r="X106" s="761" t="e">
        <f t="shared" si="80"/>
        <v>#REF!</v>
      </c>
      <c r="Y106" s="761" t="e">
        <f t="shared" si="80"/>
        <v>#REF!</v>
      </c>
      <c r="Z106" s="761" t="e">
        <f t="shared" si="80"/>
        <v>#REF!</v>
      </c>
      <c r="AA106" s="761" t="e">
        <f t="shared" ref="AA106" si="81">AA104+AA105</f>
        <v>#REF!</v>
      </c>
    </row>
    <row r="107" spans="1:27" ht="15">
      <c r="B107" s="736"/>
      <c r="C107" s="736"/>
      <c r="D107" s="736"/>
      <c r="E107" s="736"/>
      <c r="F107" s="736"/>
      <c r="G107" s="736"/>
      <c r="H107" s="736"/>
      <c r="I107" s="736"/>
      <c r="J107" s="736"/>
      <c r="K107" s="736"/>
      <c r="L107" s="736"/>
      <c r="M107" s="736"/>
      <c r="N107" s="736"/>
      <c r="O107" s="736"/>
      <c r="P107" s="736"/>
      <c r="Q107" s="736"/>
      <c r="R107" s="736"/>
      <c r="S107" s="736"/>
      <c r="T107" s="736"/>
      <c r="U107" s="736"/>
      <c r="V107" s="736"/>
      <c r="W107" s="736"/>
      <c r="X107" s="736"/>
      <c r="Y107" s="736"/>
      <c r="Z107" s="736"/>
      <c r="AA107" s="736"/>
    </row>
    <row r="108" spans="1:27" ht="15">
      <c r="A108" s="730" t="s">
        <v>629</v>
      </c>
      <c r="B108" s="736" t="e">
        <f>B198</f>
        <v>#REF!</v>
      </c>
      <c r="C108" s="736" t="e">
        <f t="shared" ref="C108:Z108" si="82">C198</f>
        <v>#REF!</v>
      </c>
      <c r="D108" s="736" t="e">
        <f t="shared" si="82"/>
        <v>#REF!</v>
      </c>
      <c r="E108" s="736" t="e">
        <f t="shared" si="82"/>
        <v>#REF!</v>
      </c>
      <c r="F108" s="736" t="e">
        <f t="shared" si="82"/>
        <v>#REF!</v>
      </c>
      <c r="G108" s="736" t="e">
        <f t="shared" si="82"/>
        <v>#REF!</v>
      </c>
      <c r="H108" s="736" t="e">
        <f t="shared" si="82"/>
        <v>#REF!</v>
      </c>
      <c r="I108" s="736" t="e">
        <f t="shared" si="82"/>
        <v>#REF!</v>
      </c>
      <c r="J108" s="736" t="e">
        <f t="shared" si="82"/>
        <v>#REF!</v>
      </c>
      <c r="K108" s="736" t="e">
        <f t="shared" si="82"/>
        <v>#REF!</v>
      </c>
      <c r="L108" s="736" t="e">
        <f t="shared" si="82"/>
        <v>#REF!</v>
      </c>
      <c r="M108" s="736" t="e">
        <f t="shared" si="82"/>
        <v>#REF!</v>
      </c>
      <c r="N108" s="736" t="e">
        <f t="shared" si="82"/>
        <v>#REF!</v>
      </c>
      <c r="O108" s="736" t="e">
        <f t="shared" si="82"/>
        <v>#REF!</v>
      </c>
      <c r="P108" s="736" t="e">
        <f t="shared" si="82"/>
        <v>#REF!</v>
      </c>
      <c r="Q108" s="736" t="e">
        <f t="shared" si="82"/>
        <v>#REF!</v>
      </c>
      <c r="R108" s="736" t="e">
        <f t="shared" si="82"/>
        <v>#REF!</v>
      </c>
      <c r="S108" s="736" t="e">
        <f t="shared" si="82"/>
        <v>#REF!</v>
      </c>
      <c r="T108" s="736" t="e">
        <f t="shared" si="82"/>
        <v>#REF!</v>
      </c>
      <c r="U108" s="736" t="e">
        <f t="shared" si="82"/>
        <v>#REF!</v>
      </c>
      <c r="V108" s="736" t="e">
        <f t="shared" si="82"/>
        <v>#REF!</v>
      </c>
      <c r="W108" s="736" t="e">
        <f t="shared" si="82"/>
        <v>#REF!</v>
      </c>
      <c r="X108" s="736" t="e">
        <f t="shared" si="82"/>
        <v>#REF!</v>
      </c>
      <c r="Y108" s="736" t="e">
        <f t="shared" si="82"/>
        <v>#REF!</v>
      </c>
      <c r="Z108" s="736" t="e">
        <f t="shared" si="82"/>
        <v>#REF!</v>
      </c>
      <c r="AA108" s="736" t="e">
        <f t="shared" ref="AA108" si="83">AA198</f>
        <v>#REF!</v>
      </c>
    </row>
    <row r="109" spans="1:27" ht="15">
      <c r="A109" s="730" t="s">
        <v>630</v>
      </c>
      <c r="B109" s="736" t="e">
        <f>B205</f>
        <v>#REF!</v>
      </c>
      <c r="C109" s="736" t="e">
        <f t="shared" ref="C109:Z109" si="84">C205</f>
        <v>#REF!</v>
      </c>
      <c r="D109" s="736" t="e">
        <f t="shared" si="84"/>
        <v>#REF!</v>
      </c>
      <c r="E109" s="736" t="e">
        <f t="shared" si="84"/>
        <v>#REF!</v>
      </c>
      <c r="F109" s="736" t="e">
        <f t="shared" si="84"/>
        <v>#REF!</v>
      </c>
      <c r="G109" s="736" t="e">
        <f t="shared" si="84"/>
        <v>#REF!</v>
      </c>
      <c r="H109" s="736" t="e">
        <f t="shared" si="84"/>
        <v>#REF!</v>
      </c>
      <c r="I109" s="736" t="e">
        <f t="shared" si="84"/>
        <v>#REF!</v>
      </c>
      <c r="J109" s="736" t="e">
        <f t="shared" si="84"/>
        <v>#REF!</v>
      </c>
      <c r="K109" s="736" t="e">
        <f t="shared" si="84"/>
        <v>#REF!</v>
      </c>
      <c r="L109" s="736" t="e">
        <f t="shared" si="84"/>
        <v>#REF!</v>
      </c>
      <c r="M109" s="736" t="e">
        <f t="shared" si="84"/>
        <v>#REF!</v>
      </c>
      <c r="N109" s="736" t="e">
        <f t="shared" si="84"/>
        <v>#REF!</v>
      </c>
      <c r="O109" s="736" t="e">
        <f t="shared" si="84"/>
        <v>#REF!</v>
      </c>
      <c r="P109" s="736" t="e">
        <f t="shared" si="84"/>
        <v>#REF!</v>
      </c>
      <c r="Q109" s="736" t="e">
        <f t="shared" si="84"/>
        <v>#REF!</v>
      </c>
      <c r="R109" s="736" t="e">
        <f t="shared" si="84"/>
        <v>#REF!</v>
      </c>
      <c r="S109" s="736" t="e">
        <f t="shared" si="84"/>
        <v>#REF!</v>
      </c>
      <c r="T109" s="736" t="e">
        <f t="shared" si="84"/>
        <v>#REF!</v>
      </c>
      <c r="U109" s="736" t="e">
        <f t="shared" si="84"/>
        <v>#REF!</v>
      </c>
      <c r="V109" s="736" t="e">
        <f t="shared" si="84"/>
        <v>#REF!</v>
      </c>
      <c r="W109" s="736" t="e">
        <f t="shared" si="84"/>
        <v>#REF!</v>
      </c>
      <c r="X109" s="736" t="e">
        <f t="shared" si="84"/>
        <v>#REF!</v>
      </c>
      <c r="Y109" s="736" t="e">
        <f t="shared" si="84"/>
        <v>#REF!</v>
      </c>
      <c r="Z109" s="736" t="e">
        <f t="shared" si="84"/>
        <v>#REF!</v>
      </c>
      <c r="AA109" s="736" t="e">
        <f t="shared" ref="AA109" si="85">AA205</f>
        <v>#REF!</v>
      </c>
    </row>
    <row r="110" spans="1:27">
      <c r="A110" s="760" t="s">
        <v>631</v>
      </c>
      <c r="B110" s="761" t="e">
        <f>B108+B109</f>
        <v>#REF!</v>
      </c>
      <c r="C110" s="761" t="e">
        <f t="shared" ref="C110:Z110" si="86">C108+C109</f>
        <v>#REF!</v>
      </c>
      <c r="D110" s="761" t="e">
        <f t="shared" si="86"/>
        <v>#REF!</v>
      </c>
      <c r="E110" s="761" t="e">
        <f t="shared" si="86"/>
        <v>#REF!</v>
      </c>
      <c r="F110" s="761" t="e">
        <f t="shared" si="86"/>
        <v>#REF!</v>
      </c>
      <c r="G110" s="761" t="e">
        <f t="shared" si="86"/>
        <v>#REF!</v>
      </c>
      <c r="H110" s="761" t="e">
        <f t="shared" si="86"/>
        <v>#REF!</v>
      </c>
      <c r="I110" s="761" t="e">
        <f t="shared" si="86"/>
        <v>#REF!</v>
      </c>
      <c r="J110" s="761" t="e">
        <f t="shared" si="86"/>
        <v>#REF!</v>
      </c>
      <c r="K110" s="761" t="e">
        <f t="shared" si="86"/>
        <v>#REF!</v>
      </c>
      <c r="L110" s="761" t="e">
        <f t="shared" si="86"/>
        <v>#REF!</v>
      </c>
      <c r="M110" s="761" t="e">
        <f t="shared" si="86"/>
        <v>#REF!</v>
      </c>
      <c r="N110" s="761" t="e">
        <f t="shared" si="86"/>
        <v>#REF!</v>
      </c>
      <c r="O110" s="761" t="e">
        <f t="shared" si="86"/>
        <v>#REF!</v>
      </c>
      <c r="P110" s="761" t="e">
        <f t="shared" si="86"/>
        <v>#REF!</v>
      </c>
      <c r="Q110" s="761" t="e">
        <f t="shared" si="86"/>
        <v>#REF!</v>
      </c>
      <c r="R110" s="761" t="e">
        <f t="shared" si="86"/>
        <v>#REF!</v>
      </c>
      <c r="S110" s="761" t="e">
        <f t="shared" si="86"/>
        <v>#REF!</v>
      </c>
      <c r="T110" s="761" t="e">
        <f t="shared" si="86"/>
        <v>#REF!</v>
      </c>
      <c r="U110" s="761" t="e">
        <f t="shared" si="86"/>
        <v>#REF!</v>
      </c>
      <c r="V110" s="761" t="e">
        <f t="shared" si="86"/>
        <v>#REF!</v>
      </c>
      <c r="W110" s="761" t="e">
        <f t="shared" si="86"/>
        <v>#REF!</v>
      </c>
      <c r="X110" s="761" t="e">
        <f t="shared" si="86"/>
        <v>#REF!</v>
      </c>
      <c r="Y110" s="761" t="e">
        <f t="shared" si="86"/>
        <v>#REF!</v>
      </c>
      <c r="Z110" s="761" t="e">
        <f t="shared" si="86"/>
        <v>#REF!</v>
      </c>
      <c r="AA110" s="761" t="e">
        <f t="shared" ref="AA110" si="87">AA108+AA109</f>
        <v>#REF!</v>
      </c>
    </row>
    <row r="111" spans="1:27" ht="15">
      <c r="B111" s="736"/>
      <c r="C111" s="736"/>
      <c r="D111" s="736"/>
      <c r="E111" s="736"/>
      <c r="F111" s="736"/>
      <c r="G111" s="736"/>
      <c r="H111" s="736"/>
      <c r="I111" s="736"/>
      <c r="J111" s="736"/>
      <c r="K111" s="736"/>
      <c r="L111" s="736"/>
      <c r="M111" s="736"/>
      <c r="N111" s="736"/>
      <c r="O111" s="736"/>
      <c r="P111" s="736"/>
      <c r="Q111" s="736"/>
      <c r="R111" s="736"/>
      <c r="S111" s="736"/>
      <c r="T111" s="736"/>
      <c r="U111" s="736"/>
      <c r="V111" s="736"/>
      <c r="W111" s="736"/>
      <c r="X111" s="736"/>
      <c r="Y111" s="736"/>
      <c r="Z111" s="736"/>
      <c r="AA111" s="736"/>
    </row>
    <row r="112" spans="1:27" ht="15">
      <c r="A112" s="730" t="s">
        <v>632</v>
      </c>
      <c r="B112" s="736" t="e">
        <f>B235</f>
        <v>#REF!</v>
      </c>
      <c r="C112" s="736" t="e">
        <f t="shared" ref="C112:Z112" si="88">C235</f>
        <v>#REF!</v>
      </c>
      <c r="D112" s="736" t="e">
        <f t="shared" si="88"/>
        <v>#REF!</v>
      </c>
      <c r="E112" s="736" t="e">
        <f t="shared" si="88"/>
        <v>#REF!</v>
      </c>
      <c r="F112" s="736" t="e">
        <f t="shared" si="88"/>
        <v>#REF!</v>
      </c>
      <c r="G112" s="736" t="e">
        <f t="shared" si="88"/>
        <v>#REF!</v>
      </c>
      <c r="H112" s="736" t="e">
        <f t="shared" si="88"/>
        <v>#REF!</v>
      </c>
      <c r="I112" s="736" t="e">
        <f t="shared" si="88"/>
        <v>#REF!</v>
      </c>
      <c r="J112" s="736" t="e">
        <f t="shared" si="88"/>
        <v>#REF!</v>
      </c>
      <c r="K112" s="736" t="e">
        <f t="shared" si="88"/>
        <v>#REF!</v>
      </c>
      <c r="L112" s="736" t="e">
        <f t="shared" si="88"/>
        <v>#REF!</v>
      </c>
      <c r="M112" s="736" t="e">
        <f t="shared" si="88"/>
        <v>#REF!</v>
      </c>
      <c r="N112" s="736" t="e">
        <f t="shared" si="88"/>
        <v>#REF!</v>
      </c>
      <c r="O112" s="736" t="e">
        <f t="shared" si="88"/>
        <v>#REF!</v>
      </c>
      <c r="P112" s="736" t="e">
        <f t="shared" si="88"/>
        <v>#REF!</v>
      </c>
      <c r="Q112" s="736" t="e">
        <f t="shared" si="88"/>
        <v>#REF!</v>
      </c>
      <c r="R112" s="736" t="e">
        <f t="shared" si="88"/>
        <v>#REF!</v>
      </c>
      <c r="S112" s="736" t="e">
        <f t="shared" si="88"/>
        <v>#REF!</v>
      </c>
      <c r="T112" s="736" t="e">
        <f t="shared" si="88"/>
        <v>#REF!</v>
      </c>
      <c r="U112" s="736" t="e">
        <f t="shared" si="88"/>
        <v>#REF!</v>
      </c>
      <c r="V112" s="736" t="e">
        <f t="shared" si="88"/>
        <v>#REF!</v>
      </c>
      <c r="W112" s="736" t="e">
        <f t="shared" si="88"/>
        <v>#REF!</v>
      </c>
      <c r="X112" s="736" t="e">
        <f t="shared" si="88"/>
        <v>#REF!</v>
      </c>
      <c r="Y112" s="736" t="e">
        <f t="shared" si="88"/>
        <v>#REF!</v>
      </c>
      <c r="Z112" s="736" t="e">
        <f t="shared" si="88"/>
        <v>#REF!</v>
      </c>
      <c r="AA112" s="736" t="e">
        <f t="shared" ref="AA112" si="89">AA235</f>
        <v>#REF!</v>
      </c>
    </row>
    <row r="113" spans="1:27" ht="15">
      <c r="A113" s="730" t="s">
        <v>633</v>
      </c>
      <c r="B113" s="746" t="e">
        <f>B239</f>
        <v>#REF!</v>
      </c>
      <c r="C113" s="746" t="e">
        <f t="shared" ref="C113:Z113" si="90">C239</f>
        <v>#REF!</v>
      </c>
      <c r="D113" s="746" t="e">
        <f t="shared" si="90"/>
        <v>#REF!</v>
      </c>
      <c r="E113" s="746" t="e">
        <f t="shared" si="90"/>
        <v>#REF!</v>
      </c>
      <c r="F113" s="746" t="e">
        <f t="shared" si="90"/>
        <v>#REF!</v>
      </c>
      <c r="G113" s="746" t="e">
        <f t="shared" si="90"/>
        <v>#REF!</v>
      </c>
      <c r="H113" s="746" t="e">
        <f t="shared" si="90"/>
        <v>#REF!</v>
      </c>
      <c r="I113" s="746" t="e">
        <f t="shared" si="90"/>
        <v>#REF!</v>
      </c>
      <c r="J113" s="746" t="e">
        <f t="shared" si="90"/>
        <v>#REF!</v>
      </c>
      <c r="K113" s="746" t="e">
        <f t="shared" si="90"/>
        <v>#REF!</v>
      </c>
      <c r="L113" s="746" t="e">
        <f t="shared" si="90"/>
        <v>#REF!</v>
      </c>
      <c r="M113" s="746" t="e">
        <f t="shared" si="90"/>
        <v>#REF!</v>
      </c>
      <c r="N113" s="746" t="e">
        <f t="shared" si="90"/>
        <v>#REF!</v>
      </c>
      <c r="O113" s="746" t="e">
        <f t="shared" si="90"/>
        <v>#REF!</v>
      </c>
      <c r="P113" s="746" t="e">
        <f t="shared" si="90"/>
        <v>#REF!</v>
      </c>
      <c r="Q113" s="746" t="e">
        <f t="shared" si="90"/>
        <v>#REF!</v>
      </c>
      <c r="R113" s="746" t="e">
        <f t="shared" si="90"/>
        <v>#REF!</v>
      </c>
      <c r="S113" s="746" t="e">
        <f t="shared" si="90"/>
        <v>#REF!</v>
      </c>
      <c r="T113" s="746" t="e">
        <f t="shared" si="90"/>
        <v>#REF!</v>
      </c>
      <c r="U113" s="746" t="e">
        <f t="shared" si="90"/>
        <v>#REF!</v>
      </c>
      <c r="V113" s="746" t="e">
        <f t="shared" si="90"/>
        <v>#REF!</v>
      </c>
      <c r="W113" s="746" t="e">
        <f t="shared" si="90"/>
        <v>#REF!</v>
      </c>
      <c r="X113" s="746" t="e">
        <f t="shared" si="90"/>
        <v>#REF!</v>
      </c>
      <c r="Y113" s="746" t="e">
        <f t="shared" si="90"/>
        <v>#REF!</v>
      </c>
      <c r="Z113" s="746" t="e">
        <f t="shared" si="90"/>
        <v>#REF!</v>
      </c>
      <c r="AA113" s="746" t="e">
        <f t="shared" ref="AA113" si="91">AA239</f>
        <v>#REF!</v>
      </c>
    </row>
    <row r="114" spans="1:27">
      <c r="A114" s="760" t="s">
        <v>634</v>
      </c>
      <c r="B114" s="761" t="e">
        <f>B112+B113</f>
        <v>#REF!</v>
      </c>
      <c r="C114" s="761" t="e">
        <f t="shared" ref="C114:Z114" si="92">C112+C113</f>
        <v>#REF!</v>
      </c>
      <c r="D114" s="761" t="e">
        <f t="shared" si="92"/>
        <v>#REF!</v>
      </c>
      <c r="E114" s="761" t="e">
        <f t="shared" si="92"/>
        <v>#REF!</v>
      </c>
      <c r="F114" s="761" t="e">
        <f t="shared" si="92"/>
        <v>#REF!</v>
      </c>
      <c r="G114" s="761" t="e">
        <f t="shared" si="92"/>
        <v>#REF!</v>
      </c>
      <c r="H114" s="761" t="e">
        <f t="shared" si="92"/>
        <v>#REF!</v>
      </c>
      <c r="I114" s="761" t="e">
        <f t="shared" si="92"/>
        <v>#REF!</v>
      </c>
      <c r="J114" s="761" t="e">
        <f t="shared" si="92"/>
        <v>#REF!</v>
      </c>
      <c r="K114" s="761" t="e">
        <f t="shared" si="92"/>
        <v>#REF!</v>
      </c>
      <c r="L114" s="761" t="e">
        <f t="shared" si="92"/>
        <v>#REF!</v>
      </c>
      <c r="M114" s="761" t="e">
        <f t="shared" si="92"/>
        <v>#REF!</v>
      </c>
      <c r="N114" s="761" t="e">
        <f t="shared" si="92"/>
        <v>#REF!</v>
      </c>
      <c r="O114" s="761" t="e">
        <f t="shared" si="92"/>
        <v>#REF!</v>
      </c>
      <c r="P114" s="761" t="e">
        <f t="shared" si="92"/>
        <v>#REF!</v>
      </c>
      <c r="Q114" s="761" t="e">
        <f t="shared" si="92"/>
        <v>#REF!</v>
      </c>
      <c r="R114" s="761" t="e">
        <f t="shared" si="92"/>
        <v>#REF!</v>
      </c>
      <c r="S114" s="761" t="e">
        <f t="shared" si="92"/>
        <v>#REF!</v>
      </c>
      <c r="T114" s="761" t="e">
        <f t="shared" si="92"/>
        <v>#REF!</v>
      </c>
      <c r="U114" s="761" t="e">
        <f t="shared" si="92"/>
        <v>#REF!</v>
      </c>
      <c r="V114" s="761" t="e">
        <f t="shared" si="92"/>
        <v>#REF!</v>
      </c>
      <c r="W114" s="761" t="e">
        <f t="shared" si="92"/>
        <v>#REF!</v>
      </c>
      <c r="X114" s="761" t="e">
        <f t="shared" si="92"/>
        <v>#REF!</v>
      </c>
      <c r="Y114" s="761" t="e">
        <f t="shared" si="92"/>
        <v>#REF!</v>
      </c>
      <c r="Z114" s="761" t="e">
        <f t="shared" si="92"/>
        <v>#REF!</v>
      </c>
      <c r="AA114" s="761" t="e">
        <f t="shared" ref="AA114" si="93">AA112+AA113</f>
        <v>#REF!</v>
      </c>
    </row>
    <row r="115" spans="1:27" ht="15">
      <c r="B115" s="736"/>
      <c r="C115" s="736"/>
      <c r="D115" s="736"/>
      <c r="E115" s="736"/>
      <c r="F115" s="736"/>
      <c r="G115" s="736"/>
      <c r="H115" s="736"/>
      <c r="I115" s="736"/>
      <c r="J115" s="736"/>
      <c r="K115" s="736"/>
      <c r="L115" s="736"/>
      <c r="M115" s="736"/>
      <c r="N115" s="736"/>
      <c r="O115" s="736"/>
      <c r="P115" s="736"/>
      <c r="Q115" s="736"/>
      <c r="R115" s="736"/>
      <c r="S115" s="736"/>
      <c r="T115" s="736"/>
      <c r="U115" s="736"/>
      <c r="V115" s="736"/>
      <c r="W115" s="736"/>
      <c r="X115" s="736"/>
      <c r="Y115" s="736"/>
      <c r="Z115" s="736"/>
      <c r="AA115" s="736"/>
    </row>
    <row r="116" spans="1:27" ht="15">
      <c r="A116" s="730" t="s">
        <v>635</v>
      </c>
      <c r="B116" s="736" t="e">
        <f>B104+B108</f>
        <v>#REF!</v>
      </c>
      <c r="C116" s="736" t="e">
        <f t="shared" ref="C116:Z117" si="94">C104+C108</f>
        <v>#REF!</v>
      </c>
      <c r="D116" s="736" t="e">
        <f t="shared" si="94"/>
        <v>#REF!</v>
      </c>
      <c r="E116" s="736" t="e">
        <f t="shared" si="94"/>
        <v>#REF!</v>
      </c>
      <c r="F116" s="736" t="e">
        <f t="shared" si="94"/>
        <v>#REF!</v>
      </c>
      <c r="G116" s="736" t="e">
        <f t="shared" si="94"/>
        <v>#REF!</v>
      </c>
      <c r="H116" s="736" t="e">
        <f t="shared" si="94"/>
        <v>#REF!</v>
      </c>
      <c r="I116" s="736" t="e">
        <f t="shared" si="94"/>
        <v>#REF!</v>
      </c>
      <c r="J116" s="736" t="e">
        <f t="shared" si="94"/>
        <v>#REF!</v>
      </c>
      <c r="K116" s="736" t="e">
        <f t="shared" si="94"/>
        <v>#REF!</v>
      </c>
      <c r="L116" s="736" t="e">
        <f t="shared" si="94"/>
        <v>#REF!</v>
      </c>
      <c r="M116" s="736" t="e">
        <f t="shared" si="94"/>
        <v>#REF!</v>
      </c>
      <c r="N116" s="736" t="e">
        <f t="shared" si="94"/>
        <v>#REF!</v>
      </c>
      <c r="O116" s="736" t="e">
        <f t="shared" si="94"/>
        <v>#REF!</v>
      </c>
      <c r="P116" s="736" t="e">
        <f t="shared" si="94"/>
        <v>#REF!</v>
      </c>
      <c r="Q116" s="736" t="e">
        <f t="shared" si="94"/>
        <v>#REF!</v>
      </c>
      <c r="R116" s="736" t="e">
        <f t="shared" si="94"/>
        <v>#REF!</v>
      </c>
      <c r="S116" s="736" t="e">
        <f t="shared" si="94"/>
        <v>#REF!</v>
      </c>
      <c r="T116" s="736" t="e">
        <f t="shared" si="94"/>
        <v>#REF!</v>
      </c>
      <c r="U116" s="736" t="e">
        <f t="shared" si="94"/>
        <v>#REF!</v>
      </c>
      <c r="V116" s="736" t="e">
        <f t="shared" si="94"/>
        <v>#REF!</v>
      </c>
      <c r="W116" s="736" t="e">
        <f t="shared" si="94"/>
        <v>#REF!</v>
      </c>
      <c r="X116" s="736" t="e">
        <f t="shared" si="94"/>
        <v>#REF!</v>
      </c>
      <c r="Y116" s="736" t="e">
        <f t="shared" si="94"/>
        <v>#REF!</v>
      </c>
      <c r="Z116" s="736" t="e">
        <f t="shared" si="94"/>
        <v>#REF!</v>
      </c>
      <c r="AA116" s="736" t="e">
        <f t="shared" ref="AA116" si="95">AA104+AA108</f>
        <v>#REF!</v>
      </c>
    </row>
    <row r="117" spans="1:27" ht="15">
      <c r="A117" s="730" t="s">
        <v>636</v>
      </c>
      <c r="B117" s="736" t="e">
        <f>B105+B109</f>
        <v>#REF!</v>
      </c>
      <c r="C117" s="736" t="e">
        <f t="shared" si="94"/>
        <v>#REF!</v>
      </c>
      <c r="D117" s="736" t="e">
        <f t="shared" si="94"/>
        <v>#REF!</v>
      </c>
      <c r="E117" s="736" t="e">
        <f t="shared" si="94"/>
        <v>#REF!</v>
      </c>
      <c r="F117" s="736" t="e">
        <f t="shared" si="94"/>
        <v>#REF!</v>
      </c>
      <c r="G117" s="736" t="e">
        <f t="shared" si="94"/>
        <v>#REF!</v>
      </c>
      <c r="H117" s="736" t="e">
        <f t="shared" si="94"/>
        <v>#REF!</v>
      </c>
      <c r="I117" s="736" t="e">
        <f t="shared" si="94"/>
        <v>#REF!</v>
      </c>
      <c r="J117" s="736" t="e">
        <f t="shared" si="94"/>
        <v>#REF!</v>
      </c>
      <c r="K117" s="736" t="e">
        <f t="shared" si="94"/>
        <v>#REF!</v>
      </c>
      <c r="L117" s="736" t="e">
        <f t="shared" si="94"/>
        <v>#REF!</v>
      </c>
      <c r="M117" s="736" t="e">
        <f t="shared" si="94"/>
        <v>#REF!</v>
      </c>
      <c r="N117" s="736" t="e">
        <f t="shared" si="94"/>
        <v>#REF!</v>
      </c>
      <c r="O117" s="736" t="e">
        <f t="shared" si="94"/>
        <v>#REF!</v>
      </c>
      <c r="P117" s="736" t="e">
        <f t="shared" si="94"/>
        <v>#REF!</v>
      </c>
      <c r="Q117" s="736" t="e">
        <f t="shared" si="94"/>
        <v>#REF!</v>
      </c>
      <c r="R117" s="736" t="e">
        <f t="shared" si="94"/>
        <v>#REF!</v>
      </c>
      <c r="S117" s="736" t="e">
        <f t="shared" si="94"/>
        <v>#REF!</v>
      </c>
      <c r="T117" s="736" t="e">
        <f t="shared" si="94"/>
        <v>#REF!</v>
      </c>
      <c r="U117" s="736" t="e">
        <f t="shared" si="94"/>
        <v>#REF!</v>
      </c>
      <c r="V117" s="736" t="e">
        <f t="shared" si="94"/>
        <v>#REF!</v>
      </c>
      <c r="W117" s="736" t="e">
        <f t="shared" si="94"/>
        <v>#REF!</v>
      </c>
      <c r="X117" s="736" t="e">
        <f t="shared" si="94"/>
        <v>#REF!</v>
      </c>
      <c r="Y117" s="736" t="e">
        <f t="shared" si="94"/>
        <v>#REF!</v>
      </c>
      <c r="Z117" s="736" t="e">
        <f t="shared" si="94"/>
        <v>#REF!</v>
      </c>
      <c r="AA117" s="736" t="e">
        <f t="shared" ref="AA117" si="96">AA105+AA109</f>
        <v>#REF!</v>
      </c>
    </row>
    <row r="118" spans="1:27">
      <c r="A118" s="760" t="s">
        <v>637</v>
      </c>
      <c r="B118" s="761" t="e">
        <f>B116+B117</f>
        <v>#REF!</v>
      </c>
      <c r="C118" s="761" t="e">
        <f t="shared" ref="C118:Z118" si="97">C116+C117</f>
        <v>#REF!</v>
      </c>
      <c r="D118" s="761" t="e">
        <f t="shared" si="97"/>
        <v>#REF!</v>
      </c>
      <c r="E118" s="761" t="e">
        <f t="shared" si="97"/>
        <v>#REF!</v>
      </c>
      <c r="F118" s="761" t="e">
        <f t="shared" si="97"/>
        <v>#REF!</v>
      </c>
      <c r="G118" s="761" t="e">
        <f t="shared" si="97"/>
        <v>#REF!</v>
      </c>
      <c r="H118" s="761" t="e">
        <f t="shared" si="97"/>
        <v>#REF!</v>
      </c>
      <c r="I118" s="761" t="e">
        <f t="shared" si="97"/>
        <v>#REF!</v>
      </c>
      <c r="J118" s="761" t="e">
        <f t="shared" si="97"/>
        <v>#REF!</v>
      </c>
      <c r="K118" s="761" t="e">
        <f t="shared" si="97"/>
        <v>#REF!</v>
      </c>
      <c r="L118" s="761" t="e">
        <f t="shared" si="97"/>
        <v>#REF!</v>
      </c>
      <c r="M118" s="761" t="e">
        <f t="shared" si="97"/>
        <v>#REF!</v>
      </c>
      <c r="N118" s="761" t="e">
        <f t="shared" si="97"/>
        <v>#REF!</v>
      </c>
      <c r="O118" s="761" t="e">
        <f t="shared" si="97"/>
        <v>#REF!</v>
      </c>
      <c r="P118" s="761" t="e">
        <f t="shared" si="97"/>
        <v>#REF!</v>
      </c>
      <c r="Q118" s="761" t="e">
        <f t="shared" si="97"/>
        <v>#REF!</v>
      </c>
      <c r="R118" s="761" t="e">
        <f t="shared" si="97"/>
        <v>#REF!</v>
      </c>
      <c r="S118" s="761" t="e">
        <f t="shared" si="97"/>
        <v>#REF!</v>
      </c>
      <c r="T118" s="761" t="e">
        <f t="shared" si="97"/>
        <v>#REF!</v>
      </c>
      <c r="U118" s="761" t="e">
        <f t="shared" si="97"/>
        <v>#REF!</v>
      </c>
      <c r="V118" s="761" t="e">
        <f t="shared" si="97"/>
        <v>#REF!</v>
      </c>
      <c r="W118" s="761" t="e">
        <f t="shared" si="97"/>
        <v>#REF!</v>
      </c>
      <c r="X118" s="761" t="e">
        <f t="shared" si="97"/>
        <v>#REF!</v>
      </c>
      <c r="Y118" s="761" t="e">
        <f t="shared" si="97"/>
        <v>#REF!</v>
      </c>
      <c r="Z118" s="761" t="e">
        <f t="shared" si="97"/>
        <v>#REF!</v>
      </c>
      <c r="AA118" s="761" t="e">
        <f t="shared" ref="AA118" si="98">AA116+AA117</f>
        <v>#REF!</v>
      </c>
    </row>
    <row r="119" spans="1:27" ht="15">
      <c r="B119" s="736"/>
      <c r="C119" s="736"/>
      <c r="D119" s="736"/>
      <c r="E119" s="736"/>
      <c r="F119" s="736"/>
      <c r="G119" s="736"/>
      <c r="H119" s="736"/>
      <c r="I119" s="736"/>
      <c r="J119" s="736"/>
      <c r="K119" s="736"/>
      <c r="L119" s="736"/>
      <c r="M119" s="736"/>
      <c r="N119" s="736"/>
      <c r="O119" s="736"/>
      <c r="P119" s="736"/>
      <c r="Q119" s="736"/>
      <c r="R119" s="736"/>
      <c r="S119" s="736"/>
      <c r="T119" s="736"/>
      <c r="U119" s="736"/>
      <c r="V119" s="736"/>
      <c r="W119" s="736"/>
      <c r="X119" s="736"/>
      <c r="Y119" s="736"/>
      <c r="Z119" s="736"/>
      <c r="AA119" s="736"/>
    </row>
    <row r="120" spans="1:27" ht="15">
      <c r="A120" s="730" t="s">
        <v>638</v>
      </c>
      <c r="B120" s="746" t="e">
        <f>B108+B112</f>
        <v>#REF!</v>
      </c>
      <c r="C120" s="746" t="e">
        <f t="shared" ref="C120:Z121" si="99">C108+C112</f>
        <v>#REF!</v>
      </c>
      <c r="D120" s="746" t="e">
        <f t="shared" si="99"/>
        <v>#REF!</v>
      </c>
      <c r="E120" s="746" t="e">
        <f t="shared" si="99"/>
        <v>#REF!</v>
      </c>
      <c r="F120" s="746" t="e">
        <f t="shared" si="99"/>
        <v>#REF!</v>
      </c>
      <c r="G120" s="746" t="e">
        <f t="shared" si="99"/>
        <v>#REF!</v>
      </c>
      <c r="H120" s="746" t="e">
        <f t="shared" si="99"/>
        <v>#REF!</v>
      </c>
      <c r="I120" s="746" t="e">
        <f t="shared" si="99"/>
        <v>#REF!</v>
      </c>
      <c r="J120" s="746" t="e">
        <f t="shared" si="99"/>
        <v>#REF!</v>
      </c>
      <c r="K120" s="746" t="e">
        <f t="shared" si="99"/>
        <v>#REF!</v>
      </c>
      <c r="L120" s="746" t="e">
        <f t="shared" si="99"/>
        <v>#REF!</v>
      </c>
      <c r="M120" s="746" t="e">
        <f t="shared" si="99"/>
        <v>#REF!</v>
      </c>
      <c r="N120" s="746" t="e">
        <f t="shared" si="99"/>
        <v>#REF!</v>
      </c>
      <c r="O120" s="746" t="e">
        <f t="shared" si="99"/>
        <v>#REF!</v>
      </c>
      <c r="P120" s="746" t="e">
        <f t="shared" si="99"/>
        <v>#REF!</v>
      </c>
      <c r="Q120" s="746" t="e">
        <f t="shared" si="99"/>
        <v>#REF!</v>
      </c>
      <c r="R120" s="746" t="e">
        <f t="shared" si="99"/>
        <v>#REF!</v>
      </c>
      <c r="S120" s="746" t="e">
        <f t="shared" si="99"/>
        <v>#REF!</v>
      </c>
      <c r="T120" s="746" t="e">
        <f t="shared" si="99"/>
        <v>#REF!</v>
      </c>
      <c r="U120" s="746" t="e">
        <f t="shared" si="99"/>
        <v>#REF!</v>
      </c>
      <c r="V120" s="746" t="e">
        <f t="shared" si="99"/>
        <v>#REF!</v>
      </c>
      <c r="W120" s="746" t="e">
        <f t="shared" si="99"/>
        <v>#REF!</v>
      </c>
      <c r="X120" s="746" t="e">
        <f t="shared" si="99"/>
        <v>#REF!</v>
      </c>
      <c r="Y120" s="746" t="e">
        <f t="shared" si="99"/>
        <v>#REF!</v>
      </c>
      <c r="Z120" s="746" t="e">
        <f t="shared" si="99"/>
        <v>#REF!</v>
      </c>
      <c r="AA120" s="746" t="e">
        <f t="shared" ref="AA120" si="100">AA108+AA112</f>
        <v>#REF!</v>
      </c>
    </row>
    <row r="121" spans="1:27" ht="15">
      <c r="A121" s="730" t="s">
        <v>639</v>
      </c>
      <c r="B121" s="746" t="e">
        <f>B109+B113</f>
        <v>#REF!</v>
      </c>
      <c r="C121" s="746" t="e">
        <f t="shared" si="99"/>
        <v>#REF!</v>
      </c>
      <c r="D121" s="746" t="e">
        <f t="shared" si="99"/>
        <v>#REF!</v>
      </c>
      <c r="E121" s="746" t="e">
        <f t="shared" si="99"/>
        <v>#REF!</v>
      </c>
      <c r="F121" s="746" t="e">
        <f t="shared" si="99"/>
        <v>#REF!</v>
      </c>
      <c r="G121" s="746" t="e">
        <f t="shared" si="99"/>
        <v>#REF!</v>
      </c>
      <c r="H121" s="746" t="e">
        <f t="shared" si="99"/>
        <v>#REF!</v>
      </c>
      <c r="I121" s="746" t="e">
        <f t="shared" si="99"/>
        <v>#REF!</v>
      </c>
      <c r="J121" s="746" t="e">
        <f t="shared" si="99"/>
        <v>#REF!</v>
      </c>
      <c r="K121" s="746" t="e">
        <f t="shared" si="99"/>
        <v>#REF!</v>
      </c>
      <c r="L121" s="746" t="e">
        <f t="shared" si="99"/>
        <v>#REF!</v>
      </c>
      <c r="M121" s="746" t="e">
        <f t="shared" si="99"/>
        <v>#REF!</v>
      </c>
      <c r="N121" s="746" t="e">
        <f t="shared" si="99"/>
        <v>#REF!</v>
      </c>
      <c r="O121" s="746" t="e">
        <f t="shared" si="99"/>
        <v>#REF!</v>
      </c>
      <c r="P121" s="746" t="e">
        <f t="shared" si="99"/>
        <v>#REF!</v>
      </c>
      <c r="Q121" s="746" t="e">
        <f t="shared" si="99"/>
        <v>#REF!</v>
      </c>
      <c r="R121" s="746" t="e">
        <f t="shared" si="99"/>
        <v>#REF!</v>
      </c>
      <c r="S121" s="746" t="e">
        <f t="shared" si="99"/>
        <v>#REF!</v>
      </c>
      <c r="T121" s="746" t="e">
        <f t="shared" si="99"/>
        <v>#REF!</v>
      </c>
      <c r="U121" s="746" t="e">
        <f t="shared" si="99"/>
        <v>#REF!</v>
      </c>
      <c r="V121" s="746" t="e">
        <f t="shared" si="99"/>
        <v>#REF!</v>
      </c>
      <c r="W121" s="746" t="e">
        <f t="shared" si="99"/>
        <v>#REF!</v>
      </c>
      <c r="X121" s="746" t="e">
        <f t="shared" si="99"/>
        <v>#REF!</v>
      </c>
      <c r="Y121" s="746" t="e">
        <f t="shared" si="99"/>
        <v>#REF!</v>
      </c>
      <c r="Z121" s="746" t="e">
        <f t="shared" si="99"/>
        <v>#REF!</v>
      </c>
      <c r="AA121" s="746" t="e">
        <f t="shared" ref="AA121" si="101">AA109+AA113</f>
        <v>#REF!</v>
      </c>
    </row>
    <row r="122" spans="1:27">
      <c r="A122" s="760" t="s">
        <v>640</v>
      </c>
      <c r="B122" s="761" t="e">
        <f>B120+B121</f>
        <v>#REF!</v>
      </c>
      <c r="C122" s="761" t="e">
        <f t="shared" ref="C122:Z122" si="102">C120+C121</f>
        <v>#REF!</v>
      </c>
      <c r="D122" s="761" t="e">
        <f t="shared" si="102"/>
        <v>#REF!</v>
      </c>
      <c r="E122" s="761" t="e">
        <f t="shared" si="102"/>
        <v>#REF!</v>
      </c>
      <c r="F122" s="761" t="e">
        <f t="shared" si="102"/>
        <v>#REF!</v>
      </c>
      <c r="G122" s="761" t="e">
        <f t="shared" si="102"/>
        <v>#REF!</v>
      </c>
      <c r="H122" s="761" t="e">
        <f t="shared" si="102"/>
        <v>#REF!</v>
      </c>
      <c r="I122" s="761" t="e">
        <f t="shared" si="102"/>
        <v>#REF!</v>
      </c>
      <c r="J122" s="761" t="e">
        <f t="shared" si="102"/>
        <v>#REF!</v>
      </c>
      <c r="K122" s="761" t="e">
        <f t="shared" si="102"/>
        <v>#REF!</v>
      </c>
      <c r="L122" s="761" t="e">
        <f t="shared" si="102"/>
        <v>#REF!</v>
      </c>
      <c r="M122" s="761" t="e">
        <f t="shared" si="102"/>
        <v>#REF!</v>
      </c>
      <c r="N122" s="761" t="e">
        <f t="shared" si="102"/>
        <v>#REF!</v>
      </c>
      <c r="O122" s="761" t="e">
        <f t="shared" si="102"/>
        <v>#REF!</v>
      </c>
      <c r="P122" s="761" t="e">
        <f t="shared" si="102"/>
        <v>#REF!</v>
      </c>
      <c r="Q122" s="761" t="e">
        <f t="shared" si="102"/>
        <v>#REF!</v>
      </c>
      <c r="R122" s="761" t="e">
        <f t="shared" si="102"/>
        <v>#REF!</v>
      </c>
      <c r="S122" s="761" t="e">
        <f t="shared" si="102"/>
        <v>#REF!</v>
      </c>
      <c r="T122" s="761" t="e">
        <f t="shared" si="102"/>
        <v>#REF!</v>
      </c>
      <c r="U122" s="761" t="e">
        <f t="shared" si="102"/>
        <v>#REF!</v>
      </c>
      <c r="V122" s="761" t="e">
        <f t="shared" si="102"/>
        <v>#REF!</v>
      </c>
      <c r="W122" s="761" t="e">
        <f t="shared" si="102"/>
        <v>#REF!</v>
      </c>
      <c r="X122" s="761" t="e">
        <f t="shared" si="102"/>
        <v>#REF!</v>
      </c>
      <c r="Y122" s="761" t="e">
        <f t="shared" si="102"/>
        <v>#REF!</v>
      </c>
      <c r="Z122" s="761" t="e">
        <f t="shared" si="102"/>
        <v>#REF!</v>
      </c>
      <c r="AA122" s="761" t="e">
        <f t="shared" ref="AA122" si="103">AA120+AA121</f>
        <v>#REF!</v>
      </c>
    </row>
    <row r="123" spans="1:27" ht="15">
      <c r="B123" s="736"/>
      <c r="C123" s="736"/>
      <c r="D123" s="736"/>
      <c r="E123" s="736"/>
      <c r="F123" s="736"/>
      <c r="G123" s="736"/>
      <c r="H123" s="736"/>
      <c r="I123" s="736"/>
      <c r="J123" s="736"/>
      <c r="K123" s="736"/>
      <c r="L123" s="736"/>
      <c r="M123" s="736"/>
      <c r="N123" s="736"/>
      <c r="O123" s="736"/>
      <c r="P123" s="736"/>
      <c r="Q123" s="736"/>
      <c r="R123" s="736"/>
      <c r="S123" s="736"/>
      <c r="T123" s="736"/>
      <c r="U123" s="736"/>
      <c r="V123" s="736"/>
      <c r="W123" s="736"/>
      <c r="X123" s="736"/>
      <c r="Y123" s="736"/>
      <c r="Z123" s="736"/>
      <c r="AA123" s="736"/>
    </row>
    <row r="124" spans="1:27" ht="15">
      <c r="A124" s="730" t="s">
        <v>641</v>
      </c>
      <c r="B124" s="736" t="e">
        <f>B104+B108+B112</f>
        <v>#REF!</v>
      </c>
      <c r="C124" s="736" t="e">
        <f t="shared" ref="C124:Z125" si="104">C104+C108+C112</f>
        <v>#REF!</v>
      </c>
      <c r="D124" s="736" t="e">
        <f t="shared" si="104"/>
        <v>#REF!</v>
      </c>
      <c r="E124" s="736" t="e">
        <f t="shared" si="104"/>
        <v>#REF!</v>
      </c>
      <c r="F124" s="736" t="e">
        <f t="shared" si="104"/>
        <v>#REF!</v>
      </c>
      <c r="G124" s="736" t="e">
        <f t="shared" si="104"/>
        <v>#REF!</v>
      </c>
      <c r="H124" s="736" t="e">
        <f t="shared" si="104"/>
        <v>#REF!</v>
      </c>
      <c r="I124" s="736" t="e">
        <f t="shared" si="104"/>
        <v>#REF!</v>
      </c>
      <c r="J124" s="736" t="e">
        <f t="shared" si="104"/>
        <v>#REF!</v>
      </c>
      <c r="K124" s="736" t="e">
        <f t="shared" si="104"/>
        <v>#REF!</v>
      </c>
      <c r="L124" s="736" t="e">
        <f t="shared" si="104"/>
        <v>#REF!</v>
      </c>
      <c r="M124" s="736" t="e">
        <f t="shared" si="104"/>
        <v>#REF!</v>
      </c>
      <c r="N124" s="736" t="e">
        <f t="shared" si="104"/>
        <v>#REF!</v>
      </c>
      <c r="O124" s="736" t="e">
        <f t="shared" si="104"/>
        <v>#REF!</v>
      </c>
      <c r="P124" s="736" t="e">
        <f t="shared" si="104"/>
        <v>#REF!</v>
      </c>
      <c r="Q124" s="736" t="e">
        <f t="shared" si="104"/>
        <v>#REF!</v>
      </c>
      <c r="R124" s="736" t="e">
        <f t="shared" si="104"/>
        <v>#REF!</v>
      </c>
      <c r="S124" s="736" t="e">
        <f t="shared" si="104"/>
        <v>#REF!</v>
      </c>
      <c r="T124" s="736" t="e">
        <f t="shared" si="104"/>
        <v>#REF!</v>
      </c>
      <c r="U124" s="736" t="e">
        <f t="shared" si="104"/>
        <v>#REF!</v>
      </c>
      <c r="V124" s="736" t="e">
        <f t="shared" si="104"/>
        <v>#REF!</v>
      </c>
      <c r="W124" s="736" t="e">
        <f t="shared" si="104"/>
        <v>#REF!</v>
      </c>
      <c r="X124" s="736" t="e">
        <f t="shared" si="104"/>
        <v>#REF!</v>
      </c>
      <c r="Y124" s="736" t="e">
        <f t="shared" si="104"/>
        <v>#REF!</v>
      </c>
      <c r="Z124" s="736" t="e">
        <f t="shared" si="104"/>
        <v>#REF!</v>
      </c>
      <c r="AA124" s="736" t="e">
        <f t="shared" ref="AA124" si="105">AA104+AA108+AA112</f>
        <v>#REF!</v>
      </c>
    </row>
    <row r="125" spans="1:27" ht="15">
      <c r="A125" s="730" t="s">
        <v>642</v>
      </c>
      <c r="B125" s="736" t="e">
        <f>B105+B109+B113</f>
        <v>#REF!</v>
      </c>
      <c r="C125" s="736" t="e">
        <f t="shared" si="104"/>
        <v>#REF!</v>
      </c>
      <c r="D125" s="736" t="e">
        <f t="shared" si="104"/>
        <v>#REF!</v>
      </c>
      <c r="E125" s="736" t="e">
        <f t="shared" si="104"/>
        <v>#REF!</v>
      </c>
      <c r="F125" s="736" t="e">
        <f t="shared" si="104"/>
        <v>#REF!</v>
      </c>
      <c r="G125" s="736" t="e">
        <f t="shared" si="104"/>
        <v>#REF!</v>
      </c>
      <c r="H125" s="736" t="e">
        <f t="shared" si="104"/>
        <v>#REF!</v>
      </c>
      <c r="I125" s="736" t="e">
        <f t="shared" si="104"/>
        <v>#REF!</v>
      </c>
      <c r="J125" s="736" t="e">
        <f t="shared" si="104"/>
        <v>#REF!</v>
      </c>
      <c r="K125" s="736" t="e">
        <f t="shared" si="104"/>
        <v>#REF!</v>
      </c>
      <c r="L125" s="736" t="e">
        <f t="shared" si="104"/>
        <v>#REF!</v>
      </c>
      <c r="M125" s="736" t="e">
        <f t="shared" si="104"/>
        <v>#REF!</v>
      </c>
      <c r="N125" s="736" t="e">
        <f t="shared" si="104"/>
        <v>#REF!</v>
      </c>
      <c r="O125" s="736" t="e">
        <f t="shared" si="104"/>
        <v>#REF!</v>
      </c>
      <c r="P125" s="736" t="e">
        <f t="shared" si="104"/>
        <v>#REF!</v>
      </c>
      <c r="Q125" s="736" t="e">
        <f t="shared" si="104"/>
        <v>#REF!</v>
      </c>
      <c r="R125" s="736" t="e">
        <f t="shared" si="104"/>
        <v>#REF!</v>
      </c>
      <c r="S125" s="736" t="e">
        <f t="shared" si="104"/>
        <v>#REF!</v>
      </c>
      <c r="T125" s="736" t="e">
        <f t="shared" si="104"/>
        <v>#REF!</v>
      </c>
      <c r="U125" s="736" t="e">
        <f t="shared" si="104"/>
        <v>#REF!</v>
      </c>
      <c r="V125" s="736" t="e">
        <f t="shared" si="104"/>
        <v>#REF!</v>
      </c>
      <c r="W125" s="736" t="e">
        <f t="shared" si="104"/>
        <v>#REF!</v>
      </c>
      <c r="X125" s="736" t="e">
        <f t="shared" si="104"/>
        <v>#REF!</v>
      </c>
      <c r="Y125" s="736" t="e">
        <f t="shared" si="104"/>
        <v>#REF!</v>
      </c>
      <c r="Z125" s="736" t="e">
        <f t="shared" si="104"/>
        <v>#REF!</v>
      </c>
      <c r="AA125" s="736" t="e">
        <f t="shared" ref="AA125" si="106">AA105+AA109+AA113</f>
        <v>#REF!</v>
      </c>
    </row>
    <row r="126" spans="1:27" ht="14" thickBot="1">
      <c r="A126" s="754" t="s">
        <v>262</v>
      </c>
      <c r="B126" s="762" t="e">
        <f>B124+B125</f>
        <v>#REF!</v>
      </c>
      <c r="C126" s="762" t="e">
        <f t="shared" ref="C126:Z126" si="107">C124+C125</f>
        <v>#REF!</v>
      </c>
      <c r="D126" s="762" t="e">
        <f t="shared" si="107"/>
        <v>#REF!</v>
      </c>
      <c r="E126" s="762" t="e">
        <f t="shared" si="107"/>
        <v>#REF!</v>
      </c>
      <c r="F126" s="762" t="e">
        <f t="shared" si="107"/>
        <v>#REF!</v>
      </c>
      <c r="G126" s="762" t="e">
        <f t="shared" si="107"/>
        <v>#REF!</v>
      </c>
      <c r="H126" s="762" t="e">
        <f t="shared" si="107"/>
        <v>#REF!</v>
      </c>
      <c r="I126" s="762" t="e">
        <f t="shared" si="107"/>
        <v>#REF!</v>
      </c>
      <c r="J126" s="762" t="e">
        <f t="shared" si="107"/>
        <v>#REF!</v>
      </c>
      <c r="K126" s="762" t="e">
        <f t="shared" si="107"/>
        <v>#REF!</v>
      </c>
      <c r="L126" s="762" t="e">
        <f t="shared" si="107"/>
        <v>#REF!</v>
      </c>
      <c r="M126" s="762" t="e">
        <f t="shared" si="107"/>
        <v>#REF!</v>
      </c>
      <c r="N126" s="762" t="e">
        <f t="shared" si="107"/>
        <v>#REF!</v>
      </c>
      <c r="O126" s="762" t="e">
        <f t="shared" si="107"/>
        <v>#REF!</v>
      </c>
      <c r="P126" s="762" t="e">
        <f t="shared" si="107"/>
        <v>#REF!</v>
      </c>
      <c r="Q126" s="762" t="e">
        <f t="shared" si="107"/>
        <v>#REF!</v>
      </c>
      <c r="R126" s="762" t="e">
        <f t="shared" si="107"/>
        <v>#REF!</v>
      </c>
      <c r="S126" s="762" t="e">
        <f t="shared" si="107"/>
        <v>#REF!</v>
      </c>
      <c r="T126" s="762" t="e">
        <f t="shared" si="107"/>
        <v>#REF!</v>
      </c>
      <c r="U126" s="762" t="e">
        <f t="shared" si="107"/>
        <v>#REF!</v>
      </c>
      <c r="V126" s="762" t="e">
        <f t="shared" si="107"/>
        <v>#REF!</v>
      </c>
      <c r="W126" s="762" t="e">
        <f t="shared" si="107"/>
        <v>#REF!</v>
      </c>
      <c r="X126" s="762" t="e">
        <f t="shared" si="107"/>
        <v>#REF!</v>
      </c>
      <c r="Y126" s="762" t="e">
        <f t="shared" si="107"/>
        <v>#REF!</v>
      </c>
      <c r="Z126" s="762" t="e">
        <f t="shared" si="107"/>
        <v>#REF!</v>
      </c>
      <c r="AA126" s="762" t="e">
        <f t="shared" ref="AA126" si="108">AA124+AA125</f>
        <v>#REF!</v>
      </c>
    </row>
    <row r="140" spans="1:27">
      <c r="A140" s="735" t="s">
        <v>643</v>
      </c>
      <c r="B140" s="735">
        <f>B$12</f>
        <v>2003</v>
      </c>
      <c r="C140" s="735">
        <f t="shared" ref="C140:AA140" si="109">C$12</f>
        <v>2004</v>
      </c>
      <c r="D140" s="735">
        <f t="shared" si="109"/>
        <v>2005</v>
      </c>
      <c r="E140" s="735">
        <f t="shared" si="109"/>
        <v>2006</v>
      </c>
      <c r="F140" s="735">
        <f t="shared" si="109"/>
        <v>2007</v>
      </c>
      <c r="G140" s="735">
        <f t="shared" si="109"/>
        <v>2008</v>
      </c>
      <c r="H140" s="735">
        <f t="shared" si="109"/>
        <v>2009</v>
      </c>
      <c r="I140" s="735">
        <f t="shared" si="109"/>
        <v>2010</v>
      </c>
      <c r="J140" s="735">
        <f t="shared" si="109"/>
        <v>2011</v>
      </c>
      <c r="K140" s="735">
        <f t="shared" si="109"/>
        <v>2012</v>
      </c>
      <c r="L140" s="735">
        <f t="shared" si="109"/>
        <v>2013</v>
      </c>
      <c r="M140" s="735">
        <f t="shared" si="109"/>
        <v>2014</v>
      </c>
      <c r="N140" s="735">
        <f t="shared" si="109"/>
        <v>2015</v>
      </c>
      <c r="O140" s="735">
        <f t="shared" si="109"/>
        <v>2016</v>
      </c>
      <c r="P140" s="735">
        <f t="shared" si="109"/>
        <v>2017</v>
      </c>
      <c r="Q140" s="735">
        <f t="shared" si="109"/>
        <v>2018</v>
      </c>
      <c r="R140" s="735">
        <f t="shared" si="109"/>
        <v>2019</v>
      </c>
      <c r="S140" s="735">
        <f t="shared" si="109"/>
        <v>2020</v>
      </c>
      <c r="T140" s="735">
        <f t="shared" si="109"/>
        <v>2021</v>
      </c>
      <c r="U140" s="735">
        <f t="shared" si="109"/>
        <v>2022</v>
      </c>
      <c r="V140" s="735">
        <f t="shared" si="109"/>
        <v>2023</v>
      </c>
      <c r="W140" s="735">
        <f t="shared" si="109"/>
        <v>2024</v>
      </c>
      <c r="X140" s="735">
        <f t="shared" si="109"/>
        <v>2025</v>
      </c>
      <c r="Y140" s="735">
        <f t="shared" si="109"/>
        <v>2026</v>
      </c>
      <c r="Z140" s="735">
        <f t="shared" si="109"/>
        <v>2027</v>
      </c>
      <c r="AA140" s="735">
        <f t="shared" si="109"/>
        <v>2028</v>
      </c>
    </row>
    <row r="142" spans="1:27" ht="15">
      <c r="A142" s="730" t="s">
        <v>644</v>
      </c>
      <c r="B142" s="742" t="e">
        <f>#REF!/$B$6</f>
        <v>#REF!</v>
      </c>
      <c r="C142" s="742" t="e">
        <f>#REF!/$B$6</f>
        <v>#REF!</v>
      </c>
      <c r="D142" s="742" t="e">
        <f>#REF!/$B$6</f>
        <v>#REF!</v>
      </c>
      <c r="E142" s="742" t="e">
        <f>#REF!/$B$6</f>
        <v>#REF!</v>
      </c>
      <c r="F142" s="742" t="e">
        <f>#REF!/$B$6</f>
        <v>#REF!</v>
      </c>
      <c r="G142" s="742" t="e">
        <f>#REF!/$B$6</f>
        <v>#REF!</v>
      </c>
      <c r="H142" s="742" t="e">
        <f>#REF!/$B$6</f>
        <v>#REF!</v>
      </c>
      <c r="I142" s="742" t="e">
        <f>#REF!/$B$6</f>
        <v>#REF!</v>
      </c>
      <c r="J142" s="742" t="e">
        <f>#REF!/$B$6</f>
        <v>#REF!</v>
      </c>
      <c r="K142" s="742" t="e">
        <f>#REF!/$B$6</f>
        <v>#REF!</v>
      </c>
      <c r="L142" s="742" t="e">
        <f>#REF!/$B$6</f>
        <v>#REF!</v>
      </c>
      <c r="M142" s="742" t="e">
        <f>#REF!/$B$6</f>
        <v>#REF!</v>
      </c>
      <c r="N142" s="742" t="e">
        <f>#REF!/$B$6</f>
        <v>#REF!</v>
      </c>
      <c r="O142" s="742" t="e">
        <f>#REF!/$B$6</f>
        <v>#REF!</v>
      </c>
      <c r="P142" s="742" t="e">
        <f>#REF!/$B$6</f>
        <v>#REF!</v>
      </c>
      <c r="Q142" s="742" t="e">
        <f>#REF!/$B$6</f>
        <v>#REF!</v>
      </c>
      <c r="R142" s="742" t="e">
        <f>#REF!/$B$6</f>
        <v>#REF!</v>
      </c>
      <c r="S142" s="742" t="e">
        <f>#REF!/$B$6</f>
        <v>#REF!</v>
      </c>
      <c r="T142" s="742" t="e">
        <f>#REF!/$B$6</f>
        <v>#REF!</v>
      </c>
      <c r="U142" s="742" t="e">
        <f>#REF!/$B$6</f>
        <v>#REF!</v>
      </c>
      <c r="V142" s="742" t="e">
        <f>#REF!/$B$6</f>
        <v>#REF!</v>
      </c>
      <c r="W142" s="742" t="e">
        <f>#REF!/$B$6</f>
        <v>#REF!</v>
      </c>
      <c r="X142" s="742" t="e">
        <f>#REF!/$B$6</f>
        <v>#REF!</v>
      </c>
      <c r="Y142" s="742" t="e">
        <f>#REF!/$B$6</f>
        <v>#REF!</v>
      </c>
      <c r="Z142" s="742" t="e">
        <f>#REF!/$B$6</f>
        <v>#REF!</v>
      </c>
      <c r="AA142" s="742" t="e">
        <f>#REF!/$B$6</f>
        <v>#REF!</v>
      </c>
    </row>
    <row r="143" spans="1:27" ht="15">
      <c r="A143" s="730" t="s">
        <v>645</v>
      </c>
      <c r="B143" s="742" t="e">
        <f>#REF!/$B$6</f>
        <v>#REF!</v>
      </c>
      <c r="C143" s="742" t="e">
        <f>#REF!/$B$6</f>
        <v>#REF!</v>
      </c>
      <c r="D143" s="742" t="e">
        <f>#REF!/$B$6</f>
        <v>#REF!</v>
      </c>
      <c r="E143" s="742" t="e">
        <f>#REF!/$B$6</f>
        <v>#REF!</v>
      </c>
      <c r="F143" s="742" t="e">
        <f>#REF!/$B$6</f>
        <v>#REF!</v>
      </c>
      <c r="G143" s="742" t="e">
        <f>#REF!/$B$6</f>
        <v>#REF!</v>
      </c>
      <c r="H143" s="742" t="e">
        <f>#REF!/$B$6</f>
        <v>#REF!</v>
      </c>
      <c r="I143" s="742" t="e">
        <f>#REF!/$B$6</f>
        <v>#REF!</v>
      </c>
      <c r="J143" s="742" t="e">
        <f>#REF!/$B$6</f>
        <v>#REF!</v>
      </c>
      <c r="K143" s="742" t="e">
        <f>#REF!/$B$6</f>
        <v>#REF!</v>
      </c>
      <c r="L143" s="742" t="e">
        <f>#REF!/$B$6</f>
        <v>#REF!</v>
      </c>
      <c r="M143" s="742" t="e">
        <f>#REF!/$B$6</f>
        <v>#REF!</v>
      </c>
      <c r="N143" s="742" t="e">
        <f>#REF!/$B$6</f>
        <v>#REF!</v>
      </c>
      <c r="O143" s="742" t="e">
        <f>#REF!/$B$6</f>
        <v>#REF!</v>
      </c>
      <c r="P143" s="742" t="e">
        <f>#REF!/$B$6</f>
        <v>#REF!</v>
      </c>
      <c r="Q143" s="742" t="e">
        <f>#REF!/$B$6</f>
        <v>#REF!</v>
      </c>
      <c r="R143" s="742" t="e">
        <f>#REF!/$B$6</f>
        <v>#REF!</v>
      </c>
      <c r="S143" s="742" t="e">
        <f>#REF!/$B$6</f>
        <v>#REF!</v>
      </c>
      <c r="T143" s="742" t="e">
        <f>#REF!/$B$6</f>
        <v>#REF!</v>
      </c>
      <c r="U143" s="742" t="e">
        <f>#REF!/$B$6</f>
        <v>#REF!</v>
      </c>
      <c r="V143" s="742" t="e">
        <f>#REF!/$B$6</f>
        <v>#REF!</v>
      </c>
      <c r="W143" s="742" t="e">
        <f>#REF!/$B$6</f>
        <v>#REF!</v>
      </c>
      <c r="X143" s="742" t="e">
        <f>#REF!/$B$6</f>
        <v>#REF!</v>
      </c>
      <c r="Y143" s="742" t="e">
        <f>#REF!/$B$6</f>
        <v>#REF!</v>
      </c>
      <c r="Z143" s="742" t="e">
        <f>#REF!/$B$6</f>
        <v>#REF!</v>
      </c>
      <c r="AA143" s="742" t="e">
        <f>#REF!/$B$6</f>
        <v>#REF!</v>
      </c>
    </row>
    <row r="144" spans="1:27">
      <c r="A144" s="732" t="s">
        <v>646</v>
      </c>
      <c r="B144" s="745" t="e">
        <f>#REF!/$B$6</f>
        <v>#REF!</v>
      </c>
      <c r="C144" s="745" t="e">
        <f>#REF!/$B$6</f>
        <v>#REF!</v>
      </c>
      <c r="D144" s="745" t="e">
        <f>#REF!/$B$6</f>
        <v>#REF!</v>
      </c>
      <c r="E144" s="745" t="e">
        <f>#REF!/$B$6</f>
        <v>#REF!</v>
      </c>
      <c r="F144" s="745" t="e">
        <f>#REF!/$B$6</f>
        <v>#REF!</v>
      </c>
      <c r="G144" s="745" t="e">
        <f>#REF!/$B$6</f>
        <v>#REF!</v>
      </c>
      <c r="H144" s="745" t="e">
        <f>#REF!/$B$6</f>
        <v>#REF!</v>
      </c>
      <c r="I144" s="745" t="e">
        <f>#REF!/$B$6</f>
        <v>#REF!</v>
      </c>
      <c r="J144" s="745" t="e">
        <f>#REF!/$B$6</f>
        <v>#REF!</v>
      </c>
      <c r="K144" s="745" t="e">
        <f>#REF!/$B$6</f>
        <v>#REF!</v>
      </c>
      <c r="L144" s="745" t="e">
        <f>#REF!/$B$6</f>
        <v>#REF!</v>
      </c>
      <c r="M144" s="745" t="e">
        <f>#REF!/$B$6</f>
        <v>#REF!</v>
      </c>
      <c r="N144" s="745" t="e">
        <f>#REF!/$B$6</f>
        <v>#REF!</v>
      </c>
      <c r="O144" s="745" t="e">
        <f>#REF!/$B$6</f>
        <v>#REF!</v>
      </c>
      <c r="P144" s="745" t="e">
        <f>#REF!/$B$6</f>
        <v>#REF!</v>
      </c>
      <c r="Q144" s="745" t="e">
        <f>#REF!/$B$6</f>
        <v>#REF!</v>
      </c>
      <c r="R144" s="745" t="e">
        <f>#REF!/$B$6</f>
        <v>#REF!</v>
      </c>
      <c r="S144" s="745" t="e">
        <f>#REF!/$B$6</f>
        <v>#REF!</v>
      </c>
      <c r="T144" s="745" t="e">
        <f>#REF!/$B$6</f>
        <v>#REF!</v>
      </c>
      <c r="U144" s="745" t="e">
        <f>#REF!/$B$6</f>
        <v>#REF!</v>
      </c>
      <c r="V144" s="745" t="e">
        <f>#REF!/$B$6</f>
        <v>#REF!</v>
      </c>
      <c r="W144" s="745" t="e">
        <f>#REF!/$B$6</f>
        <v>#REF!</v>
      </c>
      <c r="X144" s="745" t="e">
        <f>#REF!/$B$6</f>
        <v>#REF!</v>
      </c>
      <c r="Y144" s="745" t="e">
        <f>#REF!/$B$6</f>
        <v>#REF!</v>
      </c>
      <c r="Z144" s="745" t="e">
        <f>#REF!/$B$6</f>
        <v>#REF!</v>
      </c>
      <c r="AA144" s="745" t="e">
        <f>#REF!/$B$6</f>
        <v>#REF!</v>
      </c>
    </row>
    <row r="146" spans="1:27" ht="15">
      <c r="A146" s="730" t="s">
        <v>647</v>
      </c>
      <c r="B146" s="742" t="e">
        <f>#REF!/$B$6</f>
        <v>#REF!</v>
      </c>
      <c r="C146" s="742" t="e">
        <f>#REF!/$B$6</f>
        <v>#REF!</v>
      </c>
      <c r="D146" s="742" t="e">
        <f>#REF!/$B$6</f>
        <v>#REF!</v>
      </c>
      <c r="E146" s="742" t="e">
        <f>#REF!/$B$6</f>
        <v>#REF!</v>
      </c>
      <c r="F146" s="742" t="e">
        <f>#REF!/$B$6</f>
        <v>#REF!</v>
      </c>
      <c r="G146" s="742" t="e">
        <f>#REF!/$B$6</f>
        <v>#REF!</v>
      </c>
      <c r="H146" s="742" t="e">
        <f>#REF!/$B$6</f>
        <v>#REF!</v>
      </c>
      <c r="I146" s="742" t="e">
        <f>#REF!/$B$6</f>
        <v>#REF!</v>
      </c>
      <c r="J146" s="742" t="e">
        <f>#REF!/$B$6</f>
        <v>#REF!</v>
      </c>
      <c r="K146" s="742" t="e">
        <f>#REF!/$B$6</f>
        <v>#REF!</v>
      </c>
      <c r="L146" s="742" t="e">
        <f>#REF!/$B$6</f>
        <v>#REF!</v>
      </c>
      <c r="M146" s="742" t="e">
        <f>#REF!/$B$6</f>
        <v>#REF!</v>
      </c>
      <c r="N146" s="742" t="e">
        <f>#REF!/$B$6</f>
        <v>#REF!</v>
      </c>
      <c r="O146" s="742" t="e">
        <f>#REF!/$B$6</f>
        <v>#REF!</v>
      </c>
      <c r="P146" s="742" t="e">
        <f>#REF!/$B$6</f>
        <v>#REF!</v>
      </c>
      <c r="Q146" s="742" t="e">
        <f>#REF!/$B$6</f>
        <v>#REF!</v>
      </c>
      <c r="R146" s="742" t="e">
        <f>#REF!/$B$6</f>
        <v>#REF!</v>
      </c>
      <c r="S146" s="742" t="e">
        <f>#REF!/$B$6</f>
        <v>#REF!</v>
      </c>
      <c r="T146" s="742" t="e">
        <f>#REF!/$B$6</f>
        <v>#REF!</v>
      </c>
      <c r="U146" s="742" t="e">
        <f>#REF!/$B$6</f>
        <v>#REF!</v>
      </c>
      <c r="V146" s="742" t="e">
        <f>#REF!/$B$6</f>
        <v>#REF!</v>
      </c>
      <c r="W146" s="742" t="e">
        <f>#REF!/$B$6</f>
        <v>#REF!</v>
      </c>
      <c r="X146" s="742" t="e">
        <f>#REF!/$B$6</f>
        <v>#REF!</v>
      </c>
      <c r="Y146" s="742" t="e">
        <f>#REF!/$B$6</f>
        <v>#REF!</v>
      </c>
      <c r="Z146" s="742" t="e">
        <f>#REF!/$B$6</f>
        <v>#REF!</v>
      </c>
      <c r="AA146" s="742" t="e">
        <f>#REF!/$B$6</f>
        <v>#REF!</v>
      </c>
    </row>
    <row r="147" spans="1:27" ht="15">
      <c r="A147" s="730" t="s">
        <v>648</v>
      </c>
      <c r="B147" s="742" t="e">
        <f>#REF!/$B$6</f>
        <v>#REF!</v>
      </c>
      <c r="C147" s="742" t="e">
        <f>#REF!/$B$6</f>
        <v>#REF!</v>
      </c>
      <c r="D147" s="742" t="e">
        <f>#REF!/$B$6</f>
        <v>#REF!</v>
      </c>
      <c r="E147" s="742" t="e">
        <f>#REF!/$B$6</f>
        <v>#REF!</v>
      </c>
      <c r="F147" s="742" t="e">
        <f>#REF!/$B$6</f>
        <v>#REF!</v>
      </c>
      <c r="G147" s="742" t="e">
        <f>#REF!/$B$6</f>
        <v>#REF!</v>
      </c>
      <c r="H147" s="742" t="e">
        <f>#REF!/$B$6</f>
        <v>#REF!</v>
      </c>
      <c r="I147" s="742" t="e">
        <f>#REF!/$B$6</f>
        <v>#REF!</v>
      </c>
      <c r="J147" s="742" t="e">
        <f>#REF!/$B$6</f>
        <v>#REF!</v>
      </c>
      <c r="K147" s="742" t="e">
        <f>#REF!/$B$6</f>
        <v>#REF!</v>
      </c>
      <c r="L147" s="742" t="e">
        <f>#REF!/$B$6</f>
        <v>#REF!</v>
      </c>
      <c r="M147" s="742" t="e">
        <f>#REF!/$B$6</f>
        <v>#REF!</v>
      </c>
      <c r="N147" s="742" t="e">
        <f>#REF!/$B$6</f>
        <v>#REF!</v>
      </c>
      <c r="O147" s="742" t="e">
        <f>#REF!/$B$6</f>
        <v>#REF!</v>
      </c>
      <c r="P147" s="742" t="e">
        <f>#REF!/$B$6</f>
        <v>#REF!</v>
      </c>
      <c r="Q147" s="742" t="e">
        <f>#REF!/$B$6</f>
        <v>#REF!</v>
      </c>
      <c r="R147" s="742" t="e">
        <f>#REF!/$B$6</f>
        <v>#REF!</v>
      </c>
      <c r="S147" s="742" t="e">
        <f>#REF!/$B$6</f>
        <v>#REF!</v>
      </c>
      <c r="T147" s="742" t="e">
        <f>#REF!/$B$6</f>
        <v>#REF!</v>
      </c>
      <c r="U147" s="742" t="e">
        <f>#REF!/$B$6</f>
        <v>#REF!</v>
      </c>
      <c r="V147" s="742" t="e">
        <f>#REF!/$B$6</f>
        <v>#REF!</v>
      </c>
      <c r="W147" s="742" t="e">
        <f>#REF!/$B$6</f>
        <v>#REF!</v>
      </c>
      <c r="X147" s="742" t="e">
        <f>#REF!/$B$6</f>
        <v>#REF!</v>
      </c>
      <c r="Y147" s="742" t="e">
        <f>#REF!/$B$6</f>
        <v>#REF!</v>
      </c>
      <c r="Z147" s="742" t="e">
        <f>#REF!/$B$6</f>
        <v>#REF!</v>
      </c>
      <c r="AA147" s="742" t="e">
        <f>#REF!/$B$6</f>
        <v>#REF!</v>
      </c>
    </row>
    <row r="148" spans="1:27">
      <c r="A148" s="732" t="s">
        <v>646</v>
      </c>
      <c r="B148" s="745" t="e">
        <f>#REF!/$B$6</f>
        <v>#REF!</v>
      </c>
      <c r="C148" s="745" t="e">
        <f>#REF!/$B$6</f>
        <v>#REF!</v>
      </c>
      <c r="D148" s="745" t="e">
        <f>#REF!/$B$6</f>
        <v>#REF!</v>
      </c>
      <c r="E148" s="745" t="e">
        <f>#REF!/$B$6</f>
        <v>#REF!</v>
      </c>
      <c r="F148" s="745" t="e">
        <f>#REF!/$B$6</f>
        <v>#REF!</v>
      </c>
      <c r="G148" s="745" t="e">
        <f>#REF!/$B$6</f>
        <v>#REF!</v>
      </c>
      <c r="H148" s="745" t="e">
        <f>#REF!/$B$6</f>
        <v>#REF!</v>
      </c>
      <c r="I148" s="745" t="e">
        <f>#REF!/$B$6</f>
        <v>#REF!</v>
      </c>
      <c r="J148" s="745" t="e">
        <f>#REF!/$B$6</f>
        <v>#REF!</v>
      </c>
      <c r="K148" s="745" t="e">
        <f>#REF!/$B$6</f>
        <v>#REF!</v>
      </c>
      <c r="L148" s="745" t="e">
        <f>#REF!/$B$6</f>
        <v>#REF!</v>
      </c>
      <c r="M148" s="745" t="e">
        <f>#REF!/$B$6</f>
        <v>#REF!</v>
      </c>
      <c r="N148" s="745" t="e">
        <f>#REF!/$B$6</f>
        <v>#REF!</v>
      </c>
      <c r="O148" s="745" t="e">
        <f>#REF!/$B$6</f>
        <v>#REF!</v>
      </c>
      <c r="P148" s="745" t="e">
        <f>#REF!/$B$6</f>
        <v>#REF!</v>
      </c>
      <c r="Q148" s="745" t="e">
        <f>#REF!/$B$6</f>
        <v>#REF!</v>
      </c>
      <c r="R148" s="745" t="e">
        <f>#REF!/$B$6</f>
        <v>#REF!</v>
      </c>
      <c r="S148" s="745" t="e">
        <f>#REF!/$B$6</f>
        <v>#REF!</v>
      </c>
      <c r="T148" s="745" t="e">
        <f>#REF!/$B$6</f>
        <v>#REF!</v>
      </c>
      <c r="U148" s="745" t="e">
        <f>#REF!/$B$6</f>
        <v>#REF!</v>
      </c>
      <c r="V148" s="745" t="e">
        <f>#REF!/$B$6</f>
        <v>#REF!</v>
      </c>
      <c r="W148" s="745" t="e">
        <f>#REF!/$B$6</f>
        <v>#REF!</v>
      </c>
      <c r="X148" s="745" t="e">
        <f>#REF!/$B$6</f>
        <v>#REF!</v>
      </c>
      <c r="Y148" s="745" t="e">
        <f>#REF!/$B$6</f>
        <v>#REF!</v>
      </c>
      <c r="Z148" s="745" t="e">
        <f>#REF!/$B$6</f>
        <v>#REF!</v>
      </c>
      <c r="AA148" s="745" t="e">
        <f>#REF!/$B$6</f>
        <v>#REF!</v>
      </c>
    </row>
    <row r="150" spans="1:27" ht="15">
      <c r="A150" s="730" t="s">
        <v>649</v>
      </c>
      <c r="B150" s="742" t="e">
        <f>#REF!/$B$6</f>
        <v>#REF!</v>
      </c>
      <c r="C150" s="742" t="e">
        <f>#REF!/$B$6</f>
        <v>#REF!</v>
      </c>
      <c r="D150" s="742" t="e">
        <f>#REF!/$B$6</f>
        <v>#REF!</v>
      </c>
      <c r="E150" s="742" t="e">
        <f>#REF!/$B$6</f>
        <v>#REF!</v>
      </c>
      <c r="F150" s="742" t="e">
        <f>#REF!/$B$6</f>
        <v>#REF!</v>
      </c>
      <c r="G150" s="742" t="e">
        <f>#REF!/$B$6</f>
        <v>#REF!</v>
      </c>
      <c r="H150" s="742" t="e">
        <f>#REF!/$B$6</f>
        <v>#REF!</v>
      </c>
      <c r="I150" s="742" t="e">
        <f>#REF!/$B$6</f>
        <v>#REF!</v>
      </c>
      <c r="J150" s="742" t="e">
        <f>#REF!/$B$6</f>
        <v>#REF!</v>
      </c>
      <c r="K150" s="742" t="e">
        <f>#REF!/$B$6</f>
        <v>#REF!</v>
      </c>
      <c r="L150" s="742" t="e">
        <f>#REF!/$B$6</f>
        <v>#REF!</v>
      </c>
      <c r="M150" s="742" t="e">
        <f>#REF!/$B$6</f>
        <v>#REF!</v>
      </c>
      <c r="N150" s="742" t="e">
        <f>#REF!/$B$6</f>
        <v>#REF!</v>
      </c>
      <c r="O150" s="742" t="e">
        <f>#REF!/$B$6</f>
        <v>#REF!</v>
      </c>
      <c r="P150" s="742" t="e">
        <f>#REF!/$B$6</f>
        <v>#REF!</v>
      </c>
      <c r="Q150" s="742" t="e">
        <f>#REF!/$B$6</f>
        <v>#REF!</v>
      </c>
      <c r="R150" s="742" t="e">
        <f>#REF!/$B$6</f>
        <v>#REF!</v>
      </c>
      <c r="S150" s="742" t="e">
        <f>#REF!/$B$6</f>
        <v>#REF!</v>
      </c>
      <c r="T150" s="742" t="e">
        <f>#REF!/$B$6</f>
        <v>#REF!</v>
      </c>
      <c r="U150" s="742" t="e">
        <f>#REF!/$B$6</f>
        <v>#REF!</v>
      </c>
      <c r="V150" s="742" t="e">
        <f>#REF!/$B$6</f>
        <v>#REF!</v>
      </c>
      <c r="W150" s="742" t="e">
        <f>#REF!/$B$6</f>
        <v>#REF!</v>
      </c>
      <c r="X150" s="742" t="e">
        <f>#REF!/$B$6</f>
        <v>#REF!</v>
      </c>
      <c r="Y150" s="742" t="e">
        <f>#REF!/$B$6</f>
        <v>#REF!</v>
      </c>
      <c r="Z150" s="742" t="e">
        <f>#REF!/$B$6</f>
        <v>#REF!</v>
      </c>
      <c r="AA150" s="742" t="e">
        <f>#REF!/$B$6</f>
        <v>#REF!</v>
      </c>
    </row>
    <row r="151" spans="1:27" ht="15">
      <c r="A151" s="730" t="s">
        <v>650</v>
      </c>
      <c r="B151" s="742" t="e">
        <f>#REF!/$B$6</f>
        <v>#REF!</v>
      </c>
      <c r="C151" s="742" t="e">
        <f>#REF!/$B$6</f>
        <v>#REF!</v>
      </c>
      <c r="D151" s="742" t="e">
        <f>#REF!/$B$6</f>
        <v>#REF!</v>
      </c>
      <c r="E151" s="742" t="e">
        <f>#REF!/$B$6</f>
        <v>#REF!</v>
      </c>
      <c r="F151" s="742" t="e">
        <f>#REF!/$B$6</f>
        <v>#REF!</v>
      </c>
      <c r="G151" s="742" t="e">
        <f>#REF!/$B$6</f>
        <v>#REF!</v>
      </c>
      <c r="H151" s="742" t="e">
        <f>#REF!/$B$6</f>
        <v>#REF!</v>
      </c>
      <c r="I151" s="742" t="e">
        <f>#REF!/$B$6</f>
        <v>#REF!</v>
      </c>
      <c r="J151" s="742" t="e">
        <f>#REF!/$B$6</f>
        <v>#REF!</v>
      </c>
      <c r="K151" s="742" t="e">
        <f>#REF!/$B$6</f>
        <v>#REF!</v>
      </c>
      <c r="L151" s="742" t="e">
        <f>#REF!/$B$6</f>
        <v>#REF!</v>
      </c>
      <c r="M151" s="742" t="e">
        <f>#REF!/$B$6</f>
        <v>#REF!</v>
      </c>
      <c r="N151" s="742" t="e">
        <f>#REF!/$B$6</f>
        <v>#REF!</v>
      </c>
      <c r="O151" s="742" t="e">
        <f>#REF!/$B$6</f>
        <v>#REF!</v>
      </c>
      <c r="P151" s="742" t="e">
        <f>#REF!/$B$6</f>
        <v>#REF!</v>
      </c>
      <c r="Q151" s="742" t="e">
        <f>#REF!/$B$6</f>
        <v>#REF!</v>
      </c>
      <c r="R151" s="742" t="e">
        <f>#REF!/$B$6</f>
        <v>#REF!</v>
      </c>
      <c r="S151" s="742" t="e">
        <f>#REF!/$B$6</f>
        <v>#REF!</v>
      </c>
      <c r="T151" s="742" t="e">
        <f>#REF!/$B$6</f>
        <v>#REF!</v>
      </c>
      <c r="U151" s="742" t="e">
        <f>#REF!/$B$6</f>
        <v>#REF!</v>
      </c>
      <c r="V151" s="742" t="e">
        <f>#REF!/$B$6</f>
        <v>#REF!</v>
      </c>
      <c r="W151" s="742" t="e">
        <f>#REF!/$B$6</f>
        <v>#REF!</v>
      </c>
      <c r="X151" s="742" t="e">
        <f>#REF!/$B$6</f>
        <v>#REF!</v>
      </c>
      <c r="Y151" s="742" t="e">
        <f>#REF!/$B$6</f>
        <v>#REF!</v>
      </c>
      <c r="Z151" s="742" t="e">
        <f>#REF!/$B$6</f>
        <v>#REF!</v>
      </c>
      <c r="AA151" s="742" t="e">
        <f>#REF!/$B$6</f>
        <v>#REF!</v>
      </c>
    </row>
    <row r="152" spans="1:27">
      <c r="A152" s="732" t="s">
        <v>651</v>
      </c>
      <c r="B152" s="745" t="e">
        <f>#REF!/$B$6</f>
        <v>#REF!</v>
      </c>
      <c r="C152" s="745" t="e">
        <f>#REF!/$B$6</f>
        <v>#REF!</v>
      </c>
      <c r="D152" s="745" t="e">
        <f>#REF!/$B$6</f>
        <v>#REF!</v>
      </c>
      <c r="E152" s="745" t="e">
        <f>#REF!/$B$6</f>
        <v>#REF!</v>
      </c>
      <c r="F152" s="745" t="e">
        <f>#REF!/$B$6</f>
        <v>#REF!</v>
      </c>
      <c r="G152" s="745" t="e">
        <f>#REF!/$B$6</f>
        <v>#REF!</v>
      </c>
      <c r="H152" s="745" t="e">
        <f>#REF!/$B$6</f>
        <v>#REF!</v>
      </c>
      <c r="I152" s="745" t="e">
        <f>#REF!/$B$6</f>
        <v>#REF!</v>
      </c>
      <c r="J152" s="745" t="e">
        <f>#REF!/$B$6</f>
        <v>#REF!</v>
      </c>
      <c r="K152" s="745" t="e">
        <f>#REF!/$B$6</f>
        <v>#REF!</v>
      </c>
      <c r="L152" s="745" t="e">
        <f>#REF!/$B$6</f>
        <v>#REF!</v>
      </c>
      <c r="M152" s="745" t="e">
        <f>#REF!/$B$6</f>
        <v>#REF!</v>
      </c>
      <c r="N152" s="745" t="e">
        <f>#REF!/$B$6</f>
        <v>#REF!</v>
      </c>
      <c r="O152" s="745" t="e">
        <f>#REF!/$B$6</f>
        <v>#REF!</v>
      </c>
      <c r="P152" s="745" t="e">
        <f>#REF!/$B$6</f>
        <v>#REF!</v>
      </c>
      <c r="Q152" s="745" t="e">
        <f>#REF!/$B$6</f>
        <v>#REF!</v>
      </c>
      <c r="R152" s="745" t="e">
        <f>#REF!/$B$6</f>
        <v>#REF!</v>
      </c>
      <c r="S152" s="745" t="e">
        <f>#REF!/$B$6</f>
        <v>#REF!</v>
      </c>
      <c r="T152" s="745" t="e">
        <f>#REF!/$B$6</f>
        <v>#REF!</v>
      </c>
      <c r="U152" s="745" t="e">
        <f>#REF!/$B$6</f>
        <v>#REF!</v>
      </c>
      <c r="V152" s="745" t="e">
        <f>#REF!/$B$6</f>
        <v>#REF!</v>
      </c>
      <c r="W152" s="745" t="e">
        <f>#REF!/$B$6</f>
        <v>#REF!</v>
      </c>
      <c r="X152" s="745" t="e">
        <f>#REF!/$B$6</f>
        <v>#REF!</v>
      </c>
      <c r="Y152" s="745" t="e">
        <f>#REF!/$B$6</f>
        <v>#REF!</v>
      </c>
      <c r="Z152" s="745" t="e">
        <f>#REF!/$B$6</f>
        <v>#REF!</v>
      </c>
      <c r="AA152" s="745" t="e">
        <f>#REF!/$B$6</f>
        <v>#REF!</v>
      </c>
    </row>
    <row r="154" spans="1:27">
      <c r="A154" s="730" t="s">
        <v>652</v>
      </c>
      <c r="B154" s="739" t="e">
        <f>B142+B150</f>
        <v>#REF!</v>
      </c>
      <c r="C154" s="739" t="e">
        <f t="shared" ref="C154:Z155" si="110">C142+C150</f>
        <v>#REF!</v>
      </c>
      <c r="D154" s="739" t="e">
        <f t="shared" si="110"/>
        <v>#REF!</v>
      </c>
      <c r="E154" s="739" t="e">
        <f t="shared" si="110"/>
        <v>#REF!</v>
      </c>
      <c r="F154" s="739" t="e">
        <f t="shared" si="110"/>
        <v>#REF!</v>
      </c>
      <c r="G154" s="739" t="e">
        <f t="shared" si="110"/>
        <v>#REF!</v>
      </c>
      <c r="H154" s="739" t="e">
        <f t="shared" si="110"/>
        <v>#REF!</v>
      </c>
      <c r="I154" s="739" t="e">
        <f t="shared" si="110"/>
        <v>#REF!</v>
      </c>
      <c r="J154" s="739" t="e">
        <f t="shared" si="110"/>
        <v>#REF!</v>
      </c>
      <c r="K154" s="739" t="e">
        <f t="shared" si="110"/>
        <v>#REF!</v>
      </c>
      <c r="L154" s="739" t="e">
        <f t="shared" si="110"/>
        <v>#REF!</v>
      </c>
      <c r="M154" s="739" t="e">
        <f t="shared" si="110"/>
        <v>#REF!</v>
      </c>
      <c r="N154" s="739" t="e">
        <f t="shared" si="110"/>
        <v>#REF!</v>
      </c>
      <c r="O154" s="739" t="e">
        <f t="shared" si="110"/>
        <v>#REF!</v>
      </c>
      <c r="P154" s="739" t="e">
        <f t="shared" si="110"/>
        <v>#REF!</v>
      </c>
      <c r="Q154" s="739" t="e">
        <f t="shared" si="110"/>
        <v>#REF!</v>
      </c>
      <c r="R154" s="739" t="e">
        <f t="shared" si="110"/>
        <v>#REF!</v>
      </c>
      <c r="S154" s="739" t="e">
        <f t="shared" si="110"/>
        <v>#REF!</v>
      </c>
      <c r="T154" s="739" t="e">
        <f t="shared" si="110"/>
        <v>#REF!</v>
      </c>
      <c r="U154" s="739" t="e">
        <f t="shared" si="110"/>
        <v>#REF!</v>
      </c>
      <c r="V154" s="739" t="e">
        <f t="shared" si="110"/>
        <v>#REF!</v>
      </c>
      <c r="W154" s="739" t="e">
        <f t="shared" si="110"/>
        <v>#REF!</v>
      </c>
      <c r="X154" s="739" t="e">
        <f t="shared" si="110"/>
        <v>#REF!</v>
      </c>
      <c r="Y154" s="739" t="e">
        <f t="shared" si="110"/>
        <v>#REF!</v>
      </c>
      <c r="Z154" s="739" t="e">
        <f t="shared" si="110"/>
        <v>#REF!</v>
      </c>
      <c r="AA154" s="739" t="e">
        <f t="shared" ref="AA154" si="111">AA142+AA150</f>
        <v>#REF!</v>
      </c>
    </row>
    <row r="155" spans="1:27">
      <c r="A155" s="730" t="s">
        <v>653</v>
      </c>
      <c r="B155" s="739" t="e">
        <f>B143+B151</f>
        <v>#REF!</v>
      </c>
      <c r="C155" s="739" t="e">
        <f t="shared" si="110"/>
        <v>#REF!</v>
      </c>
      <c r="D155" s="739" t="e">
        <f t="shared" si="110"/>
        <v>#REF!</v>
      </c>
      <c r="E155" s="739" t="e">
        <f t="shared" si="110"/>
        <v>#REF!</v>
      </c>
      <c r="F155" s="739" t="e">
        <f t="shared" si="110"/>
        <v>#REF!</v>
      </c>
      <c r="G155" s="739" t="e">
        <f t="shared" si="110"/>
        <v>#REF!</v>
      </c>
      <c r="H155" s="739" t="e">
        <f t="shared" si="110"/>
        <v>#REF!</v>
      </c>
      <c r="I155" s="739" t="e">
        <f t="shared" si="110"/>
        <v>#REF!</v>
      </c>
      <c r="J155" s="739" t="e">
        <f t="shared" si="110"/>
        <v>#REF!</v>
      </c>
      <c r="K155" s="739" t="e">
        <f t="shared" si="110"/>
        <v>#REF!</v>
      </c>
      <c r="L155" s="739" t="e">
        <f t="shared" si="110"/>
        <v>#REF!</v>
      </c>
      <c r="M155" s="739" t="e">
        <f t="shared" si="110"/>
        <v>#REF!</v>
      </c>
      <c r="N155" s="739" t="e">
        <f t="shared" si="110"/>
        <v>#REF!</v>
      </c>
      <c r="O155" s="739" t="e">
        <f t="shared" si="110"/>
        <v>#REF!</v>
      </c>
      <c r="P155" s="739" t="e">
        <f t="shared" si="110"/>
        <v>#REF!</v>
      </c>
      <c r="Q155" s="739" t="e">
        <f t="shared" si="110"/>
        <v>#REF!</v>
      </c>
      <c r="R155" s="739" t="e">
        <f t="shared" si="110"/>
        <v>#REF!</v>
      </c>
      <c r="S155" s="739" t="e">
        <f t="shared" si="110"/>
        <v>#REF!</v>
      </c>
      <c r="T155" s="739" t="e">
        <f t="shared" si="110"/>
        <v>#REF!</v>
      </c>
      <c r="U155" s="739" t="e">
        <f t="shared" si="110"/>
        <v>#REF!</v>
      </c>
      <c r="V155" s="739" t="e">
        <f t="shared" si="110"/>
        <v>#REF!</v>
      </c>
      <c r="W155" s="739" t="e">
        <f t="shared" si="110"/>
        <v>#REF!</v>
      </c>
      <c r="X155" s="739" t="e">
        <f t="shared" si="110"/>
        <v>#REF!</v>
      </c>
      <c r="Y155" s="739" t="e">
        <f t="shared" si="110"/>
        <v>#REF!</v>
      </c>
      <c r="Z155" s="739" t="e">
        <f t="shared" si="110"/>
        <v>#REF!</v>
      </c>
      <c r="AA155" s="739" t="e">
        <f t="shared" ref="AA155" si="112">AA143+AA151</f>
        <v>#REF!</v>
      </c>
    </row>
    <row r="156" spans="1:27">
      <c r="A156" s="732" t="s">
        <v>654</v>
      </c>
      <c r="B156" s="748" t="e">
        <f>B154+B155</f>
        <v>#REF!</v>
      </c>
      <c r="C156" s="748" t="e">
        <f t="shared" ref="C156:Z156" si="113">C154+C155</f>
        <v>#REF!</v>
      </c>
      <c r="D156" s="748" t="e">
        <f t="shared" si="113"/>
        <v>#REF!</v>
      </c>
      <c r="E156" s="748" t="e">
        <f t="shared" si="113"/>
        <v>#REF!</v>
      </c>
      <c r="F156" s="748" t="e">
        <f t="shared" si="113"/>
        <v>#REF!</v>
      </c>
      <c r="G156" s="748" t="e">
        <f t="shared" si="113"/>
        <v>#REF!</v>
      </c>
      <c r="H156" s="748" t="e">
        <f t="shared" si="113"/>
        <v>#REF!</v>
      </c>
      <c r="I156" s="748" t="e">
        <f t="shared" si="113"/>
        <v>#REF!</v>
      </c>
      <c r="J156" s="748" t="e">
        <f t="shared" si="113"/>
        <v>#REF!</v>
      </c>
      <c r="K156" s="748" t="e">
        <f t="shared" si="113"/>
        <v>#REF!</v>
      </c>
      <c r="L156" s="748" t="e">
        <f t="shared" si="113"/>
        <v>#REF!</v>
      </c>
      <c r="M156" s="748" t="e">
        <f t="shared" si="113"/>
        <v>#REF!</v>
      </c>
      <c r="N156" s="748" t="e">
        <f t="shared" si="113"/>
        <v>#REF!</v>
      </c>
      <c r="O156" s="748" t="e">
        <f t="shared" si="113"/>
        <v>#REF!</v>
      </c>
      <c r="P156" s="748" t="e">
        <f t="shared" si="113"/>
        <v>#REF!</v>
      </c>
      <c r="Q156" s="748" t="e">
        <f t="shared" si="113"/>
        <v>#REF!</v>
      </c>
      <c r="R156" s="748" t="e">
        <f t="shared" si="113"/>
        <v>#REF!</v>
      </c>
      <c r="S156" s="748" t="e">
        <f t="shared" si="113"/>
        <v>#REF!</v>
      </c>
      <c r="T156" s="748" t="e">
        <f t="shared" si="113"/>
        <v>#REF!</v>
      </c>
      <c r="U156" s="748" t="e">
        <f t="shared" si="113"/>
        <v>#REF!</v>
      </c>
      <c r="V156" s="748" t="e">
        <f t="shared" si="113"/>
        <v>#REF!</v>
      </c>
      <c r="W156" s="748" t="e">
        <f t="shared" si="113"/>
        <v>#REF!</v>
      </c>
      <c r="X156" s="748" t="e">
        <f t="shared" si="113"/>
        <v>#REF!</v>
      </c>
      <c r="Y156" s="748" t="e">
        <f t="shared" si="113"/>
        <v>#REF!</v>
      </c>
      <c r="Z156" s="748" t="e">
        <f t="shared" si="113"/>
        <v>#REF!</v>
      </c>
      <c r="AA156" s="748" t="e">
        <f t="shared" ref="AA156" si="114">AA154+AA155</f>
        <v>#REF!</v>
      </c>
    </row>
    <row r="158" spans="1:27" ht="15">
      <c r="A158" s="730" t="s">
        <v>655</v>
      </c>
      <c r="B158" s="742" t="e">
        <f>#REF!/$B$6</f>
        <v>#REF!</v>
      </c>
      <c r="C158" s="742" t="e">
        <f>#REF!/$B$6</f>
        <v>#REF!</v>
      </c>
      <c r="D158" s="742" t="e">
        <f>#REF!/$B$6</f>
        <v>#REF!</v>
      </c>
      <c r="E158" s="742" t="e">
        <f>#REF!/$B$6</f>
        <v>#REF!</v>
      </c>
      <c r="F158" s="742" t="e">
        <f>#REF!/$B$6</f>
        <v>#REF!</v>
      </c>
      <c r="G158" s="742" t="e">
        <f>#REF!/$B$6</f>
        <v>#REF!</v>
      </c>
      <c r="H158" s="742" t="e">
        <f>#REF!/$B$6</f>
        <v>#REF!</v>
      </c>
      <c r="I158" s="742" t="e">
        <f>#REF!/$B$6</f>
        <v>#REF!</v>
      </c>
      <c r="J158" s="742" t="e">
        <f>#REF!/$B$6</f>
        <v>#REF!</v>
      </c>
      <c r="K158" s="742" t="e">
        <f>#REF!/$B$6</f>
        <v>#REF!</v>
      </c>
      <c r="L158" s="742" t="e">
        <f>#REF!/$B$6</f>
        <v>#REF!</v>
      </c>
      <c r="M158" s="742" t="e">
        <f>#REF!/$B$6</f>
        <v>#REF!</v>
      </c>
      <c r="N158" s="742" t="e">
        <f>#REF!/$B$6</f>
        <v>#REF!</v>
      </c>
      <c r="O158" s="742" t="e">
        <f>#REF!/$B$6</f>
        <v>#REF!</v>
      </c>
      <c r="P158" s="742" t="e">
        <f>#REF!/$B$6</f>
        <v>#REF!</v>
      </c>
      <c r="Q158" s="742" t="e">
        <f>#REF!/$B$6</f>
        <v>#REF!</v>
      </c>
      <c r="R158" s="742" t="e">
        <f>#REF!/$B$6</f>
        <v>#REF!</v>
      </c>
      <c r="S158" s="742" t="e">
        <f>#REF!/$B$6</f>
        <v>#REF!</v>
      </c>
      <c r="T158" s="742" t="e">
        <f>#REF!/$B$6</f>
        <v>#REF!</v>
      </c>
      <c r="U158" s="742" t="e">
        <f>#REF!/$B$6</f>
        <v>#REF!</v>
      </c>
      <c r="V158" s="742" t="e">
        <f>#REF!/$B$6</f>
        <v>#REF!</v>
      </c>
      <c r="W158" s="742" t="e">
        <f>#REF!/$B$6</f>
        <v>#REF!</v>
      </c>
      <c r="X158" s="742" t="e">
        <f>#REF!/$B$6</f>
        <v>#REF!</v>
      </c>
      <c r="Y158" s="742" t="e">
        <f>#REF!/$B$6</f>
        <v>#REF!</v>
      </c>
      <c r="Z158" s="742" t="e">
        <f>#REF!/$B$6</f>
        <v>#REF!</v>
      </c>
      <c r="AA158" s="742" t="e">
        <f>#REF!/$B$6</f>
        <v>#REF!</v>
      </c>
    </row>
    <row r="159" spans="1:27" ht="15">
      <c r="A159" s="730" t="s">
        <v>656</v>
      </c>
      <c r="B159" s="742" t="e">
        <f>#REF!/$B$6</f>
        <v>#REF!</v>
      </c>
      <c r="C159" s="742" t="e">
        <f>#REF!/$B$6</f>
        <v>#REF!</v>
      </c>
      <c r="D159" s="742" t="e">
        <f>#REF!/$B$6</f>
        <v>#REF!</v>
      </c>
      <c r="E159" s="742" t="e">
        <f>#REF!/$B$6</f>
        <v>#REF!</v>
      </c>
      <c r="F159" s="742" t="e">
        <f>#REF!/$B$6</f>
        <v>#REF!</v>
      </c>
      <c r="G159" s="742" t="e">
        <f>#REF!/$B$6</f>
        <v>#REF!</v>
      </c>
      <c r="H159" s="742" t="e">
        <f>#REF!/$B$6</f>
        <v>#REF!</v>
      </c>
      <c r="I159" s="742" t="e">
        <f>#REF!/$B$6</f>
        <v>#REF!</v>
      </c>
      <c r="J159" s="742" t="e">
        <f>#REF!/$B$6</f>
        <v>#REF!</v>
      </c>
      <c r="K159" s="742" t="e">
        <f>#REF!/$B$6</f>
        <v>#REF!</v>
      </c>
      <c r="L159" s="742" t="e">
        <f>#REF!/$B$6</f>
        <v>#REF!</v>
      </c>
      <c r="M159" s="742" t="e">
        <f>#REF!/$B$6</f>
        <v>#REF!</v>
      </c>
      <c r="N159" s="742" t="e">
        <f>#REF!/$B$6</f>
        <v>#REF!</v>
      </c>
      <c r="O159" s="742" t="e">
        <f>#REF!/$B$6</f>
        <v>#REF!</v>
      </c>
      <c r="P159" s="742" t="e">
        <f>#REF!/$B$6</f>
        <v>#REF!</v>
      </c>
      <c r="Q159" s="742" t="e">
        <f>#REF!/$B$6</f>
        <v>#REF!</v>
      </c>
      <c r="R159" s="742" t="e">
        <f>#REF!/$B$6</f>
        <v>#REF!</v>
      </c>
      <c r="S159" s="742" t="e">
        <f>#REF!/$B$6</f>
        <v>#REF!</v>
      </c>
      <c r="T159" s="742" t="e">
        <f>#REF!/$B$6</f>
        <v>#REF!</v>
      </c>
      <c r="U159" s="742" t="e">
        <f>#REF!/$B$6</f>
        <v>#REF!</v>
      </c>
      <c r="V159" s="742" t="e">
        <f>#REF!/$B$6</f>
        <v>#REF!</v>
      </c>
      <c r="W159" s="742" t="e">
        <f>#REF!/$B$6</f>
        <v>#REF!</v>
      </c>
      <c r="X159" s="742" t="e">
        <f>#REF!/$B$6</f>
        <v>#REF!</v>
      </c>
      <c r="Y159" s="742" t="e">
        <f>#REF!/$B$6</f>
        <v>#REF!</v>
      </c>
      <c r="Z159" s="742" t="e">
        <f>#REF!/$B$6</f>
        <v>#REF!</v>
      </c>
      <c r="AA159" s="742" t="e">
        <f>#REF!/$B$6</f>
        <v>#REF!</v>
      </c>
    </row>
    <row r="160" spans="1:27">
      <c r="A160" s="732" t="s">
        <v>657</v>
      </c>
      <c r="B160" s="745" t="e">
        <f>#REF!/$B$6</f>
        <v>#REF!</v>
      </c>
      <c r="C160" s="745" t="e">
        <f>#REF!/$B$6</f>
        <v>#REF!</v>
      </c>
      <c r="D160" s="745" t="e">
        <f>#REF!/$B$6</f>
        <v>#REF!</v>
      </c>
      <c r="E160" s="745" t="e">
        <f>#REF!/$B$6</f>
        <v>#REF!</v>
      </c>
      <c r="F160" s="745" t="e">
        <f>#REF!/$B$6</f>
        <v>#REF!</v>
      </c>
      <c r="G160" s="745" t="e">
        <f>#REF!/$B$6</f>
        <v>#REF!</v>
      </c>
      <c r="H160" s="745" t="e">
        <f>#REF!/$B$6</f>
        <v>#REF!</v>
      </c>
      <c r="I160" s="745" t="e">
        <f>#REF!/$B$6</f>
        <v>#REF!</v>
      </c>
      <c r="J160" s="745" t="e">
        <f>#REF!/$B$6</f>
        <v>#REF!</v>
      </c>
      <c r="K160" s="745" t="e">
        <f>#REF!/$B$6</f>
        <v>#REF!</v>
      </c>
      <c r="L160" s="745" t="e">
        <f>#REF!/$B$6</f>
        <v>#REF!</v>
      </c>
      <c r="M160" s="745" t="e">
        <f>#REF!/$B$6</f>
        <v>#REF!</v>
      </c>
      <c r="N160" s="745" t="e">
        <f>#REF!/$B$6</f>
        <v>#REF!</v>
      </c>
      <c r="O160" s="745" t="e">
        <f>#REF!/$B$6</f>
        <v>#REF!</v>
      </c>
      <c r="P160" s="745" t="e">
        <f>#REF!/$B$6</f>
        <v>#REF!</v>
      </c>
      <c r="Q160" s="745" t="e">
        <f>#REF!/$B$6</f>
        <v>#REF!</v>
      </c>
      <c r="R160" s="745" t="e">
        <f>#REF!/$B$6</f>
        <v>#REF!</v>
      </c>
      <c r="S160" s="745" t="e">
        <f>#REF!/$B$6</f>
        <v>#REF!</v>
      </c>
      <c r="T160" s="745" t="e">
        <f>#REF!/$B$6</f>
        <v>#REF!</v>
      </c>
      <c r="U160" s="745" t="e">
        <f>#REF!/$B$6</f>
        <v>#REF!</v>
      </c>
      <c r="V160" s="745" t="e">
        <f>#REF!/$B$6</f>
        <v>#REF!</v>
      </c>
      <c r="W160" s="745" t="e">
        <f>#REF!/$B$6</f>
        <v>#REF!</v>
      </c>
      <c r="X160" s="745" t="e">
        <f>#REF!/$B$6</f>
        <v>#REF!</v>
      </c>
      <c r="Y160" s="745" t="e">
        <f>#REF!/$B$6</f>
        <v>#REF!</v>
      </c>
      <c r="Z160" s="745" t="e">
        <f>#REF!/$B$6</f>
        <v>#REF!</v>
      </c>
      <c r="AA160" s="745" t="e">
        <f>#REF!/$B$6</f>
        <v>#REF!</v>
      </c>
    </row>
    <row r="162" spans="1:27" ht="15">
      <c r="A162" s="730" t="s">
        <v>658</v>
      </c>
      <c r="B162" s="742" t="e">
        <f>#REF!/$B$6</f>
        <v>#REF!</v>
      </c>
      <c r="C162" s="742" t="e">
        <f>#REF!/$B$6</f>
        <v>#REF!</v>
      </c>
      <c r="D162" s="742" t="e">
        <f>#REF!/$B$6</f>
        <v>#REF!</v>
      </c>
      <c r="E162" s="742" t="e">
        <f>#REF!/$B$6</f>
        <v>#REF!</v>
      </c>
      <c r="F162" s="742" t="e">
        <f>#REF!/$B$6</f>
        <v>#REF!</v>
      </c>
      <c r="G162" s="742" t="e">
        <f>#REF!/$B$6</f>
        <v>#REF!</v>
      </c>
      <c r="H162" s="742" t="e">
        <f>#REF!/$B$6</f>
        <v>#REF!</v>
      </c>
      <c r="I162" s="742" t="e">
        <f>#REF!/$B$6</f>
        <v>#REF!</v>
      </c>
      <c r="J162" s="742" t="e">
        <f>#REF!/$B$6</f>
        <v>#REF!</v>
      </c>
      <c r="K162" s="742" t="e">
        <f>#REF!/$B$6</f>
        <v>#REF!</v>
      </c>
      <c r="L162" s="742" t="e">
        <f>#REF!/$B$6</f>
        <v>#REF!</v>
      </c>
      <c r="M162" s="742" t="e">
        <f>#REF!/$B$6</f>
        <v>#REF!</v>
      </c>
      <c r="N162" s="742" t="e">
        <f>#REF!/$B$6</f>
        <v>#REF!</v>
      </c>
      <c r="O162" s="742" t="e">
        <f>#REF!/$B$6</f>
        <v>#REF!</v>
      </c>
      <c r="P162" s="742" t="e">
        <f>#REF!/$B$6</f>
        <v>#REF!</v>
      </c>
      <c r="Q162" s="742" t="e">
        <f>#REF!/$B$6</f>
        <v>#REF!</v>
      </c>
      <c r="R162" s="742" t="e">
        <f>#REF!/$B$6</f>
        <v>#REF!</v>
      </c>
      <c r="S162" s="742" t="e">
        <f>#REF!/$B$6</f>
        <v>#REF!</v>
      </c>
      <c r="T162" s="742" t="e">
        <f>#REF!/$B$6</f>
        <v>#REF!</v>
      </c>
      <c r="U162" s="742" t="e">
        <f>#REF!/$B$6</f>
        <v>#REF!</v>
      </c>
      <c r="V162" s="742" t="e">
        <f>#REF!/$B$6</f>
        <v>#REF!</v>
      </c>
      <c r="W162" s="742" t="e">
        <f>#REF!/$B$6</f>
        <v>#REF!</v>
      </c>
      <c r="X162" s="742" t="e">
        <f>#REF!/$B$6</f>
        <v>#REF!</v>
      </c>
      <c r="Y162" s="742" t="e">
        <f>#REF!/$B$6</f>
        <v>#REF!</v>
      </c>
      <c r="Z162" s="742" t="e">
        <f>#REF!/$B$6</f>
        <v>#REF!</v>
      </c>
      <c r="AA162" s="742" t="e">
        <f>#REF!/$B$6</f>
        <v>#REF!</v>
      </c>
    </row>
    <row r="163" spans="1:27">
      <c r="A163" s="732" t="s">
        <v>659</v>
      </c>
      <c r="B163" s="749" t="e">
        <f>B160+B162</f>
        <v>#REF!</v>
      </c>
      <c r="C163" s="749" t="e">
        <f t="shared" ref="C163:Z163" si="115">C160+C162</f>
        <v>#REF!</v>
      </c>
      <c r="D163" s="749" t="e">
        <f t="shared" si="115"/>
        <v>#REF!</v>
      </c>
      <c r="E163" s="749" t="e">
        <f t="shared" si="115"/>
        <v>#REF!</v>
      </c>
      <c r="F163" s="749" t="e">
        <f t="shared" si="115"/>
        <v>#REF!</v>
      </c>
      <c r="G163" s="749" t="e">
        <f t="shared" si="115"/>
        <v>#REF!</v>
      </c>
      <c r="H163" s="749" t="e">
        <f t="shared" si="115"/>
        <v>#REF!</v>
      </c>
      <c r="I163" s="749" t="e">
        <f t="shared" si="115"/>
        <v>#REF!</v>
      </c>
      <c r="J163" s="749" t="e">
        <f t="shared" si="115"/>
        <v>#REF!</v>
      </c>
      <c r="K163" s="749" t="e">
        <f t="shared" si="115"/>
        <v>#REF!</v>
      </c>
      <c r="L163" s="749" t="e">
        <f t="shared" si="115"/>
        <v>#REF!</v>
      </c>
      <c r="M163" s="749" t="e">
        <f t="shared" si="115"/>
        <v>#REF!</v>
      </c>
      <c r="N163" s="749" t="e">
        <f t="shared" si="115"/>
        <v>#REF!</v>
      </c>
      <c r="O163" s="749" t="e">
        <f t="shared" si="115"/>
        <v>#REF!</v>
      </c>
      <c r="P163" s="749" t="e">
        <f t="shared" si="115"/>
        <v>#REF!</v>
      </c>
      <c r="Q163" s="749" t="e">
        <f t="shared" si="115"/>
        <v>#REF!</v>
      </c>
      <c r="R163" s="749" t="e">
        <f t="shared" si="115"/>
        <v>#REF!</v>
      </c>
      <c r="S163" s="749" t="e">
        <f t="shared" si="115"/>
        <v>#REF!</v>
      </c>
      <c r="T163" s="749" t="e">
        <f t="shared" si="115"/>
        <v>#REF!</v>
      </c>
      <c r="U163" s="749" t="e">
        <f t="shared" si="115"/>
        <v>#REF!</v>
      </c>
      <c r="V163" s="749" t="e">
        <f t="shared" si="115"/>
        <v>#REF!</v>
      </c>
      <c r="W163" s="749" t="e">
        <f t="shared" si="115"/>
        <v>#REF!</v>
      </c>
      <c r="X163" s="749" t="e">
        <f t="shared" si="115"/>
        <v>#REF!</v>
      </c>
      <c r="Y163" s="749" t="e">
        <f t="shared" si="115"/>
        <v>#REF!</v>
      </c>
      <c r="Z163" s="749" t="e">
        <f t="shared" si="115"/>
        <v>#REF!</v>
      </c>
      <c r="AA163" s="749" t="e">
        <f t="shared" ref="AA163" si="116">AA160+AA162</f>
        <v>#REF!</v>
      </c>
    </row>
    <row r="165" spans="1:27">
      <c r="A165" s="730" t="s">
        <v>660</v>
      </c>
      <c r="B165" s="750" t="e">
        <f>B154+B158+B162</f>
        <v>#REF!</v>
      </c>
      <c r="C165" s="750" t="e">
        <f t="shared" ref="C165:Z165" si="117">C154+C158+C162</f>
        <v>#REF!</v>
      </c>
      <c r="D165" s="750" t="e">
        <f t="shared" si="117"/>
        <v>#REF!</v>
      </c>
      <c r="E165" s="750" t="e">
        <f t="shared" si="117"/>
        <v>#REF!</v>
      </c>
      <c r="F165" s="750" t="e">
        <f t="shared" si="117"/>
        <v>#REF!</v>
      </c>
      <c r="G165" s="750" t="e">
        <f t="shared" si="117"/>
        <v>#REF!</v>
      </c>
      <c r="H165" s="750" t="e">
        <f t="shared" si="117"/>
        <v>#REF!</v>
      </c>
      <c r="I165" s="750" t="e">
        <f t="shared" si="117"/>
        <v>#REF!</v>
      </c>
      <c r="J165" s="750" t="e">
        <f t="shared" si="117"/>
        <v>#REF!</v>
      </c>
      <c r="K165" s="750" t="e">
        <f t="shared" si="117"/>
        <v>#REF!</v>
      </c>
      <c r="L165" s="750" t="e">
        <f t="shared" si="117"/>
        <v>#REF!</v>
      </c>
      <c r="M165" s="750" t="e">
        <f t="shared" si="117"/>
        <v>#REF!</v>
      </c>
      <c r="N165" s="750" t="e">
        <f t="shared" si="117"/>
        <v>#REF!</v>
      </c>
      <c r="O165" s="750" t="e">
        <f t="shared" si="117"/>
        <v>#REF!</v>
      </c>
      <c r="P165" s="750" t="e">
        <f t="shared" si="117"/>
        <v>#REF!</v>
      </c>
      <c r="Q165" s="750" t="e">
        <f t="shared" si="117"/>
        <v>#REF!</v>
      </c>
      <c r="R165" s="750" t="e">
        <f t="shared" si="117"/>
        <v>#REF!</v>
      </c>
      <c r="S165" s="750" t="e">
        <f t="shared" si="117"/>
        <v>#REF!</v>
      </c>
      <c r="T165" s="750" t="e">
        <f t="shared" si="117"/>
        <v>#REF!</v>
      </c>
      <c r="U165" s="750" t="e">
        <f t="shared" si="117"/>
        <v>#REF!</v>
      </c>
      <c r="V165" s="750" t="e">
        <f t="shared" si="117"/>
        <v>#REF!</v>
      </c>
      <c r="W165" s="750" t="e">
        <f t="shared" si="117"/>
        <v>#REF!</v>
      </c>
      <c r="X165" s="750" t="e">
        <f t="shared" si="117"/>
        <v>#REF!</v>
      </c>
      <c r="Y165" s="750" t="e">
        <f t="shared" si="117"/>
        <v>#REF!</v>
      </c>
      <c r="Z165" s="750" t="e">
        <f t="shared" si="117"/>
        <v>#REF!</v>
      </c>
      <c r="AA165" s="750" t="e">
        <f t="shared" ref="AA165" si="118">AA154+AA158+AA162</f>
        <v>#REF!</v>
      </c>
    </row>
    <row r="166" spans="1:27">
      <c r="A166" s="730" t="s">
        <v>661</v>
      </c>
      <c r="B166" s="750" t="e">
        <f>B155+B159</f>
        <v>#REF!</v>
      </c>
      <c r="C166" s="750" t="e">
        <f t="shared" ref="C166:Z166" si="119">C155+C159</f>
        <v>#REF!</v>
      </c>
      <c r="D166" s="750" t="e">
        <f t="shared" si="119"/>
        <v>#REF!</v>
      </c>
      <c r="E166" s="750" t="e">
        <f t="shared" si="119"/>
        <v>#REF!</v>
      </c>
      <c r="F166" s="750" t="e">
        <f t="shared" si="119"/>
        <v>#REF!</v>
      </c>
      <c r="G166" s="750" t="e">
        <f t="shared" si="119"/>
        <v>#REF!</v>
      </c>
      <c r="H166" s="750" t="e">
        <f t="shared" si="119"/>
        <v>#REF!</v>
      </c>
      <c r="I166" s="750" t="e">
        <f t="shared" si="119"/>
        <v>#REF!</v>
      </c>
      <c r="J166" s="750" t="e">
        <f t="shared" si="119"/>
        <v>#REF!</v>
      </c>
      <c r="K166" s="750" t="e">
        <f t="shared" si="119"/>
        <v>#REF!</v>
      </c>
      <c r="L166" s="750" t="e">
        <f t="shared" si="119"/>
        <v>#REF!</v>
      </c>
      <c r="M166" s="750" t="e">
        <f t="shared" si="119"/>
        <v>#REF!</v>
      </c>
      <c r="N166" s="750" t="e">
        <f t="shared" si="119"/>
        <v>#REF!</v>
      </c>
      <c r="O166" s="750" t="e">
        <f t="shared" si="119"/>
        <v>#REF!</v>
      </c>
      <c r="P166" s="750" t="e">
        <f t="shared" si="119"/>
        <v>#REF!</v>
      </c>
      <c r="Q166" s="750" t="e">
        <f t="shared" si="119"/>
        <v>#REF!</v>
      </c>
      <c r="R166" s="750" t="e">
        <f t="shared" si="119"/>
        <v>#REF!</v>
      </c>
      <c r="S166" s="750" t="e">
        <f t="shared" si="119"/>
        <v>#REF!</v>
      </c>
      <c r="T166" s="750" t="e">
        <f t="shared" si="119"/>
        <v>#REF!</v>
      </c>
      <c r="U166" s="750" t="e">
        <f t="shared" si="119"/>
        <v>#REF!</v>
      </c>
      <c r="V166" s="750" t="e">
        <f t="shared" si="119"/>
        <v>#REF!</v>
      </c>
      <c r="W166" s="750" t="e">
        <f t="shared" si="119"/>
        <v>#REF!</v>
      </c>
      <c r="X166" s="750" t="e">
        <f t="shared" si="119"/>
        <v>#REF!</v>
      </c>
      <c r="Y166" s="750" t="e">
        <f t="shared" si="119"/>
        <v>#REF!</v>
      </c>
      <c r="Z166" s="750" t="e">
        <f t="shared" si="119"/>
        <v>#REF!</v>
      </c>
      <c r="AA166" s="750" t="e">
        <f t="shared" ref="AA166" si="120">AA155+AA159</f>
        <v>#REF!</v>
      </c>
    </row>
    <row r="167" spans="1:27">
      <c r="A167" s="732" t="s">
        <v>662</v>
      </c>
      <c r="B167" s="749" t="e">
        <f>B165+B166</f>
        <v>#REF!</v>
      </c>
      <c r="C167" s="749" t="e">
        <f t="shared" ref="C167:Z167" si="121">C165+C166</f>
        <v>#REF!</v>
      </c>
      <c r="D167" s="749" t="e">
        <f t="shared" si="121"/>
        <v>#REF!</v>
      </c>
      <c r="E167" s="749" t="e">
        <f t="shared" si="121"/>
        <v>#REF!</v>
      </c>
      <c r="F167" s="749" t="e">
        <f t="shared" si="121"/>
        <v>#REF!</v>
      </c>
      <c r="G167" s="749" t="e">
        <f t="shared" si="121"/>
        <v>#REF!</v>
      </c>
      <c r="H167" s="749" t="e">
        <f t="shared" si="121"/>
        <v>#REF!</v>
      </c>
      <c r="I167" s="749" t="e">
        <f t="shared" si="121"/>
        <v>#REF!</v>
      </c>
      <c r="J167" s="749" t="e">
        <f t="shared" si="121"/>
        <v>#REF!</v>
      </c>
      <c r="K167" s="749" t="e">
        <f t="shared" si="121"/>
        <v>#REF!</v>
      </c>
      <c r="L167" s="749" t="e">
        <f t="shared" si="121"/>
        <v>#REF!</v>
      </c>
      <c r="M167" s="749" t="e">
        <f t="shared" si="121"/>
        <v>#REF!</v>
      </c>
      <c r="N167" s="749" t="e">
        <f t="shared" si="121"/>
        <v>#REF!</v>
      </c>
      <c r="O167" s="749" t="e">
        <f t="shared" si="121"/>
        <v>#REF!</v>
      </c>
      <c r="P167" s="749" t="e">
        <f t="shared" si="121"/>
        <v>#REF!</v>
      </c>
      <c r="Q167" s="749" t="e">
        <f t="shared" si="121"/>
        <v>#REF!</v>
      </c>
      <c r="R167" s="749" t="e">
        <f t="shared" si="121"/>
        <v>#REF!</v>
      </c>
      <c r="S167" s="749" t="e">
        <f t="shared" si="121"/>
        <v>#REF!</v>
      </c>
      <c r="T167" s="749" t="e">
        <f t="shared" si="121"/>
        <v>#REF!</v>
      </c>
      <c r="U167" s="749" t="e">
        <f t="shared" si="121"/>
        <v>#REF!</v>
      </c>
      <c r="V167" s="749" t="e">
        <f t="shared" si="121"/>
        <v>#REF!</v>
      </c>
      <c r="W167" s="749" t="e">
        <f t="shared" si="121"/>
        <v>#REF!</v>
      </c>
      <c r="X167" s="749" t="e">
        <f t="shared" si="121"/>
        <v>#REF!</v>
      </c>
      <c r="Y167" s="749" t="e">
        <f t="shared" si="121"/>
        <v>#REF!</v>
      </c>
      <c r="Z167" s="749" t="e">
        <f t="shared" si="121"/>
        <v>#REF!</v>
      </c>
      <c r="AA167" s="749" t="e">
        <f t="shared" ref="AA167" si="122">AA165+AA166</f>
        <v>#REF!</v>
      </c>
    </row>
    <row r="170" spans="1:27" ht="15">
      <c r="A170" s="730" t="s">
        <v>663</v>
      </c>
      <c r="B170" s="742" t="e">
        <f>#REF!/$B$6</f>
        <v>#REF!</v>
      </c>
      <c r="C170" s="742" t="e">
        <f>#REF!/$B$6</f>
        <v>#REF!</v>
      </c>
      <c r="D170" s="742" t="e">
        <f>#REF!/$B$6</f>
        <v>#REF!</v>
      </c>
      <c r="E170" s="742" t="e">
        <f>#REF!/$B$6</f>
        <v>#REF!</v>
      </c>
      <c r="F170" s="742" t="e">
        <f>#REF!/$B$6</f>
        <v>#REF!</v>
      </c>
      <c r="G170" s="742" t="e">
        <f>#REF!/$B$6</f>
        <v>#REF!</v>
      </c>
      <c r="H170" s="742" t="e">
        <f>#REF!/$B$6</f>
        <v>#REF!</v>
      </c>
      <c r="I170" s="742" t="e">
        <f>#REF!/$B$6</f>
        <v>#REF!</v>
      </c>
      <c r="J170" s="742" t="e">
        <f>#REF!/$B$6</f>
        <v>#REF!</v>
      </c>
      <c r="K170" s="742" t="e">
        <f>#REF!/$B$6</f>
        <v>#REF!</v>
      </c>
      <c r="L170" s="742" t="e">
        <f>#REF!/$B$6</f>
        <v>#REF!</v>
      </c>
      <c r="M170" s="742" t="e">
        <f>#REF!/$B$6</f>
        <v>#REF!</v>
      </c>
      <c r="N170" s="742" t="e">
        <f>#REF!/$B$6</f>
        <v>#REF!</v>
      </c>
      <c r="O170" s="742" t="e">
        <f>#REF!/$B$6</f>
        <v>#REF!</v>
      </c>
      <c r="P170" s="742" t="e">
        <f>#REF!/$B$6</f>
        <v>#REF!</v>
      </c>
      <c r="Q170" s="742" t="e">
        <f>#REF!/$B$6</f>
        <v>#REF!</v>
      </c>
      <c r="R170" s="742" t="e">
        <f>#REF!/$B$6</f>
        <v>#REF!</v>
      </c>
      <c r="S170" s="742" t="e">
        <f>#REF!/$B$6</f>
        <v>#REF!</v>
      </c>
      <c r="T170" s="742" t="e">
        <f>#REF!/$B$6</f>
        <v>#REF!</v>
      </c>
      <c r="U170" s="742" t="e">
        <f>#REF!/$B$6</f>
        <v>#REF!</v>
      </c>
      <c r="V170" s="742" t="e">
        <f>#REF!/$B$6</f>
        <v>#REF!</v>
      </c>
      <c r="W170" s="742" t="e">
        <f>#REF!/$B$6</f>
        <v>#REF!</v>
      </c>
      <c r="X170" s="742" t="e">
        <f>#REF!/$B$6</f>
        <v>#REF!</v>
      </c>
      <c r="Y170" s="742" t="e">
        <f>#REF!/$B$6</f>
        <v>#REF!</v>
      </c>
      <c r="Z170" s="742" t="e">
        <f>#REF!/$B$6</f>
        <v>#REF!</v>
      </c>
      <c r="AA170" s="742" t="e">
        <f>#REF!/$B$6</f>
        <v>#REF!</v>
      </c>
    </row>
    <row r="171" spans="1:27" ht="15">
      <c r="A171" s="730" t="s">
        <v>664</v>
      </c>
      <c r="B171" s="742" t="e">
        <f>#REF!/$B$6</f>
        <v>#REF!</v>
      </c>
      <c r="C171" s="742" t="e">
        <f>#REF!/$B$6</f>
        <v>#REF!</v>
      </c>
      <c r="D171" s="742" t="e">
        <f>#REF!/$B$6</f>
        <v>#REF!</v>
      </c>
      <c r="E171" s="742" t="e">
        <f>#REF!/$B$6</f>
        <v>#REF!</v>
      </c>
      <c r="F171" s="742" t="e">
        <f>#REF!/$B$6</f>
        <v>#REF!</v>
      </c>
      <c r="G171" s="742" t="e">
        <f>#REF!/$B$6</f>
        <v>#REF!</v>
      </c>
      <c r="H171" s="742" t="e">
        <f>#REF!/$B$6</f>
        <v>#REF!</v>
      </c>
      <c r="I171" s="742" t="e">
        <f>#REF!/$B$6</f>
        <v>#REF!</v>
      </c>
      <c r="J171" s="742" t="e">
        <f>#REF!/$B$6</f>
        <v>#REF!</v>
      </c>
      <c r="K171" s="742" t="e">
        <f>#REF!/$B$6</f>
        <v>#REF!</v>
      </c>
      <c r="L171" s="742" t="e">
        <f>#REF!/$B$6</f>
        <v>#REF!</v>
      </c>
      <c r="M171" s="742" t="e">
        <f>#REF!/$B$6</f>
        <v>#REF!</v>
      </c>
      <c r="N171" s="742" t="e">
        <f>#REF!/$B$6</f>
        <v>#REF!</v>
      </c>
      <c r="O171" s="742" t="e">
        <f>#REF!/$B$6</f>
        <v>#REF!</v>
      </c>
      <c r="P171" s="742" t="e">
        <f>#REF!/$B$6</f>
        <v>#REF!</v>
      </c>
      <c r="Q171" s="742" t="e">
        <f>#REF!/$B$6</f>
        <v>#REF!</v>
      </c>
      <c r="R171" s="742" t="e">
        <f>#REF!/$B$6</f>
        <v>#REF!</v>
      </c>
      <c r="S171" s="742" t="e">
        <f>#REF!/$B$6</f>
        <v>#REF!</v>
      </c>
      <c r="T171" s="742" t="e">
        <f>#REF!/$B$6</f>
        <v>#REF!</v>
      </c>
      <c r="U171" s="742" t="e">
        <f>#REF!/$B$6</f>
        <v>#REF!</v>
      </c>
      <c r="V171" s="742" t="e">
        <f>#REF!/$B$6</f>
        <v>#REF!</v>
      </c>
      <c r="W171" s="742" t="e">
        <f>#REF!/$B$6</f>
        <v>#REF!</v>
      </c>
      <c r="X171" s="742" t="e">
        <f>#REF!/$B$6</f>
        <v>#REF!</v>
      </c>
      <c r="Y171" s="742" t="e">
        <f>#REF!/$B$6</f>
        <v>#REF!</v>
      </c>
      <c r="Z171" s="742" t="e">
        <f>#REF!/$B$6</f>
        <v>#REF!</v>
      </c>
      <c r="AA171" s="742" t="e">
        <f>#REF!/$B$6</f>
        <v>#REF!</v>
      </c>
    </row>
    <row r="172" spans="1:27">
      <c r="A172" s="732" t="s">
        <v>662</v>
      </c>
      <c r="B172" s="745" t="e">
        <f>#REF!/$B$6</f>
        <v>#REF!</v>
      </c>
      <c r="C172" s="745" t="e">
        <f>#REF!/$B$6</f>
        <v>#REF!</v>
      </c>
      <c r="D172" s="745" t="e">
        <f>#REF!/$B$6</f>
        <v>#REF!</v>
      </c>
      <c r="E172" s="745" t="e">
        <f>#REF!/$B$6</f>
        <v>#REF!</v>
      </c>
      <c r="F172" s="745" t="e">
        <f>#REF!/$B$6</f>
        <v>#REF!</v>
      </c>
      <c r="G172" s="745" t="e">
        <f>#REF!/$B$6</f>
        <v>#REF!</v>
      </c>
      <c r="H172" s="745" t="e">
        <f>#REF!/$B$6</f>
        <v>#REF!</v>
      </c>
      <c r="I172" s="745" t="e">
        <f>#REF!/$B$6</f>
        <v>#REF!</v>
      </c>
      <c r="J172" s="745" t="e">
        <f>#REF!/$B$6</f>
        <v>#REF!</v>
      </c>
      <c r="K172" s="745" t="e">
        <f>#REF!/$B$6</f>
        <v>#REF!</v>
      </c>
      <c r="L172" s="745" t="e">
        <f>#REF!/$B$6</f>
        <v>#REF!</v>
      </c>
      <c r="M172" s="745" t="e">
        <f>#REF!/$B$6</f>
        <v>#REF!</v>
      </c>
      <c r="N172" s="745" t="e">
        <f>#REF!/$B$6</f>
        <v>#REF!</v>
      </c>
      <c r="O172" s="745" t="e">
        <f>#REF!/$B$6</f>
        <v>#REF!</v>
      </c>
      <c r="P172" s="745" t="e">
        <f>#REF!/$B$6</f>
        <v>#REF!</v>
      </c>
      <c r="Q172" s="745" t="e">
        <f>#REF!/$B$6</f>
        <v>#REF!</v>
      </c>
      <c r="R172" s="745" t="e">
        <f>#REF!/$B$6</f>
        <v>#REF!</v>
      </c>
      <c r="S172" s="745" t="e">
        <f>#REF!/$B$6</f>
        <v>#REF!</v>
      </c>
      <c r="T172" s="745" t="e">
        <f>#REF!/$B$6</f>
        <v>#REF!</v>
      </c>
      <c r="U172" s="745" t="e">
        <f>#REF!/$B$6</f>
        <v>#REF!</v>
      </c>
      <c r="V172" s="745" t="e">
        <f>#REF!/$B$6</f>
        <v>#REF!</v>
      </c>
      <c r="W172" s="745" t="e">
        <f>#REF!/$B$6</f>
        <v>#REF!</v>
      </c>
      <c r="X172" s="745" t="e">
        <f>#REF!/$B$6</f>
        <v>#REF!</v>
      </c>
      <c r="Y172" s="745" t="e">
        <f>#REF!/$B$6</f>
        <v>#REF!</v>
      </c>
      <c r="Z172" s="745" t="e">
        <f>#REF!/$B$6</f>
        <v>#REF!</v>
      </c>
      <c r="AA172" s="745" t="e">
        <f>#REF!/$B$6</f>
        <v>#REF!</v>
      </c>
    </row>
    <row r="174" spans="1:27" ht="15">
      <c r="A174" s="730" t="s">
        <v>665</v>
      </c>
      <c r="B174" s="742" t="e">
        <f>#REF!/$B$6</f>
        <v>#REF!</v>
      </c>
      <c r="C174" s="742" t="e">
        <f>#REF!/$B$6</f>
        <v>#REF!</v>
      </c>
      <c r="D174" s="742" t="e">
        <f>#REF!/$B$6</f>
        <v>#REF!</v>
      </c>
      <c r="E174" s="742" t="e">
        <f>#REF!/$B$6</f>
        <v>#REF!</v>
      </c>
      <c r="F174" s="742" t="e">
        <f>#REF!/$B$6</f>
        <v>#REF!</v>
      </c>
      <c r="G174" s="742" t="e">
        <f>#REF!/$B$6</f>
        <v>#REF!</v>
      </c>
      <c r="H174" s="742" t="e">
        <f>#REF!/$B$6</f>
        <v>#REF!</v>
      </c>
      <c r="I174" s="742" t="e">
        <f>#REF!/$B$6</f>
        <v>#REF!</v>
      </c>
      <c r="J174" s="742" t="e">
        <f>#REF!/$B$6</f>
        <v>#REF!</v>
      </c>
      <c r="K174" s="742" t="e">
        <f>#REF!/$B$6</f>
        <v>#REF!</v>
      </c>
      <c r="L174" s="742" t="e">
        <f>#REF!/$B$6</f>
        <v>#REF!</v>
      </c>
      <c r="M174" s="742" t="e">
        <f>#REF!/$B$6</f>
        <v>#REF!</v>
      </c>
      <c r="N174" s="742" t="e">
        <f>#REF!/$B$6</f>
        <v>#REF!</v>
      </c>
      <c r="O174" s="742" t="e">
        <f>#REF!/$B$6</f>
        <v>#REF!</v>
      </c>
      <c r="P174" s="742" t="e">
        <f>#REF!/$B$6</f>
        <v>#REF!</v>
      </c>
      <c r="Q174" s="742" t="e">
        <f>#REF!/$B$6</f>
        <v>#REF!</v>
      </c>
      <c r="R174" s="742" t="e">
        <f>#REF!/$B$6</f>
        <v>#REF!</v>
      </c>
      <c r="S174" s="742" t="e">
        <f>#REF!/$B$6</f>
        <v>#REF!</v>
      </c>
      <c r="T174" s="742" t="e">
        <f>#REF!/$B$6</f>
        <v>#REF!</v>
      </c>
      <c r="U174" s="742" t="e">
        <f>#REF!/$B$6</f>
        <v>#REF!</v>
      </c>
      <c r="V174" s="742" t="e">
        <f>#REF!/$B$6</f>
        <v>#REF!</v>
      </c>
      <c r="W174" s="742" t="e">
        <f>#REF!/$B$6</f>
        <v>#REF!</v>
      </c>
      <c r="X174" s="742" t="e">
        <f>#REF!/$B$6</f>
        <v>#REF!</v>
      </c>
      <c r="Y174" s="742" t="e">
        <f>#REF!/$B$6</f>
        <v>#REF!</v>
      </c>
      <c r="Z174" s="742" t="e">
        <f>#REF!/$B$6</f>
        <v>#REF!</v>
      </c>
      <c r="AA174" s="742" t="e">
        <f>#REF!/$B$6</f>
        <v>#REF!</v>
      </c>
    </row>
    <row r="185" spans="1:27">
      <c r="A185" s="735" t="s">
        <v>588</v>
      </c>
      <c r="B185" s="735">
        <f>B$12</f>
        <v>2003</v>
      </c>
      <c r="C185" s="735">
        <f t="shared" ref="C185:AA185" si="123">C$12</f>
        <v>2004</v>
      </c>
      <c r="D185" s="735">
        <f t="shared" si="123"/>
        <v>2005</v>
      </c>
      <c r="E185" s="735">
        <f t="shared" si="123"/>
        <v>2006</v>
      </c>
      <c r="F185" s="735">
        <f t="shared" si="123"/>
        <v>2007</v>
      </c>
      <c r="G185" s="735">
        <f t="shared" si="123"/>
        <v>2008</v>
      </c>
      <c r="H185" s="735">
        <f t="shared" si="123"/>
        <v>2009</v>
      </c>
      <c r="I185" s="735">
        <f t="shared" si="123"/>
        <v>2010</v>
      </c>
      <c r="J185" s="735">
        <f t="shared" si="123"/>
        <v>2011</v>
      </c>
      <c r="K185" s="735">
        <f t="shared" si="123"/>
        <v>2012</v>
      </c>
      <c r="L185" s="735">
        <f t="shared" si="123"/>
        <v>2013</v>
      </c>
      <c r="M185" s="735">
        <f t="shared" si="123"/>
        <v>2014</v>
      </c>
      <c r="N185" s="735">
        <f t="shared" si="123"/>
        <v>2015</v>
      </c>
      <c r="O185" s="735">
        <f t="shared" si="123"/>
        <v>2016</v>
      </c>
      <c r="P185" s="735">
        <f t="shared" si="123"/>
        <v>2017</v>
      </c>
      <c r="Q185" s="735">
        <f t="shared" si="123"/>
        <v>2018</v>
      </c>
      <c r="R185" s="735">
        <f t="shared" si="123"/>
        <v>2019</v>
      </c>
      <c r="S185" s="735">
        <f t="shared" si="123"/>
        <v>2020</v>
      </c>
      <c r="T185" s="735">
        <f t="shared" si="123"/>
        <v>2021</v>
      </c>
      <c r="U185" s="735">
        <f t="shared" si="123"/>
        <v>2022</v>
      </c>
      <c r="V185" s="735">
        <f t="shared" si="123"/>
        <v>2023</v>
      </c>
      <c r="W185" s="735">
        <f t="shared" si="123"/>
        <v>2024</v>
      </c>
      <c r="X185" s="735">
        <f t="shared" si="123"/>
        <v>2025</v>
      </c>
      <c r="Y185" s="735">
        <f t="shared" si="123"/>
        <v>2026</v>
      </c>
      <c r="Z185" s="735">
        <f t="shared" si="123"/>
        <v>2027</v>
      </c>
      <c r="AA185" s="735">
        <f t="shared" si="123"/>
        <v>2028</v>
      </c>
    </row>
    <row r="188" spans="1:27" ht="15">
      <c r="A188" s="730" t="s">
        <v>644</v>
      </c>
      <c r="B188" s="742" t="e">
        <f>#REF!/$B$6</f>
        <v>#REF!</v>
      </c>
      <c r="C188" s="742" t="e">
        <f>#REF!/$B$6</f>
        <v>#REF!</v>
      </c>
      <c r="D188" s="742" t="e">
        <f>#REF!/$B$6</f>
        <v>#REF!</v>
      </c>
      <c r="E188" s="742" t="e">
        <f>#REF!/$B$6</f>
        <v>#REF!</v>
      </c>
      <c r="F188" s="742" t="e">
        <f>#REF!/$B$6</f>
        <v>#REF!</v>
      </c>
      <c r="G188" s="742" t="e">
        <f>#REF!/$B$6</f>
        <v>#REF!</v>
      </c>
      <c r="H188" s="742" t="e">
        <f>#REF!/$B$6</f>
        <v>#REF!</v>
      </c>
      <c r="I188" s="742" t="e">
        <f>#REF!/$B$6</f>
        <v>#REF!</v>
      </c>
      <c r="J188" s="742" t="e">
        <f>#REF!/$B$6</f>
        <v>#REF!</v>
      </c>
      <c r="K188" s="742" t="e">
        <f>#REF!/$B$6</f>
        <v>#REF!</v>
      </c>
      <c r="L188" s="742" t="e">
        <f>#REF!/$B$6</f>
        <v>#REF!</v>
      </c>
      <c r="M188" s="742" t="e">
        <f>#REF!/$B$6</f>
        <v>#REF!</v>
      </c>
      <c r="N188" s="742" t="e">
        <f>#REF!/$B$6</f>
        <v>#REF!</v>
      </c>
      <c r="O188" s="742" t="e">
        <f>#REF!/$B$6</f>
        <v>#REF!</v>
      </c>
      <c r="P188" s="742" t="e">
        <f>#REF!/$B$6</f>
        <v>#REF!</v>
      </c>
      <c r="Q188" s="742" t="e">
        <f>#REF!/$B$6</f>
        <v>#REF!</v>
      </c>
      <c r="R188" s="742" t="e">
        <f>#REF!/$B$6</f>
        <v>#REF!</v>
      </c>
      <c r="S188" s="742" t="e">
        <f>#REF!/$B$6</f>
        <v>#REF!</v>
      </c>
      <c r="T188" s="742" t="e">
        <f>#REF!/$B$6</f>
        <v>#REF!</v>
      </c>
      <c r="U188" s="742" t="e">
        <f>#REF!/$B$6</f>
        <v>#REF!</v>
      </c>
      <c r="V188" s="742" t="e">
        <f>#REF!/$B$6</f>
        <v>#REF!</v>
      </c>
      <c r="W188" s="742" t="e">
        <f>#REF!/$B$6</f>
        <v>#REF!</v>
      </c>
      <c r="X188" s="742" t="e">
        <f>#REF!/$B$6</f>
        <v>#REF!</v>
      </c>
      <c r="Y188" s="742" t="e">
        <f>#REF!/$B$6</f>
        <v>#REF!</v>
      </c>
      <c r="Z188" s="742" t="e">
        <f>#REF!/$B$6</f>
        <v>#REF!</v>
      </c>
      <c r="AA188" s="742" t="e">
        <f>#REF!/$B$6</f>
        <v>#REF!</v>
      </c>
    </row>
    <row r="189" spans="1:27" ht="15">
      <c r="A189" s="730" t="s">
        <v>645</v>
      </c>
      <c r="B189" s="742" t="e">
        <f>#REF!/$B$6</f>
        <v>#REF!</v>
      </c>
      <c r="C189" s="742" t="e">
        <f>#REF!/$B$6</f>
        <v>#REF!</v>
      </c>
      <c r="D189" s="742" t="e">
        <f>#REF!/$B$6</f>
        <v>#REF!</v>
      </c>
      <c r="E189" s="742" t="e">
        <f>#REF!/$B$6</f>
        <v>#REF!</v>
      </c>
      <c r="F189" s="742" t="e">
        <f>#REF!/$B$6</f>
        <v>#REF!</v>
      </c>
      <c r="G189" s="742" t="e">
        <f>#REF!/$B$6</f>
        <v>#REF!</v>
      </c>
      <c r="H189" s="742" t="e">
        <f>#REF!/$B$6</f>
        <v>#REF!</v>
      </c>
      <c r="I189" s="742" t="e">
        <f>#REF!/$B$6</f>
        <v>#REF!</v>
      </c>
      <c r="J189" s="742" t="e">
        <f>#REF!/$B$6</f>
        <v>#REF!</v>
      </c>
      <c r="K189" s="742" t="e">
        <f>#REF!/$B$6</f>
        <v>#REF!</v>
      </c>
      <c r="L189" s="742" t="e">
        <f>#REF!/$B$6</f>
        <v>#REF!</v>
      </c>
      <c r="M189" s="742" t="e">
        <f>#REF!/$B$6</f>
        <v>#REF!</v>
      </c>
      <c r="N189" s="742" t="e">
        <f>#REF!/$B$6</f>
        <v>#REF!</v>
      </c>
      <c r="O189" s="742" t="e">
        <f>#REF!/$B$6</f>
        <v>#REF!</v>
      </c>
      <c r="P189" s="742" t="e">
        <f>#REF!/$B$6</f>
        <v>#REF!</v>
      </c>
      <c r="Q189" s="742" t="e">
        <f>#REF!/$B$6</f>
        <v>#REF!</v>
      </c>
      <c r="R189" s="742" t="e">
        <f>#REF!/$B$6</f>
        <v>#REF!</v>
      </c>
      <c r="S189" s="742" t="e">
        <f>#REF!/$B$6</f>
        <v>#REF!</v>
      </c>
      <c r="T189" s="742" t="e">
        <f>#REF!/$B$6</f>
        <v>#REF!</v>
      </c>
      <c r="U189" s="742" t="e">
        <f>#REF!/$B$6</f>
        <v>#REF!</v>
      </c>
      <c r="V189" s="742" t="e">
        <f>#REF!/$B$6</f>
        <v>#REF!</v>
      </c>
      <c r="W189" s="742" t="e">
        <f>#REF!/$B$6</f>
        <v>#REF!</v>
      </c>
      <c r="X189" s="742" t="e">
        <f>#REF!/$B$6</f>
        <v>#REF!</v>
      </c>
      <c r="Y189" s="742" t="e">
        <f>#REF!/$B$6</f>
        <v>#REF!</v>
      </c>
      <c r="Z189" s="742" t="e">
        <f>#REF!/$B$6</f>
        <v>#REF!</v>
      </c>
      <c r="AA189" s="742" t="e">
        <f>#REF!/$B$6</f>
        <v>#REF!</v>
      </c>
    </row>
    <row r="190" spans="1:27">
      <c r="A190" s="732" t="s">
        <v>666</v>
      </c>
      <c r="B190" s="745" t="e">
        <f>#REF!/$B$6</f>
        <v>#REF!</v>
      </c>
      <c r="C190" s="745" t="e">
        <f>#REF!/$B$6</f>
        <v>#REF!</v>
      </c>
      <c r="D190" s="745" t="e">
        <f>#REF!/$B$6</f>
        <v>#REF!</v>
      </c>
      <c r="E190" s="745" t="e">
        <f>#REF!/$B$6</f>
        <v>#REF!</v>
      </c>
      <c r="F190" s="745" t="e">
        <f>#REF!/$B$6</f>
        <v>#REF!</v>
      </c>
      <c r="G190" s="745" t="e">
        <f>#REF!/$B$6</f>
        <v>#REF!</v>
      </c>
      <c r="H190" s="745" t="e">
        <f>#REF!/$B$6</f>
        <v>#REF!</v>
      </c>
      <c r="I190" s="745" t="e">
        <f>#REF!/$B$6</f>
        <v>#REF!</v>
      </c>
      <c r="J190" s="745" t="e">
        <f>#REF!/$B$6</f>
        <v>#REF!</v>
      </c>
      <c r="K190" s="745" t="e">
        <f>#REF!/$B$6</f>
        <v>#REF!</v>
      </c>
      <c r="L190" s="745" t="e">
        <f>#REF!/$B$6</f>
        <v>#REF!</v>
      </c>
      <c r="M190" s="745" t="e">
        <f>#REF!/$B$6</f>
        <v>#REF!</v>
      </c>
      <c r="N190" s="745" t="e">
        <f>#REF!/$B$6</f>
        <v>#REF!</v>
      </c>
      <c r="O190" s="745" t="e">
        <f>#REF!/$B$6</f>
        <v>#REF!</v>
      </c>
      <c r="P190" s="745" t="e">
        <f>#REF!/$B$6</f>
        <v>#REF!</v>
      </c>
      <c r="Q190" s="745" t="e">
        <f>#REF!/$B$6</f>
        <v>#REF!</v>
      </c>
      <c r="R190" s="745" t="e">
        <f>#REF!/$B$6</f>
        <v>#REF!</v>
      </c>
      <c r="S190" s="745" t="e">
        <f>#REF!/$B$6</f>
        <v>#REF!</v>
      </c>
      <c r="T190" s="745" t="e">
        <f>#REF!/$B$6</f>
        <v>#REF!</v>
      </c>
      <c r="U190" s="745" t="e">
        <f>#REF!/$B$6</f>
        <v>#REF!</v>
      </c>
      <c r="V190" s="745" t="e">
        <f>#REF!/$B$6</f>
        <v>#REF!</v>
      </c>
      <c r="W190" s="745" t="e">
        <f>#REF!/$B$6</f>
        <v>#REF!</v>
      </c>
      <c r="X190" s="745" t="e">
        <f>#REF!/$B$6</f>
        <v>#REF!</v>
      </c>
      <c r="Y190" s="745" t="e">
        <f>#REF!/$B$6</f>
        <v>#REF!</v>
      </c>
      <c r="Z190" s="745" t="e">
        <f>#REF!/$B$6</f>
        <v>#REF!</v>
      </c>
      <c r="AA190" s="745" t="e">
        <f>#REF!/$B$6</f>
        <v>#REF!</v>
      </c>
    </row>
    <row r="192" spans="1:27" ht="15">
      <c r="A192" s="730" t="s">
        <v>649</v>
      </c>
      <c r="B192" s="742" t="e">
        <f>#REF!/$B$6</f>
        <v>#REF!</v>
      </c>
      <c r="C192" s="742" t="e">
        <f>#REF!/$B$6</f>
        <v>#REF!</v>
      </c>
      <c r="D192" s="742" t="e">
        <f>#REF!/$B$6</f>
        <v>#REF!</v>
      </c>
      <c r="E192" s="742" t="e">
        <f>#REF!/$B$6</f>
        <v>#REF!</v>
      </c>
      <c r="F192" s="742" t="e">
        <f>#REF!/$B$6</f>
        <v>#REF!</v>
      </c>
      <c r="G192" s="742" t="e">
        <f>#REF!/$B$6</f>
        <v>#REF!</v>
      </c>
      <c r="H192" s="742" t="e">
        <f>#REF!/$B$6</f>
        <v>#REF!</v>
      </c>
      <c r="I192" s="742" t="e">
        <f>#REF!/$B$6</f>
        <v>#REF!</v>
      </c>
      <c r="J192" s="742" t="e">
        <f>#REF!/$B$6</f>
        <v>#REF!</v>
      </c>
      <c r="K192" s="742" t="e">
        <f>#REF!/$B$6</f>
        <v>#REF!</v>
      </c>
      <c r="L192" s="742" t="e">
        <f>#REF!/$B$6</f>
        <v>#REF!</v>
      </c>
      <c r="M192" s="742" t="e">
        <f>#REF!/$B$6</f>
        <v>#REF!</v>
      </c>
      <c r="N192" s="742" t="e">
        <f>#REF!/$B$6</f>
        <v>#REF!</v>
      </c>
      <c r="O192" s="742" t="e">
        <f>#REF!/$B$6</f>
        <v>#REF!</v>
      </c>
      <c r="P192" s="742" t="e">
        <f>#REF!/$B$6</f>
        <v>#REF!</v>
      </c>
      <c r="Q192" s="742" t="e">
        <f>#REF!/$B$6</f>
        <v>#REF!</v>
      </c>
      <c r="R192" s="742" t="e">
        <f>#REF!/$B$6</f>
        <v>#REF!</v>
      </c>
      <c r="S192" s="742" t="e">
        <f>#REF!/$B$6</f>
        <v>#REF!</v>
      </c>
      <c r="T192" s="742" t="e">
        <f>#REF!/$B$6</f>
        <v>#REF!</v>
      </c>
      <c r="U192" s="742" t="e">
        <f>#REF!/$B$6</f>
        <v>#REF!</v>
      </c>
      <c r="V192" s="742" t="e">
        <f>#REF!/$B$6</f>
        <v>#REF!</v>
      </c>
      <c r="W192" s="742" t="e">
        <f>#REF!/$B$6</f>
        <v>#REF!</v>
      </c>
      <c r="X192" s="742" t="e">
        <f>#REF!/$B$6</f>
        <v>#REF!</v>
      </c>
      <c r="Y192" s="742" t="e">
        <f>#REF!/$B$6</f>
        <v>#REF!</v>
      </c>
      <c r="Z192" s="742" t="e">
        <f>#REF!/$B$6</f>
        <v>#REF!</v>
      </c>
      <c r="AA192" s="742" t="e">
        <f>#REF!/$B$6</f>
        <v>#REF!</v>
      </c>
    </row>
    <row r="193" spans="1:27" ht="15">
      <c r="A193" s="730" t="s">
        <v>650</v>
      </c>
      <c r="B193" s="742" t="e">
        <f>#REF!/$B$6</f>
        <v>#REF!</v>
      </c>
      <c r="C193" s="742" t="e">
        <f>#REF!/$B$6</f>
        <v>#REF!</v>
      </c>
      <c r="D193" s="742" t="e">
        <f>#REF!/$B$6</f>
        <v>#REF!</v>
      </c>
      <c r="E193" s="742" t="e">
        <f>#REF!/$B$6</f>
        <v>#REF!</v>
      </c>
      <c r="F193" s="742" t="e">
        <f>#REF!/$B$6</f>
        <v>#REF!</v>
      </c>
      <c r="G193" s="742" t="e">
        <f>#REF!/$B$6</f>
        <v>#REF!</v>
      </c>
      <c r="H193" s="742" t="e">
        <f>#REF!/$B$6</f>
        <v>#REF!</v>
      </c>
      <c r="I193" s="742" t="e">
        <f>#REF!/$B$6</f>
        <v>#REF!</v>
      </c>
      <c r="J193" s="742" t="e">
        <f>#REF!/$B$6</f>
        <v>#REF!</v>
      </c>
      <c r="K193" s="742" t="e">
        <f>#REF!/$B$6</f>
        <v>#REF!</v>
      </c>
      <c r="L193" s="742" t="e">
        <f>#REF!/$B$6</f>
        <v>#REF!</v>
      </c>
      <c r="M193" s="742" t="e">
        <f>#REF!/$B$6</f>
        <v>#REF!</v>
      </c>
      <c r="N193" s="742" t="e">
        <f>#REF!/$B$6</f>
        <v>#REF!</v>
      </c>
      <c r="O193" s="742" t="e">
        <f>#REF!/$B$6</f>
        <v>#REF!</v>
      </c>
      <c r="P193" s="742" t="e">
        <f>#REF!/$B$6</f>
        <v>#REF!</v>
      </c>
      <c r="Q193" s="742" t="e">
        <f>#REF!/$B$6</f>
        <v>#REF!</v>
      </c>
      <c r="R193" s="742" t="e">
        <f>#REF!/$B$6</f>
        <v>#REF!</v>
      </c>
      <c r="S193" s="742" t="e">
        <f>#REF!/$B$6</f>
        <v>#REF!</v>
      </c>
      <c r="T193" s="742" t="e">
        <f>#REF!/$B$6</f>
        <v>#REF!</v>
      </c>
      <c r="U193" s="742" t="e">
        <f>#REF!/$B$6</f>
        <v>#REF!</v>
      </c>
      <c r="V193" s="742" t="e">
        <f>#REF!/$B$6</f>
        <v>#REF!</v>
      </c>
      <c r="W193" s="742" t="e">
        <f>#REF!/$B$6</f>
        <v>#REF!</v>
      </c>
      <c r="X193" s="742" t="e">
        <f>#REF!/$B$6</f>
        <v>#REF!</v>
      </c>
      <c r="Y193" s="742" t="e">
        <f>#REF!/$B$6</f>
        <v>#REF!</v>
      </c>
      <c r="Z193" s="742" t="e">
        <f>#REF!/$B$6</f>
        <v>#REF!</v>
      </c>
      <c r="AA193" s="742" t="e">
        <f>#REF!/$B$6</f>
        <v>#REF!</v>
      </c>
    </row>
    <row r="194" spans="1:27">
      <c r="A194" s="732" t="s">
        <v>667</v>
      </c>
      <c r="B194" s="745" t="e">
        <f>#REF!/$B$6</f>
        <v>#REF!</v>
      </c>
      <c r="C194" s="745" t="e">
        <f>#REF!/$B$6</f>
        <v>#REF!</v>
      </c>
      <c r="D194" s="745" t="e">
        <f>#REF!/$B$6</f>
        <v>#REF!</v>
      </c>
      <c r="E194" s="745" t="e">
        <f>#REF!/$B$6</f>
        <v>#REF!</v>
      </c>
      <c r="F194" s="745" t="e">
        <f>#REF!/$B$6</f>
        <v>#REF!</v>
      </c>
      <c r="G194" s="745" t="e">
        <f>#REF!/$B$6</f>
        <v>#REF!</v>
      </c>
      <c r="H194" s="745" t="e">
        <f>#REF!/$B$6</f>
        <v>#REF!</v>
      </c>
      <c r="I194" s="745" t="e">
        <f>#REF!/$B$6</f>
        <v>#REF!</v>
      </c>
      <c r="J194" s="745" t="e">
        <f>#REF!/$B$6</f>
        <v>#REF!</v>
      </c>
      <c r="K194" s="745" t="e">
        <f>#REF!/$B$6</f>
        <v>#REF!</v>
      </c>
      <c r="L194" s="745" t="e">
        <f>#REF!/$B$6</f>
        <v>#REF!</v>
      </c>
      <c r="M194" s="745" t="e">
        <f>#REF!/$B$6</f>
        <v>#REF!</v>
      </c>
      <c r="N194" s="745" t="e">
        <f>#REF!/$B$6</f>
        <v>#REF!</v>
      </c>
      <c r="O194" s="745" t="e">
        <f>#REF!/$B$6</f>
        <v>#REF!</v>
      </c>
      <c r="P194" s="745" t="e">
        <f>#REF!/$B$6</f>
        <v>#REF!</v>
      </c>
      <c r="Q194" s="745" t="e">
        <f>#REF!/$B$6</f>
        <v>#REF!</v>
      </c>
      <c r="R194" s="745" t="e">
        <f>#REF!/$B$6</f>
        <v>#REF!</v>
      </c>
      <c r="S194" s="745" t="e">
        <f>#REF!/$B$6</f>
        <v>#REF!</v>
      </c>
      <c r="T194" s="745" t="e">
        <f>#REF!/$B$6</f>
        <v>#REF!</v>
      </c>
      <c r="U194" s="745" t="e">
        <f>#REF!/$B$6</f>
        <v>#REF!</v>
      </c>
      <c r="V194" s="745" t="e">
        <f>#REF!/$B$6</f>
        <v>#REF!</v>
      </c>
      <c r="W194" s="745" t="e">
        <f>#REF!/$B$6</f>
        <v>#REF!</v>
      </c>
      <c r="X194" s="745" t="e">
        <f>#REF!/$B$6</f>
        <v>#REF!</v>
      </c>
      <c r="Y194" s="745" t="e">
        <f>#REF!/$B$6</f>
        <v>#REF!</v>
      </c>
      <c r="Z194" s="745" t="e">
        <f>#REF!/$B$6</f>
        <v>#REF!</v>
      </c>
      <c r="AA194" s="745" t="e">
        <f>#REF!/$B$6</f>
        <v>#REF!</v>
      </c>
    </row>
    <row r="196" spans="1:27" ht="15">
      <c r="A196" s="730" t="s">
        <v>652</v>
      </c>
      <c r="B196" s="736" t="e">
        <f>B188+B192</f>
        <v>#REF!</v>
      </c>
      <c r="C196" s="736" t="e">
        <f t="shared" ref="C196:Z197" si="124">C188+C192</f>
        <v>#REF!</v>
      </c>
      <c r="D196" s="736" t="e">
        <f t="shared" si="124"/>
        <v>#REF!</v>
      </c>
      <c r="E196" s="736" t="e">
        <f t="shared" si="124"/>
        <v>#REF!</v>
      </c>
      <c r="F196" s="736" t="e">
        <f t="shared" si="124"/>
        <v>#REF!</v>
      </c>
      <c r="G196" s="736" t="e">
        <f t="shared" si="124"/>
        <v>#REF!</v>
      </c>
      <c r="H196" s="736" t="e">
        <f t="shared" si="124"/>
        <v>#REF!</v>
      </c>
      <c r="I196" s="736" t="e">
        <f t="shared" si="124"/>
        <v>#REF!</v>
      </c>
      <c r="J196" s="736" t="e">
        <f t="shared" si="124"/>
        <v>#REF!</v>
      </c>
      <c r="K196" s="736" t="e">
        <f t="shared" si="124"/>
        <v>#REF!</v>
      </c>
      <c r="L196" s="736" t="e">
        <f t="shared" si="124"/>
        <v>#REF!</v>
      </c>
      <c r="M196" s="736" t="e">
        <f t="shared" si="124"/>
        <v>#REF!</v>
      </c>
      <c r="N196" s="736" t="e">
        <f t="shared" si="124"/>
        <v>#REF!</v>
      </c>
      <c r="O196" s="736" t="e">
        <f t="shared" si="124"/>
        <v>#REF!</v>
      </c>
      <c r="P196" s="736" t="e">
        <f t="shared" si="124"/>
        <v>#REF!</v>
      </c>
      <c r="Q196" s="736" t="e">
        <f t="shared" si="124"/>
        <v>#REF!</v>
      </c>
      <c r="R196" s="736" t="e">
        <f t="shared" si="124"/>
        <v>#REF!</v>
      </c>
      <c r="S196" s="736" t="e">
        <f t="shared" si="124"/>
        <v>#REF!</v>
      </c>
      <c r="T196" s="736" t="e">
        <f t="shared" si="124"/>
        <v>#REF!</v>
      </c>
      <c r="U196" s="736" t="e">
        <f t="shared" si="124"/>
        <v>#REF!</v>
      </c>
      <c r="V196" s="736" t="e">
        <f t="shared" si="124"/>
        <v>#REF!</v>
      </c>
      <c r="W196" s="736" t="e">
        <f t="shared" si="124"/>
        <v>#REF!</v>
      </c>
      <c r="X196" s="736" t="e">
        <f t="shared" si="124"/>
        <v>#REF!</v>
      </c>
      <c r="Y196" s="736" t="e">
        <f t="shared" si="124"/>
        <v>#REF!</v>
      </c>
      <c r="Z196" s="736" t="e">
        <f t="shared" si="124"/>
        <v>#REF!</v>
      </c>
      <c r="AA196" s="736" t="e">
        <f t="shared" ref="AA196" si="125">AA188+AA192</f>
        <v>#REF!</v>
      </c>
    </row>
    <row r="197" spans="1:27" ht="15">
      <c r="A197" s="730" t="s">
        <v>653</v>
      </c>
      <c r="B197" s="736" t="e">
        <f>B189+B193</f>
        <v>#REF!</v>
      </c>
      <c r="C197" s="736" t="e">
        <f t="shared" si="124"/>
        <v>#REF!</v>
      </c>
      <c r="D197" s="736" t="e">
        <f t="shared" si="124"/>
        <v>#REF!</v>
      </c>
      <c r="E197" s="736" t="e">
        <f t="shared" si="124"/>
        <v>#REF!</v>
      </c>
      <c r="F197" s="736" t="e">
        <f t="shared" si="124"/>
        <v>#REF!</v>
      </c>
      <c r="G197" s="736" t="e">
        <f t="shared" si="124"/>
        <v>#REF!</v>
      </c>
      <c r="H197" s="736" t="e">
        <f t="shared" si="124"/>
        <v>#REF!</v>
      </c>
      <c r="I197" s="736" t="e">
        <f t="shared" si="124"/>
        <v>#REF!</v>
      </c>
      <c r="J197" s="736" t="e">
        <f t="shared" si="124"/>
        <v>#REF!</v>
      </c>
      <c r="K197" s="736" t="e">
        <f t="shared" si="124"/>
        <v>#REF!</v>
      </c>
      <c r="L197" s="736" t="e">
        <f t="shared" si="124"/>
        <v>#REF!</v>
      </c>
      <c r="M197" s="736" t="e">
        <f t="shared" si="124"/>
        <v>#REF!</v>
      </c>
      <c r="N197" s="736" t="e">
        <f t="shared" si="124"/>
        <v>#REF!</v>
      </c>
      <c r="O197" s="736" t="e">
        <f t="shared" si="124"/>
        <v>#REF!</v>
      </c>
      <c r="P197" s="736" t="e">
        <f t="shared" si="124"/>
        <v>#REF!</v>
      </c>
      <c r="Q197" s="736" t="e">
        <f t="shared" si="124"/>
        <v>#REF!</v>
      </c>
      <c r="R197" s="736" t="e">
        <f t="shared" si="124"/>
        <v>#REF!</v>
      </c>
      <c r="S197" s="736" t="e">
        <f t="shared" si="124"/>
        <v>#REF!</v>
      </c>
      <c r="T197" s="736" t="e">
        <f t="shared" si="124"/>
        <v>#REF!</v>
      </c>
      <c r="U197" s="736" t="e">
        <f t="shared" si="124"/>
        <v>#REF!</v>
      </c>
      <c r="V197" s="736" t="e">
        <f t="shared" si="124"/>
        <v>#REF!</v>
      </c>
      <c r="W197" s="736" t="e">
        <f t="shared" si="124"/>
        <v>#REF!</v>
      </c>
      <c r="X197" s="736" t="e">
        <f t="shared" si="124"/>
        <v>#REF!</v>
      </c>
      <c r="Y197" s="736" t="e">
        <f t="shared" si="124"/>
        <v>#REF!</v>
      </c>
      <c r="Z197" s="736" t="e">
        <f t="shared" si="124"/>
        <v>#REF!</v>
      </c>
      <c r="AA197" s="736" t="e">
        <f t="shared" ref="AA197" si="126">AA189+AA193</f>
        <v>#REF!</v>
      </c>
    </row>
    <row r="198" spans="1:27">
      <c r="A198" s="732" t="s">
        <v>668</v>
      </c>
      <c r="B198" s="747" t="e">
        <f>B196+B197</f>
        <v>#REF!</v>
      </c>
      <c r="C198" s="747" t="e">
        <f t="shared" ref="C198:Z198" si="127">C196+C197</f>
        <v>#REF!</v>
      </c>
      <c r="D198" s="747" t="e">
        <f t="shared" si="127"/>
        <v>#REF!</v>
      </c>
      <c r="E198" s="747" t="e">
        <f t="shared" si="127"/>
        <v>#REF!</v>
      </c>
      <c r="F198" s="747" t="e">
        <f t="shared" si="127"/>
        <v>#REF!</v>
      </c>
      <c r="G198" s="747" t="e">
        <f t="shared" si="127"/>
        <v>#REF!</v>
      </c>
      <c r="H198" s="747" t="e">
        <f t="shared" si="127"/>
        <v>#REF!</v>
      </c>
      <c r="I198" s="747" t="e">
        <f t="shared" si="127"/>
        <v>#REF!</v>
      </c>
      <c r="J198" s="747" t="e">
        <f t="shared" si="127"/>
        <v>#REF!</v>
      </c>
      <c r="K198" s="747" t="e">
        <f t="shared" si="127"/>
        <v>#REF!</v>
      </c>
      <c r="L198" s="747" t="e">
        <f t="shared" si="127"/>
        <v>#REF!</v>
      </c>
      <c r="M198" s="747" t="e">
        <f t="shared" si="127"/>
        <v>#REF!</v>
      </c>
      <c r="N198" s="747" t="e">
        <f t="shared" si="127"/>
        <v>#REF!</v>
      </c>
      <c r="O198" s="747" t="e">
        <f t="shared" si="127"/>
        <v>#REF!</v>
      </c>
      <c r="P198" s="747" t="e">
        <f t="shared" si="127"/>
        <v>#REF!</v>
      </c>
      <c r="Q198" s="747" t="e">
        <f t="shared" si="127"/>
        <v>#REF!</v>
      </c>
      <c r="R198" s="747" t="e">
        <f t="shared" si="127"/>
        <v>#REF!</v>
      </c>
      <c r="S198" s="747" t="e">
        <f t="shared" si="127"/>
        <v>#REF!</v>
      </c>
      <c r="T198" s="747" t="e">
        <f t="shared" si="127"/>
        <v>#REF!</v>
      </c>
      <c r="U198" s="747" t="e">
        <f t="shared" si="127"/>
        <v>#REF!</v>
      </c>
      <c r="V198" s="747" t="e">
        <f t="shared" si="127"/>
        <v>#REF!</v>
      </c>
      <c r="W198" s="747" t="e">
        <f t="shared" si="127"/>
        <v>#REF!</v>
      </c>
      <c r="X198" s="747" t="e">
        <f t="shared" si="127"/>
        <v>#REF!</v>
      </c>
      <c r="Y198" s="747" t="e">
        <f t="shared" si="127"/>
        <v>#REF!</v>
      </c>
      <c r="Z198" s="747" t="e">
        <f t="shared" si="127"/>
        <v>#REF!</v>
      </c>
      <c r="AA198" s="747" t="e">
        <f t="shared" ref="AA198" si="128">AA196+AA197</f>
        <v>#REF!</v>
      </c>
    </row>
    <row r="199" spans="1:27" ht="15">
      <c r="B199" s="736"/>
      <c r="C199" s="736"/>
      <c r="D199" s="736"/>
      <c r="E199" s="736"/>
      <c r="F199" s="736"/>
      <c r="G199" s="736"/>
      <c r="H199" s="736"/>
      <c r="I199" s="736"/>
      <c r="J199" s="736"/>
      <c r="K199" s="736"/>
      <c r="L199" s="736"/>
      <c r="M199" s="736"/>
      <c r="N199" s="736"/>
      <c r="O199" s="736"/>
      <c r="P199" s="736"/>
      <c r="Q199" s="736"/>
      <c r="R199" s="736"/>
      <c r="S199" s="736"/>
      <c r="T199" s="736"/>
      <c r="U199" s="736"/>
      <c r="V199" s="736"/>
      <c r="W199" s="736"/>
      <c r="X199" s="736"/>
      <c r="Y199" s="736"/>
      <c r="Z199" s="736"/>
      <c r="AA199" s="736"/>
    </row>
    <row r="200" spans="1:27" ht="15">
      <c r="A200" s="730" t="s">
        <v>655</v>
      </c>
      <c r="B200" s="742" t="e">
        <f>#REF!/$B$6</f>
        <v>#REF!</v>
      </c>
      <c r="C200" s="742" t="e">
        <f>#REF!/$B$6</f>
        <v>#REF!</v>
      </c>
      <c r="D200" s="742" t="e">
        <f>#REF!/$B$6</f>
        <v>#REF!</v>
      </c>
      <c r="E200" s="742" t="e">
        <f>#REF!/$B$6</f>
        <v>#REF!</v>
      </c>
      <c r="F200" s="742" t="e">
        <f>#REF!/$B$6</f>
        <v>#REF!</v>
      </c>
      <c r="G200" s="742" t="e">
        <f>#REF!/$B$6</f>
        <v>#REF!</v>
      </c>
      <c r="H200" s="742" t="e">
        <f>#REF!/$B$6</f>
        <v>#REF!</v>
      </c>
      <c r="I200" s="742" t="e">
        <f>#REF!/$B$6</f>
        <v>#REF!</v>
      </c>
      <c r="J200" s="742" t="e">
        <f>#REF!/$B$6</f>
        <v>#REF!</v>
      </c>
      <c r="K200" s="742" t="e">
        <f>#REF!/$B$6</f>
        <v>#REF!</v>
      </c>
      <c r="L200" s="742" t="e">
        <f>#REF!/$B$6</f>
        <v>#REF!</v>
      </c>
      <c r="M200" s="742" t="e">
        <f>#REF!/$B$6</f>
        <v>#REF!</v>
      </c>
      <c r="N200" s="742" t="e">
        <f>#REF!/$B$6</f>
        <v>#REF!</v>
      </c>
      <c r="O200" s="742" t="e">
        <f>#REF!/$B$6</f>
        <v>#REF!</v>
      </c>
      <c r="P200" s="742" t="e">
        <f>#REF!/$B$6</f>
        <v>#REF!</v>
      </c>
      <c r="Q200" s="742" t="e">
        <f>#REF!/$B$6</f>
        <v>#REF!</v>
      </c>
      <c r="R200" s="742" t="e">
        <f>#REF!/$B$6</f>
        <v>#REF!</v>
      </c>
      <c r="S200" s="742" t="e">
        <f>#REF!/$B$6</f>
        <v>#REF!</v>
      </c>
      <c r="T200" s="742" t="e">
        <f>#REF!/$B$6</f>
        <v>#REF!</v>
      </c>
      <c r="U200" s="742" t="e">
        <f>#REF!/$B$6</f>
        <v>#REF!</v>
      </c>
      <c r="V200" s="742" t="e">
        <f>#REF!/$B$6</f>
        <v>#REF!</v>
      </c>
      <c r="W200" s="742" t="e">
        <f>#REF!/$B$6</f>
        <v>#REF!</v>
      </c>
      <c r="X200" s="742" t="e">
        <f>#REF!/$B$6</f>
        <v>#REF!</v>
      </c>
      <c r="Y200" s="742" t="e">
        <f>#REF!/$B$6</f>
        <v>#REF!</v>
      </c>
      <c r="Z200" s="742" t="e">
        <f>#REF!/$B$6</f>
        <v>#REF!</v>
      </c>
      <c r="AA200" s="742" t="e">
        <f>#REF!/$B$6</f>
        <v>#REF!</v>
      </c>
    </row>
    <row r="201" spans="1:27" ht="15">
      <c r="A201" s="730" t="s">
        <v>656</v>
      </c>
      <c r="B201" s="742" t="e">
        <f>#REF!/$B$6</f>
        <v>#REF!</v>
      </c>
      <c r="C201" s="742" t="e">
        <f>#REF!/$B$6</f>
        <v>#REF!</v>
      </c>
      <c r="D201" s="742" t="e">
        <f>#REF!/$B$6</f>
        <v>#REF!</v>
      </c>
      <c r="E201" s="742" t="e">
        <f>#REF!/$B$6</f>
        <v>#REF!</v>
      </c>
      <c r="F201" s="742" t="e">
        <f>#REF!/$B$6</f>
        <v>#REF!</v>
      </c>
      <c r="G201" s="742" t="e">
        <f>#REF!/$B$6</f>
        <v>#REF!</v>
      </c>
      <c r="H201" s="742" t="e">
        <f>#REF!/$B$6</f>
        <v>#REF!</v>
      </c>
      <c r="I201" s="742" t="e">
        <f>#REF!/$B$6</f>
        <v>#REF!</v>
      </c>
      <c r="J201" s="742" t="e">
        <f>#REF!/$B$6</f>
        <v>#REF!</v>
      </c>
      <c r="K201" s="742" t="e">
        <f>#REF!/$B$6</f>
        <v>#REF!</v>
      </c>
      <c r="L201" s="742" t="e">
        <f>#REF!/$B$6</f>
        <v>#REF!</v>
      </c>
      <c r="M201" s="742" t="e">
        <f>#REF!/$B$6</f>
        <v>#REF!</v>
      </c>
      <c r="N201" s="742" t="e">
        <f>#REF!/$B$6</f>
        <v>#REF!</v>
      </c>
      <c r="O201" s="742" t="e">
        <f>#REF!/$B$6</f>
        <v>#REF!</v>
      </c>
      <c r="P201" s="742" t="e">
        <f>#REF!/$B$6</f>
        <v>#REF!</v>
      </c>
      <c r="Q201" s="742" t="e">
        <f>#REF!/$B$6</f>
        <v>#REF!</v>
      </c>
      <c r="R201" s="742" t="e">
        <f>#REF!/$B$6</f>
        <v>#REF!</v>
      </c>
      <c r="S201" s="742" t="e">
        <f>#REF!/$B$6</f>
        <v>#REF!</v>
      </c>
      <c r="T201" s="742" t="e">
        <f>#REF!/$B$6</f>
        <v>#REF!</v>
      </c>
      <c r="U201" s="742" t="e">
        <f>#REF!/$B$6</f>
        <v>#REF!</v>
      </c>
      <c r="V201" s="742" t="e">
        <f>#REF!/$B$6</f>
        <v>#REF!</v>
      </c>
      <c r="W201" s="742" t="e">
        <f>#REF!/$B$6</f>
        <v>#REF!</v>
      </c>
      <c r="X201" s="742" t="e">
        <f>#REF!/$B$6</f>
        <v>#REF!</v>
      </c>
      <c r="Y201" s="742" t="e">
        <f>#REF!/$B$6</f>
        <v>#REF!</v>
      </c>
      <c r="Z201" s="742" t="e">
        <f>#REF!/$B$6</f>
        <v>#REF!</v>
      </c>
      <c r="AA201" s="742" t="e">
        <f>#REF!/$B$6</f>
        <v>#REF!</v>
      </c>
    </row>
    <row r="202" spans="1:27">
      <c r="A202" s="732" t="s">
        <v>669</v>
      </c>
      <c r="B202" s="745" t="e">
        <f>#REF!/$B$6</f>
        <v>#REF!</v>
      </c>
      <c r="C202" s="745" t="e">
        <f>#REF!/$B$6</f>
        <v>#REF!</v>
      </c>
      <c r="D202" s="745" t="e">
        <f>#REF!/$B$6</f>
        <v>#REF!</v>
      </c>
      <c r="E202" s="745" t="e">
        <f>#REF!/$B$6</f>
        <v>#REF!</v>
      </c>
      <c r="F202" s="745" t="e">
        <f>#REF!/$B$6</f>
        <v>#REF!</v>
      </c>
      <c r="G202" s="745" t="e">
        <f>#REF!/$B$6</f>
        <v>#REF!</v>
      </c>
      <c r="H202" s="745" t="e">
        <f>#REF!/$B$6</f>
        <v>#REF!</v>
      </c>
      <c r="I202" s="745" t="e">
        <f>#REF!/$B$6</f>
        <v>#REF!</v>
      </c>
      <c r="J202" s="745" t="e">
        <f>#REF!/$B$6</f>
        <v>#REF!</v>
      </c>
      <c r="K202" s="745" t="e">
        <f>#REF!/$B$6</f>
        <v>#REF!</v>
      </c>
      <c r="L202" s="745" t="e">
        <f>#REF!/$B$6</f>
        <v>#REF!</v>
      </c>
      <c r="M202" s="745" t="e">
        <f>#REF!/$B$6</f>
        <v>#REF!</v>
      </c>
      <c r="N202" s="745" t="e">
        <f>#REF!/$B$6</f>
        <v>#REF!</v>
      </c>
      <c r="O202" s="745" t="e">
        <f>#REF!/$B$6</f>
        <v>#REF!</v>
      </c>
      <c r="P202" s="745" t="e">
        <f>#REF!/$B$6</f>
        <v>#REF!</v>
      </c>
      <c r="Q202" s="745" t="e">
        <f>#REF!/$B$6</f>
        <v>#REF!</v>
      </c>
      <c r="R202" s="745" t="e">
        <f>#REF!/$B$6</f>
        <v>#REF!</v>
      </c>
      <c r="S202" s="745" t="e">
        <f>#REF!/$B$6</f>
        <v>#REF!</v>
      </c>
      <c r="T202" s="745" t="e">
        <f>#REF!/$B$6</f>
        <v>#REF!</v>
      </c>
      <c r="U202" s="745" t="e">
        <f>#REF!/$B$6</f>
        <v>#REF!</v>
      </c>
      <c r="V202" s="745" t="e">
        <f>#REF!/$B$6</f>
        <v>#REF!</v>
      </c>
      <c r="W202" s="745" t="e">
        <f>#REF!/$B$6</f>
        <v>#REF!</v>
      </c>
      <c r="X202" s="745" t="e">
        <f>#REF!/$B$6</f>
        <v>#REF!</v>
      </c>
      <c r="Y202" s="745" t="e">
        <f>#REF!/$B$6</f>
        <v>#REF!</v>
      </c>
      <c r="Z202" s="745" t="e">
        <f>#REF!/$B$6</f>
        <v>#REF!</v>
      </c>
      <c r="AA202" s="745" t="e">
        <f>#REF!/$B$6</f>
        <v>#REF!</v>
      </c>
    </row>
    <row r="203" spans="1:27" ht="15">
      <c r="B203" s="736"/>
      <c r="C203" s="736"/>
      <c r="D203" s="736"/>
      <c r="E203" s="736"/>
      <c r="F203" s="736"/>
      <c r="G203" s="736"/>
      <c r="H203" s="736"/>
      <c r="I203" s="736"/>
      <c r="J203" s="736"/>
      <c r="K203" s="736"/>
      <c r="L203" s="736"/>
      <c r="M203" s="736"/>
      <c r="N203" s="736"/>
      <c r="O203" s="736"/>
      <c r="P203" s="736"/>
      <c r="Q203" s="736"/>
      <c r="R203" s="736"/>
      <c r="S203" s="736"/>
      <c r="T203" s="736"/>
      <c r="U203" s="736"/>
      <c r="V203" s="736"/>
      <c r="W203" s="736"/>
      <c r="X203" s="736"/>
      <c r="Y203" s="736"/>
      <c r="Z203" s="736"/>
      <c r="AA203" s="736"/>
    </row>
    <row r="204" spans="1:27" ht="15">
      <c r="A204" s="730" t="s">
        <v>658</v>
      </c>
      <c r="B204" s="742" t="e">
        <f>#REF!/$B$6</f>
        <v>#REF!</v>
      </c>
      <c r="C204" s="742" t="e">
        <f>#REF!/$B$6</f>
        <v>#REF!</v>
      </c>
      <c r="D204" s="742" t="e">
        <f>#REF!/$B$6</f>
        <v>#REF!</v>
      </c>
      <c r="E204" s="742" t="e">
        <f>#REF!/$B$6</f>
        <v>#REF!</v>
      </c>
      <c r="F204" s="742" t="e">
        <f>#REF!/$B$6</f>
        <v>#REF!</v>
      </c>
      <c r="G204" s="742" t="e">
        <f>#REF!/$B$6</f>
        <v>#REF!</v>
      </c>
      <c r="H204" s="742" t="e">
        <f>#REF!/$B$6</f>
        <v>#REF!</v>
      </c>
      <c r="I204" s="742" t="e">
        <f>#REF!/$B$6</f>
        <v>#REF!</v>
      </c>
      <c r="J204" s="742" t="e">
        <f>#REF!/$B$6</f>
        <v>#REF!</v>
      </c>
      <c r="K204" s="742" t="e">
        <f>#REF!/$B$6</f>
        <v>#REF!</v>
      </c>
      <c r="L204" s="742" t="e">
        <f>#REF!/$B$6</f>
        <v>#REF!</v>
      </c>
      <c r="M204" s="742" t="e">
        <f>#REF!/$B$6</f>
        <v>#REF!</v>
      </c>
      <c r="N204" s="742" t="e">
        <f>#REF!/$B$6</f>
        <v>#REF!</v>
      </c>
      <c r="O204" s="742" t="e">
        <f>#REF!/$B$6</f>
        <v>#REF!</v>
      </c>
      <c r="P204" s="742" t="e">
        <f>#REF!/$B$6</f>
        <v>#REF!</v>
      </c>
      <c r="Q204" s="742" t="e">
        <f>#REF!/$B$6</f>
        <v>#REF!</v>
      </c>
      <c r="R204" s="742" t="e">
        <f>#REF!/$B$6</f>
        <v>#REF!</v>
      </c>
      <c r="S204" s="742" t="e">
        <f>#REF!/$B$6</f>
        <v>#REF!</v>
      </c>
      <c r="T204" s="742" t="e">
        <f>#REF!/$B$6</f>
        <v>#REF!</v>
      </c>
      <c r="U204" s="742" t="e">
        <f>#REF!/$B$6</f>
        <v>#REF!</v>
      </c>
      <c r="V204" s="742" t="e">
        <f>#REF!/$B$6</f>
        <v>#REF!</v>
      </c>
      <c r="W204" s="742" t="e">
        <f>#REF!/$B$6</f>
        <v>#REF!</v>
      </c>
      <c r="X204" s="742" t="e">
        <f>#REF!/$B$6</f>
        <v>#REF!</v>
      </c>
      <c r="Y204" s="742" t="e">
        <f>#REF!/$B$6</f>
        <v>#REF!</v>
      </c>
      <c r="Z204" s="742" t="e">
        <f>#REF!/$B$6</f>
        <v>#REF!</v>
      </c>
      <c r="AA204" s="742" t="e">
        <f>#REF!/$B$6</f>
        <v>#REF!</v>
      </c>
    </row>
    <row r="205" spans="1:27">
      <c r="A205" s="732" t="s">
        <v>670</v>
      </c>
      <c r="B205" s="747" t="e">
        <f>B202+B204</f>
        <v>#REF!</v>
      </c>
      <c r="C205" s="747" t="e">
        <f t="shared" ref="C205:Z205" si="129">C202+C204</f>
        <v>#REF!</v>
      </c>
      <c r="D205" s="747" t="e">
        <f t="shared" si="129"/>
        <v>#REF!</v>
      </c>
      <c r="E205" s="747" t="e">
        <f t="shared" si="129"/>
        <v>#REF!</v>
      </c>
      <c r="F205" s="747" t="e">
        <f t="shared" si="129"/>
        <v>#REF!</v>
      </c>
      <c r="G205" s="747" t="e">
        <f t="shared" si="129"/>
        <v>#REF!</v>
      </c>
      <c r="H205" s="747" t="e">
        <f t="shared" si="129"/>
        <v>#REF!</v>
      </c>
      <c r="I205" s="747" t="e">
        <f t="shared" si="129"/>
        <v>#REF!</v>
      </c>
      <c r="J205" s="747" t="e">
        <f t="shared" si="129"/>
        <v>#REF!</v>
      </c>
      <c r="K205" s="747" t="e">
        <f t="shared" si="129"/>
        <v>#REF!</v>
      </c>
      <c r="L205" s="747" t="e">
        <f t="shared" si="129"/>
        <v>#REF!</v>
      </c>
      <c r="M205" s="747" t="e">
        <f t="shared" si="129"/>
        <v>#REF!</v>
      </c>
      <c r="N205" s="747" t="e">
        <f t="shared" si="129"/>
        <v>#REF!</v>
      </c>
      <c r="O205" s="747" t="e">
        <f t="shared" si="129"/>
        <v>#REF!</v>
      </c>
      <c r="P205" s="747" t="e">
        <f t="shared" si="129"/>
        <v>#REF!</v>
      </c>
      <c r="Q205" s="747" t="e">
        <f t="shared" si="129"/>
        <v>#REF!</v>
      </c>
      <c r="R205" s="747" t="e">
        <f t="shared" si="129"/>
        <v>#REF!</v>
      </c>
      <c r="S205" s="747" t="e">
        <f t="shared" si="129"/>
        <v>#REF!</v>
      </c>
      <c r="T205" s="747" t="e">
        <f t="shared" si="129"/>
        <v>#REF!</v>
      </c>
      <c r="U205" s="747" t="e">
        <f t="shared" si="129"/>
        <v>#REF!</v>
      </c>
      <c r="V205" s="747" t="e">
        <f t="shared" si="129"/>
        <v>#REF!</v>
      </c>
      <c r="W205" s="747" t="e">
        <f t="shared" si="129"/>
        <v>#REF!</v>
      </c>
      <c r="X205" s="747" t="e">
        <f t="shared" si="129"/>
        <v>#REF!</v>
      </c>
      <c r="Y205" s="747" t="e">
        <f t="shared" si="129"/>
        <v>#REF!</v>
      </c>
      <c r="Z205" s="747" t="e">
        <f t="shared" si="129"/>
        <v>#REF!</v>
      </c>
      <c r="AA205" s="747" t="e">
        <f t="shared" ref="AA205" si="130">AA202+AA204</f>
        <v>#REF!</v>
      </c>
    </row>
    <row r="206" spans="1:27" ht="15">
      <c r="B206" s="736"/>
      <c r="C206" s="736"/>
      <c r="D206" s="736"/>
      <c r="E206" s="736"/>
      <c r="F206" s="736"/>
      <c r="G206" s="736"/>
      <c r="H206" s="736"/>
      <c r="I206" s="736"/>
      <c r="J206" s="736"/>
      <c r="K206" s="736"/>
      <c r="L206" s="736"/>
      <c r="M206" s="736"/>
      <c r="N206" s="736"/>
      <c r="O206" s="736"/>
      <c r="P206" s="736"/>
      <c r="Q206" s="736"/>
      <c r="R206" s="736"/>
      <c r="S206" s="736"/>
      <c r="T206" s="736"/>
      <c r="U206" s="736"/>
      <c r="V206" s="736"/>
      <c r="W206" s="736"/>
      <c r="X206" s="736"/>
      <c r="Y206" s="736"/>
      <c r="Z206" s="736"/>
      <c r="AA206" s="736"/>
    </row>
    <row r="207" spans="1:27" ht="15">
      <c r="A207" s="730" t="s">
        <v>660</v>
      </c>
      <c r="B207" s="736" t="e">
        <f>B196+B200+B204</f>
        <v>#REF!</v>
      </c>
      <c r="C207" s="736" t="e">
        <f t="shared" ref="C207:Z207" si="131">C196+C200+C204</f>
        <v>#REF!</v>
      </c>
      <c r="D207" s="736" t="e">
        <f t="shared" si="131"/>
        <v>#REF!</v>
      </c>
      <c r="E207" s="736" t="e">
        <f t="shared" si="131"/>
        <v>#REF!</v>
      </c>
      <c r="F207" s="736" t="e">
        <f t="shared" si="131"/>
        <v>#REF!</v>
      </c>
      <c r="G207" s="736" t="e">
        <f t="shared" si="131"/>
        <v>#REF!</v>
      </c>
      <c r="H207" s="736" t="e">
        <f t="shared" si="131"/>
        <v>#REF!</v>
      </c>
      <c r="I207" s="736" t="e">
        <f t="shared" si="131"/>
        <v>#REF!</v>
      </c>
      <c r="J207" s="736" t="e">
        <f t="shared" si="131"/>
        <v>#REF!</v>
      </c>
      <c r="K207" s="736" t="e">
        <f t="shared" si="131"/>
        <v>#REF!</v>
      </c>
      <c r="L207" s="736" t="e">
        <f t="shared" si="131"/>
        <v>#REF!</v>
      </c>
      <c r="M207" s="736" t="e">
        <f t="shared" si="131"/>
        <v>#REF!</v>
      </c>
      <c r="N207" s="736" t="e">
        <f t="shared" si="131"/>
        <v>#REF!</v>
      </c>
      <c r="O207" s="736" t="e">
        <f t="shared" si="131"/>
        <v>#REF!</v>
      </c>
      <c r="P207" s="736" t="e">
        <f t="shared" si="131"/>
        <v>#REF!</v>
      </c>
      <c r="Q207" s="736" t="e">
        <f t="shared" si="131"/>
        <v>#REF!</v>
      </c>
      <c r="R207" s="736" t="e">
        <f t="shared" si="131"/>
        <v>#REF!</v>
      </c>
      <c r="S207" s="736" t="e">
        <f t="shared" si="131"/>
        <v>#REF!</v>
      </c>
      <c r="T207" s="736" t="e">
        <f t="shared" si="131"/>
        <v>#REF!</v>
      </c>
      <c r="U207" s="736" t="e">
        <f t="shared" si="131"/>
        <v>#REF!</v>
      </c>
      <c r="V207" s="736" t="e">
        <f t="shared" si="131"/>
        <v>#REF!</v>
      </c>
      <c r="W207" s="736" t="e">
        <f t="shared" si="131"/>
        <v>#REF!</v>
      </c>
      <c r="X207" s="736" t="e">
        <f t="shared" si="131"/>
        <v>#REF!</v>
      </c>
      <c r="Y207" s="736" t="e">
        <f t="shared" si="131"/>
        <v>#REF!</v>
      </c>
      <c r="Z207" s="736" t="e">
        <f t="shared" si="131"/>
        <v>#REF!</v>
      </c>
      <c r="AA207" s="736" t="e">
        <f t="shared" ref="AA207" si="132">AA196+AA200+AA204</f>
        <v>#REF!</v>
      </c>
    </row>
    <row r="208" spans="1:27" ht="15">
      <c r="A208" s="730" t="s">
        <v>661</v>
      </c>
      <c r="B208" s="736" t="e">
        <f>B197+B201</f>
        <v>#REF!</v>
      </c>
      <c r="C208" s="736" t="e">
        <f t="shared" ref="C208:Z208" si="133">C197+C201</f>
        <v>#REF!</v>
      </c>
      <c r="D208" s="736" t="e">
        <f t="shared" si="133"/>
        <v>#REF!</v>
      </c>
      <c r="E208" s="736" t="e">
        <f t="shared" si="133"/>
        <v>#REF!</v>
      </c>
      <c r="F208" s="736" t="e">
        <f t="shared" si="133"/>
        <v>#REF!</v>
      </c>
      <c r="G208" s="736" t="e">
        <f t="shared" si="133"/>
        <v>#REF!</v>
      </c>
      <c r="H208" s="736" t="e">
        <f t="shared" si="133"/>
        <v>#REF!</v>
      </c>
      <c r="I208" s="736" t="e">
        <f t="shared" si="133"/>
        <v>#REF!</v>
      </c>
      <c r="J208" s="736" t="e">
        <f t="shared" si="133"/>
        <v>#REF!</v>
      </c>
      <c r="K208" s="736" t="e">
        <f t="shared" si="133"/>
        <v>#REF!</v>
      </c>
      <c r="L208" s="736" t="e">
        <f t="shared" si="133"/>
        <v>#REF!</v>
      </c>
      <c r="M208" s="736" t="e">
        <f t="shared" si="133"/>
        <v>#REF!</v>
      </c>
      <c r="N208" s="736" t="e">
        <f t="shared" si="133"/>
        <v>#REF!</v>
      </c>
      <c r="O208" s="736" t="e">
        <f t="shared" si="133"/>
        <v>#REF!</v>
      </c>
      <c r="P208" s="736" t="e">
        <f t="shared" si="133"/>
        <v>#REF!</v>
      </c>
      <c r="Q208" s="736" t="e">
        <f t="shared" si="133"/>
        <v>#REF!</v>
      </c>
      <c r="R208" s="736" t="e">
        <f t="shared" si="133"/>
        <v>#REF!</v>
      </c>
      <c r="S208" s="736" t="e">
        <f t="shared" si="133"/>
        <v>#REF!</v>
      </c>
      <c r="T208" s="736" t="e">
        <f t="shared" si="133"/>
        <v>#REF!</v>
      </c>
      <c r="U208" s="736" t="e">
        <f t="shared" si="133"/>
        <v>#REF!</v>
      </c>
      <c r="V208" s="736" t="e">
        <f t="shared" si="133"/>
        <v>#REF!</v>
      </c>
      <c r="W208" s="736" t="e">
        <f t="shared" si="133"/>
        <v>#REF!</v>
      </c>
      <c r="X208" s="736" t="e">
        <f t="shared" si="133"/>
        <v>#REF!</v>
      </c>
      <c r="Y208" s="736" t="e">
        <f t="shared" si="133"/>
        <v>#REF!</v>
      </c>
      <c r="Z208" s="736" t="e">
        <f t="shared" si="133"/>
        <v>#REF!</v>
      </c>
      <c r="AA208" s="736" t="e">
        <f t="shared" ref="AA208" si="134">AA197+AA201</f>
        <v>#REF!</v>
      </c>
    </row>
    <row r="209" spans="1:27">
      <c r="A209" s="732" t="s">
        <v>671</v>
      </c>
      <c r="B209" s="747" t="e">
        <f>B207+B208</f>
        <v>#REF!</v>
      </c>
      <c r="C209" s="747" t="e">
        <f t="shared" ref="C209:Z209" si="135">C207+C208</f>
        <v>#REF!</v>
      </c>
      <c r="D209" s="747" t="e">
        <f t="shared" si="135"/>
        <v>#REF!</v>
      </c>
      <c r="E209" s="747" t="e">
        <f t="shared" si="135"/>
        <v>#REF!</v>
      </c>
      <c r="F209" s="747" t="e">
        <f t="shared" si="135"/>
        <v>#REF!</v>
      </c>
      <c r="G209" s="747" t="e">
        <f t="shared" si="135"/>
        <v>#REF!</v>
      </c>
      <c r="H209" s="747" t="e">
        <f t="shared" si="135"/>
        <v>#REF!</v>
      </c>
      <c r="I209" s="747" t="e">
        <f t="shared" si="135"/>
        <v>#REF!</v>
      </c>
      <c r="J209" s="747" t="e">
        <f t="shared" si="135"/>
        <v>#REF!</v>
      </c>
      <c r="K209" s="747" t="e">
        <f t="shared" si="135"/>
        <v>#REF!</v>
      </c>
      <c r="L209" s="747" t="e">
        <f t="shared" si="135"/>
        <v>#REF!</v>
      </c>
      <c r="M209" s="747" t="e">
        <f t="shared" si="135"/>
        <v>#REF!</v>
      </c>
      <c r="N209" s="747" t="e">
        <f t="shared" si="135"/>
        <v>#REF!</v>
      </c>
      <c r="O209" s="747" t="e">
        <f t="shared" si="135"/>
        <v>#REF!</v>
      </c>
      <c r="P209" s="747" t="e">
        <f t="shared" si="135"/>
        <v>#REF!</v>
      </c>
      <c r="Q209" s="747" t="e">
        <f t="shared" si="135"/>
        <v>#REF!</v>
      </c>
      <c r="R209" s="747" t="e">
        <f t="shared" si="135"/>
        <v>#REF!</v>
      </c>
      <c r="S209" s="747" t="e">
        <f t="shared" si="135"/>
        <v>#REF!</v>
      </c>
      <c r="T209" s="747" t="e">
        <f t="shared" si="135"/>
        <v>#REF!</v>
      </c>
      <c r="U209" s="747" t="e">
        <f t="shared" si="135"/>
        <v>#REF!</v>
      </c>
      <c r="V209" s="747" t="e">
        <f t="shared" si="135"/>
        <v>#REF!</v>
      </c>
      <c r="W209" s="747" t="e">
        <f t="shared" si="135"/>
        <v>#REF!</v>
      </c>
      <c r="X209" s="747" t="e">
        <f t="shared" si="135"/>
        <v>#REF!</v>
      </c>
      <c r="Y209" s="747" t="e">
        <f t="shared" si="135"/>
        <v>#REF!</v>
      </c>
      <c r="Z209" s="747" t="e">
        <f t="shared" si="135"/>
        <v>#REF!</v>
      </c>
      <c r="AA209" s="747" t="e">
        <f t="shared" ref="AA209" si="136">AA207+AA208</f>
        <v>#REF!</v>
      </c>
    </row>
    <row r="210" spans="1:27" ht="15">
      <c r="B210" s="736"/>
      <c r="C210" s="736"/>
      <c r="D210" s="736"/>
      <c r="E210" s="736"/>
      <c r="F210" s="736"/>
      <c r="G210" s="736"/>
      <c r="H210" s="736"/>
      <c r="I210" s="736"/>
      <c r="J210" s="736"/>
      <c r="K210" s="736"/>
      <c r="L210" s="736"/>
      <c r="M210" s="736"/>
      <c r="N210" s="736"/>
      <c r="O210" s="736"/>
      <c r="P210" s="736"/>
      <c r="Q210" s="736"/>
      <c r="R210" s="736"/>
      <c r="S210" s="736"/>
      <c r="T210" s="736"/>
      <c r="U210" s="736"/>
      <c r="V210" s="736"/>
      <c r="W210" s="736"/>
      <c r="X210" s="736"/>
      <c r="Y210" s="736"/>
      <c r="Z210" s="736"/>
      <c r="AA210" s="736"/>
    </row>
    <row r="211" spans="1:27" ht="15">
      <c r="A211" s="730" t="s">
        <v>672</v>
      </c>
      <c r="B211" s="742" t="e">
        <f>#REF!/$B$6</f>
        <v>#REF!</v>
      </c>
      <c r="C211" s="742" t="e">
        <f>#REF!/$B$6</f>
        <v>#REF!</v>
      </c>
      <c r="D211" s="742" t="e">
        <f>#REF!/$B$6</f>
        <v>#REF!</v>
      </c>
      <c r="E211" s="742" t="e">
        <f>#REF!/$B$6</f>
        <v>#REF!</v>
      </c>
      <c r="F211" s="742" t="e">
        <f>#REF!/$B$6</f>
        <v>#REF!</v>
      </c>
      <c r="G211" s="742" t="e">
        <f>#REF!/$B$6</f>
        <v>#REF!</v>
      </c>
      <c r="H211" s="742" t="e">
        <f>#REF!/$B$6</f>
        <v>#REF!</v>
      </c>
      <c r="I211" s="742" t="e">
        <f>#REF!/$B$6</f>
        <v>#REF!</v>
      </c>
      <c r="J211" s="742" t="e">
        <f>#REF!/$B$6</f>
        <v>#REF!</v>
      </c>
      <c r="K211" s="742" t="e">
        <f>#REF!/$B$6</f>
        <v>#REF!</v>
      </c>
      <c r="L211" s="742" t="e">
        <f>#REF!/$B$6</f>
        <v>#REF!</v>
      </c>
      <c r="M211" s="742" t="e">
        <f>#REF!/$B$6</f>
        <v>#REF!</v>
      </c>
      <c r="N211" s="742" t="e">
        <f>#REF!/$B$6</f>
        <v>#REF!</v>
      </c>
      <c r="O211" s="742" t="e">
        <f>#REF!/$B$6</f>
        <v>#REF!</v>
      </c>
      <c r="P211" s="742" t="e">
        <f>#REF!/$B$6</f>
        <v>#REF!</v>
      </c>
      <c r="Q211" s="742" t="e">
        <f>#REF!/$B$6</f>
        <v>#REF!</v>
      </c>
      <c r="R211" s="742" t="e">
        <f>#REF!/$B$6</f>
        <v>#REF!</v>
      </c>
      <c r="S211" s="742" t="e">
        <f>#REF!/$B$6</f>
        <v>#REF!</v>
      </c>
      <c r="T211" s="742" t="e">
        <f>#REF!/$B$6</f>
        <v>#REF!</v>
      </c>
      <c r="U211" s="742" t="e">
        <f>#REF!/$B$6</f>
        <v>#REF!</v>
      </c>
      <c r="V211" s="742" t="e">
        <f>#REF!/$B$6</f>
        <v>#REF!</v>
      </c>
      <c r="W211" s="742" t="e">
        <f>#REF!/$B$6</f>
        <v>#REF!</v>
      </c>
      <c r="X211" s="742" t="e">
        <f>#REF!/$B$6</f>
        <v>#REF!</v>
      </c>
      <c r="Y211" s="742" t="e">
        <f>#REF!/$B$6</f>
        <v>#REF!</v>
      </c>
      <c r="Z211" s="742" t="e">
        <f>#REF!/$B$6</f>
        <v>#REF!</v>
      </c>
      <c r="AA211" s="742" t="e">
        <f>#REF!/$B$6</f>
        <v>#REF!</v>
      </c>
    </row>
    <row r="212" spans="1:27" ht="15">
      <c r="A212" s="730" t="s">
        <v>673</v>
      </c>
      <c r="B212" s="742" t="e">
        <f>#REF!/$B$6</f>
        <v>#REF!</v>
      </c>
      <c r="C212" s="742" t="e">
        <f>#REF!/$B$6</f>
        <v>#REF!</v>
      </c>
      <c r="D212" s="742" t="e">
        <f>#REF!/$B$6</f>
        <v>#REF!</v>
      </c>
      <c r="E212" s="742" t="e">
        <f>#REF!/$B$6</f>
        <v>#REF!</v>
      </c>
      <c r="F212" s="742" t="e">
        <f>#REF!/$B$6</f>
        <v>#REF!</v>
      </c>
      <c r="G212" s="742" t="e">
        <f>#REF!/$B$6</f>
        <v>#REF!</v>
      </c>
      <c r="H212" s="742" t="e">
        <f>#REF!/$B$6</f>
        <v>#REF!</v>
      </c>
      <c r="I212" s="742" t="e">
        <f>#REF!/$B$6</f>
        <v>#REF!</v>
      </c>
      <c r="J212" s="742" t="e">
        <f>#REF!/$B$6</f>
        <v>#REF!</v>
      </c>
      <c r="K212" s="742" t="e">
        <f>#REF!/$B$6</f>
        <v>#REF!</v>
      </c>
      <c r="L212" s="742" t="e">
        <f>#REF!/$B$6</f>
        <v>#REF!</v>
      </c>
      <c r="M212" s="742" t="e">
        <f>#REF!/$B$6</f>
        <v>#REF!</v>
      </c>
      <c r="N212" s="742" t="e">
        <f>#REF!/$B$6</f>
        <v>#REF!</v>
      </c>
      <c r="O212" s="742" t="e">
        <f>#REF!/$B$6</f>
        <v>#REF!</v>
      </c>
      <c r="P212" s="742" t="e">
        <f>#REF!/$B$6</f>
        <v>#REF!</v>
      </c>
      <c r="Q212" s="742" t="e">
        <f>#REF!/$B$6</f>
        <v>#REF!</v>
      </c>
      <c r="R212" s="742" t="e">
        <f>#REF!/$B$6</f>
        <v>#REF!</v>
      </c>
      <c r="S212" s="742" t="e">
        <f>#REF!/$B$6</f>
        <v>#REF!</v>
      </c>
      <c r="T212" s="742" t="e">
        <f>#REF!/$B$6</f>
        <v>#REF!</v>
      </c>
      <c r="U212" s="742" t="e">
        <f>#REF!/$B$6</f>
        <v>#REF!</v>
      </c>
      <c r="V212" s="742" t="e">
        <f>#REF!/$B$6</f>
        <v>#REF!</v>
      </c>
      <c r="W212" s="742" t="e">
        <f>#REF!/$B$6</f>
        <v>#REF!</v>
      </c>
      <c r="X212" s="742" t="e">
        <f>#REF!/$B$6</f>
        <v>#REF!</v>
      </c>
      <c r="Y212" s="742" t="e">
        <f>#REF!/$B$6</f>
        <v>#REF!</v>
      </c>
      <c r="Z212" s="742" t="e">
        <f>#REF!/$B$6</f>
        <v>#REF!</v>
      </c>
      <c r="AA212" s="742" t="e">
        <f>#REF!/$B$6</f>
        <v>#REF!</v>
      </c>
    </row>
    <row r="213" spans="1:27">
      <c r="A213" s="732" t="s">
        <v>669</v>
      </c>
      <c r="B213" s="745" t="e">
        <f>#REF!/$B$6</f>
        <v>#REF!</v>
      </c>
      <c r="C213" s="745" t="e">
        <f>#REF!/$B$6</f>
        <v>#REF!</v>
      </c>
      <c r="D213" s="745" t="e">
        <f>#REF!/$B$6</f>
        <v>#REF!</v>
      </c>
      <c r="E213" s="745" t="e">
        <f>#REF!/$B$6</f>
        <v>#REF!</v>
      </c>
      <c r="F213" s="745" t="e">
        <f>#REF!/$B$6</f>
        <v>#REF!</v>
      </c>
      <c r="G213" s="745" t="e">
        <f>#REF!/$B$6</f>
        <v>#REF!</v>
      </c>
      <c r="H213" s="745" t="e">
        <f>#REF!/$B$6</f>
        <v>#REF!</v>
      </c>
      <c r="I213" s="745" t="e">
        <f>#REF!/$B$6</f>
        <v>#REF!</v>
      </c>
      <c r="J213" s="745" t="e">
        <f>#REF!/$B$6</f>
        <v>#REF!</v>
      </c>
      <c r="K213" s="745" t="e">
        <f>#REF!/$B$6</f>
        <v>#REF!</v>
      </c>
      <c r="L213" s="745" t="e">
        <f>#REF!/$B$6</f>
        <v>#REF!</v>
      </c>
      <c r="M213" s="745" t="e">
        <f>#REF!/$B$6</f>
        <v>#REF!</v>
      </c>
      <c r="N213" s="745" t="e">
        <f>#REF!/$B$6</f>
        <v>#REF!</v>
      </c>
      <c r="O213" s="745" t="e">
        <f>#REF!/$B$6</f>
        <v>#REF!</v>
      </c>
      <c r="P213" s="745" t="e">
        <f>#REF!/$B$6</f>
        <v>#REF!</v>
      </c>
      <c r="Q213" s="745" t="e">
        <f>#REF!/$B$6</f>
        <v>#REF!</v>
      </c>
      <c r="R213" s="745" t="e">
        <f>#REF!/$B$6</f>
        <v>#REF!</v>
      </c>
      <c r="S213" s="745" t="e">
        <f>#REF!/$B$6</f>
        <v>#REF!</v>
      </c>
      <c r="T213" s="745" t="e">
        <f>#REF!/$B$6</f>
        <v>#REF!</v>
      </c>
      <c r="U213" s="745" t="e">
        <f>#REF!/$B$6</f>
        <v>#REF!</v>
      </c>
      <c r="V213" s="745" t="e">
        <f>#REF!/$B$6</f>
        <v>#REF!</v>
      </c>
      <c r="W213" s="745" t="e">
        <f>#REF!/$B$6</f>
        <v>#REF!</v>
      </c>
      <c r="X213" s="745" t="e">
        <f>#REF!/$B$6</f>
        <v>#REF!</v>
      </c>
      <c r="Y213" s="745" t="e">
        <f>#REF!/$B$6</f>
        <v>#REF!</v>
      </c>
      <c r="Z213" s="745" t="e">
        <f>#REF!/$B$6</f>
        <v>#REF!</v>
      </c>
      <c r="AA213" s="745" t="e">
        <f>#REF!/$B$6</f>
        <v>#REF!</v>
      </c>
    </row>
    <row r="214" spans="1:27" ht="15">
      <c r="B214" s="736"/>
      <c r="C214" s="736"/>
      <c r="D214" s="736"/>
      <c r="E214" s="736"/>
      <c r="F214" s="736"/>
      <c r="G214" s="736"/>
      <c r="H214" s="736"/>
      <c r="I214" s="736"/>
      <c r="J214" s="736"/>
      <c r="K214" s="736"/>
      <c r="L214" s="736"/>
      <c r="M214" s="736"/>
      <c r="N214" s="736"/>
      <c r="O214" s="736"/>
      <c r="P214" s="736"/>
      <c r="Q214" s="736"/>
      <c r="R214" s="736"/>
      <c r="S214" s="736"/>
      <c r="T214" s="736"/>
      <c r="U214" s="736"/>
      <c r="V214" s="736"/>
      <c r="W214" s="736"/>
      <c r="X214" s="736"/>
      <c r="Y214" s="736"/>
      <c r="Z214" s="736"/>
      <c r="AA214" s="736"/>
    </row>
    <row r="215" spans="1:27" ht="15">
      <c r="A215" s="730" t="s">
        <v>674</v>
      </c>
      <c r="B215" s="742" t="e">
        <f>#REF!/$B$6</f>
        <v>#REF!</v>
      </c>
      <c r="C215" s="742" t="e">
        <f>#REF!/$B$6</f>
        <v>#REF!</v>
      </c>
      <c r="D215" s="742" t="e">
        <f>#REF!/$B$6</f>
        <v>#REF!</v>
      </c>
      <c r="E215" s="742" t="e">
        <f>#REF!/$B$6</f>
        <v>#REF!</v>
      </c>
      <c r="F215" s="742" t="e">
        <f>#REF!/$B$6</f>
        <v>#REF!</v>
      </c>
      <c r="G215" s="742" t="e">
        <f>#REF!/$B$6</f>
        <v>#REF!</v>
      </c>
      <c r="H215" s="742" t="e">
        <f>#REF!/$B$6</f>
        <v>#REF!</v>
      </c>
      <c r="I215" s="742" t="e">
        <f>#REF!/$B$6</f>
        <v>#REF!</v>
      </c>
      <c r="J215" s="742" t="e">
        <f>#REF!/$B$6</f>
        <v>#REF!</v>
      </c>
      <c r="K215" s="742" t="e">
        <f>#REF!/$B$6</f>
        <v>#REF!</v>
      </c>
      <c r="L215" s="742" t="e">
        <f>#REF!/$B$6</f>
        <v>#REF!</v>
      </c>
      <c r="M215" s="742" t="e">
        <f>#REF!/$B$6</f>
        <v>#REF!</v>
      </c>
      <c r="N215" s="742" t="e">
        <f>#REF!/$B$6</f>
        <v>#REF!</v>
      </c>
      <c r="O215" s="742" t="e">
        <f>#REF!/$B$6</f>
        <v>#REF!</v>
      </c>
      <c r="P215" s="742" t="e">
        <f>#REF!/$B$6</f>
        <v>#REF!</v>
      </c>
      <c r="Q215" s="742" t="e">
        <f>#REF!/$B$6</f>
        <v>#REF!</v>
      </c>
      <c r="R215" s="742" t="e">
        <f>#REF!/$B$6</f>
        <v>#REF!</v>
      </c>
      <c r="S215" s="742" t="e">
        <f>#REF!/$B$6</f>
        <v>#REF!</v>
      </c>
      <c r="T215" s="742" t="e">
        <f>#REF!/$B$6</f>
        <v>#REF!</v>
      </c>
      <c r="U215" s="742" t="e">
        <f>#REF!/$B$6</f>
        <v>#REF!</v>
      </c>
      <c r="V215" s="742" t="e">
        <f>#REF!/$B$6</f>
        <v>#REF!</v>
      </c>
      <c r="W215" s="742" t="e">
        <f>#REF!/$B$6</f>
        <v>#REF!</v>
      </c>
      <c r="X215" s="742" t="e">
        <f>#REF!/$B$6</f>
        <v>#REF!</v>
      </c>
      <c r="Y215" s="742" t="e">
        <f>#REF!/$B$6</f>
        <v>#REF!</v>
      </c>
      <c r="Z215" s="742" t="e">
        <f>#REF!/$B$6</f>
        <v>#REF!</v>
      </c>
      <c r="AA215" s="742" t="e">
        <f>#REF!/$B$6</f>
        <v>#REF!</v>
      </c>
    </row>
    <row r="216" spans="1:27" ht="15">
      <c r="A216" s="730" t="s">
        <v>675</v>
      </c>
      <c r="B216" s="742" t="e">
        <f>#REF!/$B$6</f>
        <v>#REF!</v>
      </c>
      <c r="C216" s="742" t="e">
        <f>#REF!/$B$6</f>
        <v>#REF!</v>
      </c>
      <c r="D216" s="742" t="e">
        <f>#REF!/$B$6</f>
        <v>#REF!</v>
      </c>
      <c r="E216" s="742" t="e">
        <f>#REF!/$B$6</f>
        <v>#REF!</v>
      </c>
      <c r="F216" s="742" t="e">
        <f>#REF!/$B$6</f>
        <v>#REF!</v>
      </c>
      <c r="G216" s="742" t="e">
        <f>#REF!/$B$6</f>
        <v>#REF!</v>
      </c>
      <c r="H216" s="742" t="e">
        <f>#REF!/$B$6</f>
        <v>#REF!</v>
      </c>
      <c r="I216" s="742" t="e">
        <f>#REF!/$B$6</f>
        <v>#REF!</v>
      </c>
      <c r="J216" s="742" t="e">
        <f>#REF!/$B$6</f>
        <v>#REF!</v>
      </c>
      <c r="K216" s="742" t="e">
        <f>#REF!/$B$6</f>
        <v>#REF!</v>
      </c>
      <c r="L216" s="742" t="e">
        <f>#REF!/$B$6</f>
        <v>#REF!</v>
      </c>
      <c r="M216" s="742" t="e">
        <f>#REF!/$B$6</f>
        <v>#REF!</v>
      </c>
      <c r="N216" s="742" t="e">
        <f>#REF!/$B$6</f>
        <v>#REF!</v>
      </c>
      <c r="O216" s="742" t="e">
        <f>#REF!/$B$6</f>
        <v>#REF!</v>
      </c>
      <c r="P216" s="742" t="e">
        <f>#REF!/$B$6</f>
        <v>#REF!</v>
      </c>
      <c r="Q216" s="742" t="e">
        <f>#REF!/$B$6</f>
        <v>#REF!</v>
      </c>
      <c r="R216" s="742" t="e">
        <f>#REF!/$B$6</f>
        <v>#REF!</v>
      </c>
      <c r="S216" s="742" t="e">
        <f>#REF!/$B$6</f>
        <v>#REF!</v>
      </c>
      <c r="T216" s="742" t="e">
        <f>#REF!/$B$6</f>
        <v>#REF!</v>
      </c>
      <c r="U216" s="742" t="e">
        <f>#REF!/$B$6</f>
        <v>#REF!</v>
      </c>
      <c r="V216" s="742" t="e">
        <f>#REF!/$B$6</f>
        <v>#REF!</v>
      </c>
      <c r="W216" s="742" t="e">
        <f>#REF!/$B$6</f>
        <v>#REF!</v>
      </c>
      <c r="X216" s="742" t="e">
        <f>#REF!/$B$6</f>
        <v>#REF!</v>
      </c>
      <c r="Y216" s="742" t="e">
        <f>#REF!/$B$6</f>
        <v>#REF!</v>
      </c>
      <c r="Z216" s="742" t="e">
        <f>#REF!/$B$6</f>
        <v>#REF!</v>
      </c>
      <c r="AA216" s="742" t="e">
        <f>#REF!/$B$6</f>
        <v>#REF!</v>
      </c>
    </row>
    <row r="217" spans="1:27">
      <c r="A217" s="732" t="s">
        <v>671</v>
      </c>
      <c r="B217" s="745" t="e">
        <f>#REF!/$B$6</f>
        <v>#REF!</v>
      </c>
      <c r="C217" s="745" t="e">
        <f>#REF!/$B$6</f>
        <v>#REF!</v>
      </c>
      <c r="D217" s="745" t="e">
        <f>#REF!/$B$6</f>
        <v>#REF!</v>
      </c>
      <c r="E217" s="745" t="e">
        <f>#REF!/$B$6</f>
        <v>#REF!</v>
      </c>
      <c r="F217" s="745" t="e">
        <f>#REF!/$B$6</f>
        <v>#REF!</v>
      </c>
      <c r="G217" s="745" t="e">
        <f>#REF!/$B$6</f>
        <v>#REF!</v>
      </c>
      <c r="H217" s="745" t="e">
        <f>#REF!/$B$6</f>
        <v>#REF!</v>
      </c>
      <c r="I217" s="745" t="e">
        <f>#REF!/$B$6</f>
        <v>#REF!</v>
      </c>
      <c r="J217" s="745" t="e">
        <f>#REF!/$B$6</f>
        <v>#REF!</v>
      </c>
      <c r="K217" s="745" t="e">
        <f>#REF!/$B$6</f>
        <v>#REF!</v>
      </c>
      <c r="L217" s="745" t="e">
        <f>#REF!/$B$6</f>
        <v>#REF!</v>
      </c>
      <c r="M217" s="745" t="e">
        <f>#REF!/$B$6</f>
        <v>#REF!</v>
      </c>
      <c r="N217" s="745" t="e">
        <f>#REF!/$B$6</f>
        <v>#REF!</v>
      </c>
      <c r="O217" s="745" t="e">
        <f>#REF!/$B$6</f>
        <v>#REF!</v>
      </c>
      <c r="P217" s="745" t="e">
        <f>#REF!/$B$6</f>
        <v>#REF!</v>
      </c>
      <c r="Q217" s="745" t="e">
        <f>#REF!/$B$6</f>
        <v>#REF!</v>
      </c>
      <c r="R217" s="745" t="e">
        <f>#REF!/$B$6</f>
        <v>#REF!</v>
      </c>
      <c r="S217" s="745" t="e">
        <f>#REF!/$B$6</f>
        <v>#REF!</v>
      </c>
      <c r="T217" s="745" t="e">
        <f>#REF!/$B$6</f>
        <v>#REF!</v>
      </c>
      <c r="U217" s="745" t="e">
        <f>#REF!/$B$6</f>
        <v>#REF!</v>
      </c>
      <c r="V217" s="745" t="e">
        <f>#REF!/$B$6</f>
        <v>#REF!</v>
      </c>
      <c r="W217" s="745" t="e">
        <f>#REF!/$B$6</f>
        <v>#REF!</v>
      </c>
      <c r="X217" s="745" t="e">
        <f>#REF!/$B$6</f>
        <v>#REF!</v>
      </c>
      <c r="Y217" s="745" t="e">
        <f>#REF!/$B$6</f>
        <v>#REF!</v>
      </c>
      <c r="Z217" s="745" t="e">
        <f>#REF!/$B$6</f>
        <v>#REF!</v>
      </c>
      <c r="AA217" s="745" t="e">
        <f>#REF!/$B$6</f>
        <v>#REF!</v>
      </c>
    </row>
    <row r="218" spans="1:27" ht="15">
      <c r="B218" s="736"/>
      <c r="C218" s="736"/>
      <c r="D218" s="736"/>
      <c r="E218" s="736"/>
      <c r="F218" s="736"/>
      <c r="G218" s="736"/>
      <c r="H218" s="736"/>
      <c r="I218" s="736"/>
      <c r="J218" s="736"/>
      <c r="K218" s="736"/>
      <c r="L218" s="736"/>
      <c r="M218" s="736"/>
      <c r="N218" s="736"/>
      <c r="O218" s="736"/>
      <c r="P218" s="736"/>
      <c r="Q218" s="736"/>
      <c r="R218" s="736"/>
      <c r="S218" s="736"/>
      <c r="T218" s="736"/>
      <c r="U218" s="736"/>
      <c r="V218" s="736"/>
      <c r="W218" s="736"/>
      <c r="X218" s="736"/>
      <c r="Y218" s="736"/>
      <c r="Z218" s="736"/>
      <c r="AA218" s="736"/>
    </row>
    <row r="219" spans="1:27" ht="15">
      <c r="A219" s="730" t="s">
        <v>676</v>
      </c>
      <c r="B219" s="742" t="e">
        <f>#REF!/$B$6</f>
        <v>#REF!</v>
      </c>
      <c r="C219" s="742" t="e">
        <f>#REF!/$B$6</f>
        <v>#REF!</v>
      </c>
      <c r="D219" s="742" t="e">
        <f>#REF!/$B$6</f>
        <v>#REF!</v>
      </c>
      <c r="E219" s="742" t="e">
        <f>#REF!/$B$6</f>
        <v>#REF!</v>
      </c>
      <c r="F219" s="742" t="e">
        <f>#REF!/$B$6</f>
        <v>#REF!</v>
      </c>
      <c r="G219" s="742" t="e">
        <f>#REF!/$B$6</f>
        <v>#REF!</v>
      </c>
      <c r="H219" s="742" t="e">
        <f>#REF!/$B$6</f>
        <v>#REF!</v>
      </c>
      <c r="I219" s="742" t="e">
        <f>#REF!/$B$6</f>
        <v>#REF!</v>
      </c>
      <c r="J219" s="742" t="e">
        <f>#REF!/$B$6</f>
        <v>#REF!</v>
      </c>
      <c r="K219" s="742" t="e">
        <f>#REF!/$B$6</f>
        <v>#REF!</v>
      </c>
      <c r="L219" s="742" t="e">
        <f>#REF!/$B$6</f>
        <v>#REF!</v>
      </c>
      <c r="M219" s="742" t="e">
        <f>#REF!/$B$6</f>
        <v>#REF!</v>
      </c>
      <c r="N219" s="742" t="e">
        <f>#REF!/$B$6</f>
        <v>#REF!</v>
      </c>
      <c r="O219" s="742" t="e">
        <f>#REF!/$B$6</f>
        <v>#REF!</v>
      </c>
      <c r="P219" s="742" t="e">
        <f>#REF!/$B$6</f>
        <v>#REF!</v>
      </c>
      <c r="Q219" s="742" t="e">
        <f>#REF!/$B$6</f>
        <v>#REF!</v>
      </c>
      <c r="R219" s="742" t="e">
        <f>#REF!/$B$6</f>
        <v>#REF!</v>
      </c>
      <c r="S219" s="742" t="e">
        <f>#REF!/$B$6</f>
        <v>#REF!</v>
      </c>
      <c r="T219" s="742" t="e">
        <f>#REF!/$B$6</f>
        <v>#REF!</v>
      </c>
      <c r="U219" s="742" t="e">
        <f>#REF!/$B$6</f>
        <v>#REF!</v>
      </c>
      <c r="V219" s="742" t="e">
        <f>#REF!/$B$6</f>
        <v>#REF!</v>
      </c>
      <c r="W219" s="742" t="e">
        <f>#REF!/$B$6</f>
        <v>#REF!</v>
      </c>
      <c r="X219" s="742" t="e">
        <f>#REF!/$B$6</f>
        <v>#REF!</v>
      </c>
      <c r="Y219" s="742" t="e">
        <f>#REF!/$B$6</f>
        <v>#REF!</v>
      </c>
      <c r="Z219" s="742" t="e">
        <f>#REF!/$B$6</f>
        <v>#REF!</v>
      </c>
      <c r="AA219" s="742" t="e">
        <f>#REF!/$B$6</f>
        <v>#REF!</v>
      </c>
    </row>
    <row r="230" spans="1:27">
      <c r="A230" s="735" t="s">
        <v>593</v>
      </c>
      <c r="B230" s="735">
        <f>B$12</f>
        <v>2003</v>
      </c>
      <c r="C230" s="735">
        <f t="shared" ref="C230:AA230" si="137">C$12</f>
        <v>2004</v>
      </c>
      <c r="D230" s="735">
        <f t="shared" si="137"/>
        <v>2005</v>
      </c>
      <c r="E230" s="735">
        <f t="shared" si="137"/>
        <v>2006</v>
      </c>
      <c r="F230" s="735">
        <f t="shared" si="137"/>
        <v>2007</v>
      </c>
      <c r="G230" s="735">
        <f t="shared" si="137"/>
        <v>2008</v>
      </c>
      <c r="H230" s="735">
        <f t="shared" si="137"/>
        <v>2009</v>
      </c>
      <c r="I230" s="735">
        <f t="shared" si="137"/>
        <v>2010</v>
      </c>
      <c r="J230" s="735">
        <f t="shared" si="137"/>
        <v>2011</v>
      </c>
      <c r="K230" s="735">
        <f t="shared" si="137"/>
        <v>2012</v>
      </c>
      <c r="L230" s="735">
        <f t="shared" si="137"/>
        <v>2013</v>
      </c>
      <c r="M230" s="735">
        <f t="shared" si="137"/>
        <v>2014</v>
      </c>
      <c r="N230" s="735">
        <f t="shared" si="137"/>
        <v>2015</v>
      </c>
      <c r="O230" s="735">
        <f t="shared" si="137"/>
        <v>2016</v>
      </c>
      <c r="P230" s="735">
        <f t="shared" si="137"/>
        <v>2017</v>
      </c>
      <c r="Q230" s="735">
        <f t="shared" si="137"/>
        <v>2018</v>
      </c>
      <c r="R230" s="735">
        <f t="shared" si="137"/>
        <v>2019</v>
      </c>
      <c r="S230" s="735">
        <f t="shared" si="137"/>
        <v>2020</v>
      </c>
      <c r="T230" s="735">
        <f t="shared" si="137"/>
        <v>2021</v>
      </c>
      <c r="U230" s="735">
        <f t="shared" si="137"/>
        <v>2022</v>
      </c>
      <c r="V230" s="735">
        <f t="shared" si="137"/>
        <v>2023</v>
      </c>
      <c r="W230" s="735">
        <f t="shared" si="137"/>
        <v>2024</v>
      </c>
      <c r="X230" s="735">
        <f t="shared" si="137"/>
        <v>2025</v>
      </c>
      <c r="Y230" s="735">
        <f t="shared" si="137"/>
        <v>2026</v>
      </c>
      <c r="Z230" s="735">
        <f t="shared" si="137"/>
        <v>2027</v>
      </c>
      <c r="AA230" s="735">
        <f t="shared" si="137"/>
        <v>2028</v>
      </c>
    </row>
    <row r="233" spans="1:27" ht="15">
      <c r="A233" s="730" t="s">
        <v>677</v>
      </c>
      <c r="B233" s="742" t="e">
        <f>#REF!/$B$6</f>
        <v>#REF!</v>
      </c>
      <c r="C233" s="742" t="e">
        <f>#REF!/$B$6</f>
        <v>#REF!</v>
      </c>
      <c r="D233" s="742" t="e">
        <f>#REF!/$B$6</f>
        <v>#REF!</v>
      </c>
      <c r="E233" s="742" t="e">
        <f>#REF!/$B$6</f>
        <v>#REF!</v>
      </c>
      <c r="F233" s="742" t="e">
        <f>#REF!/$B$6</f>
        <v>#REF!</v>
      </c>
      <c r="G233" s="742" t="e">
        <f>#REF!/$B$6</f>
        <v>#REF!</v>
      </c>
      <c r="H233" s="742" t="e">
        <f>#REF!/$B$6</f>
        <v>#REF!</v>
      </c>
      <c r="I233" s="742" t="e">
        <f>#REF!/$B$6</f>
        <v>#REF!</v>
      </c>
      <c r="J233" s="742" t="e">
        <f>#REF!/$B$6</f>
        <v>#REF!</v>
      </c>
      <c r="K233" s="742" t="e">
        <f>#REF!/$B$6</f>
        <v>#REF!</v>
      </c>
      <c r="L233" s="742" t="e">
        <f>#REF!/$B$6</f>
        <v>#REF!</v>
      </c>
      <c r="M233" s="742" t="e">
        <f>#REF!/$B$6</f>
        <v>#REF!</v>
      </c>
      <c r="N233" s="742" t="e">
        <f>#REF!/$B$6</f>
        <v>#REF!</v>
      </c>
      <c r="O233" s="742" t="e">
        <f>#REF!/$B$6</f>
        <v>#REF!</v>
      </c>
      <c r="P233" s="742" t="e">
        <f>#REF!/$B$6</f>
        <v>#REF!</v>
      </c>
      <c r="Q233" s="742" t="e">
        <f>#REF!/$B$6</f>
        <v>#REF!</v>
      </c>
      <c r="R233" s="742" t="e">
        <f>#REF!/$B$6</f>
        <v>#REF!</v>
      </c>
      <c r="S233" s="742" t="e">
        <f>#REF!/$B$6</f>
        <v>#REF!</v>
      </c>
      <c r="T233" s="742" t="e">
        <f>#REF!/$B$6</f>
        <v>#REF!</v>
      </c>
      <c r="U233" s="742" t="e">
        <f>#REF!/$B$6</f>
        <v>#REF!</v>
      </c>
      <c r="V233" s="742" t="e">
        <f>#REF!/$B$6</f>
        <v>#REF!</v>
      </c>
      <c r="W233" s="742" t="e">
        <f>#REF!/$B$6</f>
        <v>#REF!</v>
      </c>
      <c r="X233" s="742" t="e">
        <f>#REF!/$B$6</f>
        <v>#REF!</v>
      </c>
      <c r="Y233" s="742" t="e">
        <f>#REF!/$B$6</f>
        <v>#REF!</v>
      </c>
      <c r="Z233" s="742" t="e">
        <f>#REF!/$B$6</f>
        <v>#REF!</v>
      </c>
      <c r="AA233" s="742" t="e">
        <f>#REF!/$B$6</f>
        <v>#REF!</v>
      </c>
    </row>
    <row r="234" spans="1:27" ht="15">
      <c r="A234" s="730" t="s">
        <v>678</v>
      </c>
      <c r="B234" s="742" t="e">
        <f>#REF!/$B$6</f>
        <v>#REF!</v>
      </c>
      <c r="C234" s="742" t="e">
        <f>#REF!/$B$6</f>
        <v>#REF!</v>
      </c>
      <c r="D234" s="742" t="e">
        <f>#REF!/$B$6</f>
        <v>#REF!</v>
      </c>
      <c r="E234" s="742" t="e">
        <f>#REF!/$B$6</f>
        <v>#REF!</v>
      </c>
      <c r="F234" s="742" t="e">
        <f>#REF!/$B$6</f>
        <v>#REF!</v>
      </c>
      <c r="G234" s="742" t="e">
        <f>#REF!/$B$6</f>
        <v>#REF!</v>
      </c>
      <c r="H234" s="742" t="e">
        <f>#REF!/$B$6</f>
        <v>#REF!</v>
      </c>
      <c r="I234" s="742" t="e">
        <f>#REF!/$B$6</f>
        <v>#REF!</v>
      </c>
      <c r="J234" s="742" t="e">
        <f>#REF!/$B$6</f>
        <v>#REF!</v>
      </c>
      <c r="K234" s="742" t="e">
        <f>#REF!/$B$6</f>
        <v>#REF!</v>
      </c>
      <c r="L234" s="742" t="e">
        <f>#REF!/$B$6</f>
        <v>#REF!</v>
      </c>
      <c r="M234" s="742" t="e">
        <f>#REF!/$B$6</f>
        <v>#REF!</v>
      </c>
      <c r="N234" s="742" t="e">
        <f>#REF!/$B$6</f>
        <v>#REF!</v>
      </c>
      <c r="O234" s="742" t="e">
        <f>#REF!/$B$6</f>
        <v>#REF!</v>
      </c>
      <c r="P234" s="742" t="e">
        <f>#REF!/$B$6</f>
        <v>#REF!</v>
      </c>
      <c r="Q234" s="742" t="e">
        <f>#REF!/$B$6</f>
        <v>#REF!</v>
      </c>
      <c r="R234" s="742" t="e">
        <f>#REF!/$B$6</f>
        <v>#REF!</v>
      </c>
      <c r="S234" s="742" t="e">
        <f>#REF!/$B$6</f>
        <v>#REF!</v>
      </c>
      <c r="T234" s="742" t="e">
        <f>#REF!/$B$6</f>
        <v>#REF!</v>
      </c>
      <c r="U234" s="742" t="e">
        <f>#REF!/$B$6</f>
        <v>#REF!</v>
      </c>
      <c r="V234" s="742" t="e">
        <f>#REF!/$B$6</f>
        <v>#REF!</v>
      </c>
      <c r="W234" s="742" t="e">
        <f>#REF!/$B$6</f>
        <v>#REF!</v>
      </c>
      <c r="X234" s="742" t="e">
        <f>#REF!/$B$6</f>
        <v>#REF!</v>
      </c>
      <c r="Y234" s="742" t="e">
        <f>#REF!/$B$6</f>
        <v>#REF!</v>
      </c>
      <c r="Z234" s="742" t="e">
        <f>#REF!/$B$6</f>
        <v>#REF!</v>
      </c>
      <c r="AA234" s="742" t="e">
        <f>#REF!/$B$6</f>
        <v>#REF!</v>
      </c>
    </row>
    <row r="235" spans="1:27">
      <c r="A235" s="732" t="s">
        <v>679</v>
      </c>
      <c r="B235" s="745" t="e">
        <f>#REF!/$B$6</f>
        <v>#REF!</v>
      </c>
      <c r="C235" s="745" t="e">
        <f>#REF!/$B$6</f>
        <v>#REF!</v>
      </c>
      <c r="D235" s="745" t="e">
        <f>#REF!/$B$6</f>
        <v>#REF!</v>
      </c>
      <c r="E235" s="745" t="e">
        <f>#REF!/$B$6</f>
        <v>#REF!</v>
      </c>
      <c r="F235" s="745" t="e">
        <f>#REF!/$B$6</f>
        <v>#REF!</v>
      </c>
      <c r="G235" s="745" t="e">
        <f>#REF!/$B$6</f>
        <v>#REF!</v>
      </c>
      <c r="H235" s="745" t="e">
        <f>#REF!/$B$6</f>
        <v>#REF!</v>
      </c>
      <c r="I235" s="745" t="e">
        <f>#REF!/$B$6</f>
        <v>#REF!</v>
      </c>
      <c r="J235" s="745" t="e">
        <f>#REF!/$B$6</f>
        <v>#REF!</v>
      </c>
      <c r="K235" s="745" t="e">
        <f>#REF!/$B$6</f>
        <v>#REF!</v>
      </c>
      <c r="L235" s="745" t="e">
        <f>#REF!/$B$6</f>
        <v>#REF!</v>
      </c>
      <c r="M235" s="745" t="e">
        <f>#REF!/$B$6</f>
        <v>#REF!</v>
      </c>
      <c r="N235" s="745" t="e">
        <f>#REF!/$B$6</f>
        <v>#REF!</v>
      </c>
      <c r="O235" s="745" t="e">
        <f>#REF!/$B$6</f>
        <v>#REF!</v>
      </c>
      <c r="P235" s="745" t="e">
        <f>#REF!/$B$6</f>
        <v>#REF!</v>
      </c>
      <c r="Q235" s="745" t="e">
        <f>#REF!/$B$6</f>
        <v>#REF!</v>
      </c>
      <c r="R235" s="745" t="e">
        <f>#REF!/$B$6</f>
        <v>#REF!</v>
      </c>
      <c r="S235" s="745" t="e">
        <f>#REF!/$B$6</f>
        <v>#REF!</v>
      </c>
      <c r="T235" s="745" t="e">
        <f>#REF!/$B$6</f>
        <v>#REF!</v>
      </c>
      <c r="U235" s="745" t="e">
        <f>#REF!/$B$6</f>
        <v>#REF!</v>
      </c>
      <c r="V235" s="745" t="e">
        <f>#REF!/$B$6</f>
        <v>#REF!</v>
      </c>
      <c r="W235" s="745" t="e">
        <f>#REF!/$B$6</f>
        <v>#REF!</v>
      </c>
      <c r="X235" s="745" t="e">
        <f>#REF!/$B$6</f>
        <v>#REF!</v>
      </c>
      <c r="Y235" s="745" t="e">
        <f>#REF!/$B$6</f>
        <v>#REF!</v>
      </c>
      <c r="Z235" s="745" t="e">
        <f>#REF!/$B$6</f>
        <v>#REF!</v>
      </c>
      <c r="AA235" s="745" t="e">
        <f>#REF!/$B$6</f>
        <v>#REF!</v>
      </c>
    </row>
    <row r="236" spans="1:27" ht="15">
      <c r="B236" s="736"/>
      <c r="C236" s="736"/>
      <c r="D236" s="736"/>
      <c r="E236" s="736"/>
      <c r="F236" s="736"/>
      <c r="G236" s="736"/>
      <c r="H236" s="736"/>
      <c r="I236" s="736"/>
      <c r="J236" s="736"/>
      <c r="K236" s="736"/>
      <c r="L236" s="736"/>
      <c r="M236" s="736"/>
      <c r="N236" s="736"/>
      <c r="O236" s="736"/>
      <c r="P236" s="736"/>
      <c r="Q236" s="736"/>
      <c r="R236" s="736"/>
      <c r="S236" s="736"/>
      <c r="T236" s="736"/>
      <c r="U236" s="736"/>
      <c r="V236" s="736"/>
      <c r="W236" s="736"/>
      <c r="X236" s="736"/>
      <c r="Y236" s="736"/>
      <c r="Z236" s="736"/>
      <c r="AA236" s="736"/>
    </row>
    <row r="237" spans="1:27" ht="15">
      <c r="A237" s="730" t="s">
        <v>680</v>
      </c>
      <c r="B237" s="742" t="e">
        <f>#REF!/$B$6</f>
        <v>#REF!</v>
      </c>
      <c r="C237" s="742" t="e">
        <f>#REF!/$B$6</f>
        <v>#REF!</v>
      </c>
      <c r="D237" s="742" t="e">
        <f>#REF!/$B$6</f>
        <v>#REF!</v>
      </c>
      <c r="E237" s="742" t="e">
        <f>#REF!/$B$6</f>
        <v>#REF!</v>
      </c>
      <c r="F237" s="742" t="e">
        <f>#REF!/$B$6</f>
        <v>#REF!</v>
      </c>
      <c r="G237" s="742" t="e">
        <f>#REF!/$B$6</f>
        <v>#REF!</v>
      </c>
      <c r="H237" s="742" t="e">
        <f>#REF!/$B$6</f>
        <v>#REF!</v>
      </c>
      <c r="I237" s="742" t="e">
        <f>#REF!/$B$6</f>
        <v>#REF!</v>
      </c>
      <c r="J237" s="742" t="e">
        <f>#REF!/$B$6</f>
        <v>#REF!</v>
      </c>
      <c r="K237" s="742" t="e">
        <f>#REF!/$B$6</f>
        <v>#REF!</v>
      </c>
      <c r="L237" s="742" t="e">
        <f>#REF!/$B$6</f>
        <v>#REF!</v>
      </c>
      <c r="M237" s="742" t="e">
        <f>#REF!/$B$6</f>
        <v>#REF!</v>
      </c>
      <c r="N237" s="742" t="e">
        <f>#REF!/$B$6</f>
        <v>#REF!</v>
      </c>
      <c r="O237" s="742" t="e">
        <f>#REF!/$B$6</f>
        <v>#REF!</v>
      </c>
      <c r="P237" s="742" t="e">
        <f>#REF!/$B$6</f>
        <v>#REF!</v>
      </c>
      <c r="Q237" s="742" t="e">
        <f>#REF!/$B$6</f>
        <v>#REF!</v>
      </c>
      <c r="R237" s="742" t="e">
        <f>#REF!/$B$6</f>
        <v>#REF!</v>
      </c>
      <c r="S237" s="742" t="e">
        <f>#REF!/$B$6</f>
        <v>#REF!</v>
      </c>
      <c r="T237" s="742" t="e">
        <f>#REF!/$B$6</f>
        <v>#REF!</v>
      </c>
      <c r="U237" s="742" t="e">
        <f>#REF!/$B$6</f>
        <v>#REF!</v>
      </c>
      <c r="V237" s="742" t="e">
        <f>#REF!/$B$6</f>
        <v>#REF!</v>
      </c>
      <c r="W237" s="742" t="e">
        <f>#REF!/$B$6</f>
        <v>#REF!</v>
      </c>
      <c r="X237" s="742" t="e">
        <f>#REF!/$B$6</f>
        <v>#REF!</v>
      </c>
      <c r="Y237" s="742" t="e">
        <f>#REF!/$B$6</f>
        <v>#REF!</v>
      </c>
      <c r="Z237" s="742" t="e">
        <f>#REF!/$B$6</f>
        <v>#REF!</v>
      </c>
      <c r="AA237" s="742" t="e">
        <f>#REF!/$B$6</f>
        <v>#REF!</v>
      </c>
    </row>
    <row r="238" spans="1:27" ht="15">
      <c r="A238" s="730" t="s">
        <v>658</v>
      </c>
      <c r="B238" s="742" t="e">
        <f>#REF!/$B$6</f>
        <v>#REF!</v>
      </c>
      <c r="C238" s="742" t="e">
        <f>#REF!/$B$6</f>
        <v>#REF!</v>
      </c>
      <c r="D238" s="742" t="e">
        <f>#REF!/$B$6</f>
        <v>#REF!</v>
      </c>
      <c r="E238" s="742" t="e">
        <f>#REF!/$B$6</f>
        <v>#REF!</v>
      </c>
      <c r="F238" s="742" t="e">
        <f>#REF!/$B$6</f>
        <v>#REF!</v>
      </c>
      <c r="G238" s="742" t="e">
        <f>#REF!/$B$6</f>
        <v>#REF!</v>
      </c>
      <c r="H238" s="742" t="e">
        <f>#REF!/$B$6</f>
        <v>#REF!</v>
      </c>
      <c r="I238" s="742" t="e">
        <f>#REF!/$B$6</f>
        <v>#REF!</v>
      </c>
      <c r="J238" s="742" t="e">
        <f>#REF!/$B$6</f>
        <v>#REF!</v>
      </c>
      <c r="K238" s="742" t="e">
        <f>#REF!/$B$6</f>
        <v>#REF!</v>
      </c>
      <c r="L238" s="742" t="e">
        <f>#REF!/$B$6</f>
        <v>#REF!</v>
      </c>
      <c r="M238" s="742" t="e">
        <f>#REF!/$B$6</f>
        <v>#REF!</v>
      </c>
      <c r="N238" s="742" t="e">
        <f>#REF!/$B$6</f>
        <v>#REF!</v>
      </c>
      <c r="O238" s="742" t="e">
        <f>#REF!/$B$6</f>
        <v>#REF!</v>
      </c>
      <c r="P238" s="742" t="e">
        <f>#REF!/$B$6</f>
        <v>#REF!</v>
      </c>
      <c r="Q238" s="742" t="e">
        <f>#REF!/$B$6</f>
        <v>#REF!</v>
      </c>
      <c r="R238" s="742" t="e">
        <f>#REF!/$B$6</f>
        <v>#REF!</v>
      </c>
      <c r="S238" s="742" t="e">
        <f>#REF!/$B$6</f>
        <v>#REF!</v>
      </c>
      <c r="T238" s="742" t="e">
        <f>#REF!/$B$6</f>
        <v>#REF!</v>
      </c>
      <c r="U238" s="742" t="e">
        <f>#REF!/$B$6</f>
        <v>#REF!</v>
      </c>
      <c r="V238" s="742" t="e">
        <f>#REF!/$B$6</f>
        <v>#REF!</v>
      </c>
      <c r="W238" s="742" t="e">
        <f>#REF!/$B$6</f>
        <v>#REF!</v>
      </c>
      <c r="X238" s="742" t="e">
        <f>#REF!/$B$6</f>
        <v>#REF!</v>
      </c>
      <c r="Y238" s="742" t="e">
        <f>#REF!/$B$6</f>
        <v>#REF!</v>
      </c>
      <c r="Z238" s="742" t="e">
        <f>#REF!/$B$6</f>
        <v>#REF!</v>
      </c>
      <c r="AA238" s="742" t="e">
        <f>#REF!/$B$6</f>
        <v>#REF!</v>
      </c>
    </row>
    <row r="239" spans="1:27">
      <c r="A239" s="732" t="s">
        <v>681</v>
      </c>
      <c r="B239" s="745" t="e">
        <f>#REF!/$B$6</f>
        <v>#REF!</v>
      </c>
      <c r="C239" s="745" t="e">
        <f>#REF!/$B$6</f>
        <v>#REF!</v>
      </c>
      <c r="D239" s="745" t="e">
        <f>#REF!/$B$6</f>
        <v>#REF!</v>
      </c>
      <c r="E239" s="745" t="e">
        <f>#REF!/$B$6</f>
        <v>#REF!</v>
      </c>
      <c r="F239" s="745" t="e">
        <f>#REF!/$B$6</f>
        <v>#REF!</v>
      </c>
      <c r="G239" s="745" t="e">
        <f>#REF!/$B$6</f>
        <v>#REF!</v>
      </c>
      <c r="H239" s="745" t="e">
        <f>#REF!/$B$6</f>
        <v>#REF!</v>
      </c>
      <c r="I239" s="745" t="e">
        <f>#REF!/$B$6</f>
        <v>#REF!</v>
      </c>
      <c r="J239" s="745" t="e">
        <f>#REF!/$B$6</f>
        <v>#REF!</v>
      </c>
      <c r="K239" s="745" t="e">
        <f>#REF!/$B$6</f>
        <v>#REF!</v>
      </c>
      <c r="L239" s="745" t="e">
        <f>#REF!/$B$6</f>
        <v>#REF!</v>
      </c>
      <c r="M239" s="745" t="e">
        <f>#REF!/$B$6</f>
        <v>#REF!</v>
      </c>
      <c r="N239" s="745" t="e">
        <f>#REF!/$B$6</f>
        <v>#REF!</v>
      </c>
      <c r="O239" s="745" t="e">
        <f>#REF!/$B$6</f>
        <v>#REF!</v>
      </c>
      <c r="P239" s="745" t="e">
        <f>#REF!/$B$6</f>
        <v>#REF!</v>
      </c>
      <c r="Q239" s="745" t="e">
        <f>#REF!/$B$6</f>
        <v>#REF!</v>
      </c>
      <c r="R239" s="745" t="e">
        <f>#REF!/$B$6</f>
        <v>#REF!</v>
      </c>
      <c r="S239" s="745" t="e">
        <f>#REF!/$B$6</f>
        <v>#REF!</v>
      </c>
      <c r="T239" s="745" t="e">
        <f>#REF!/$B$6</f>
        <v>#REF!</v>
      </c>
      <c r="U239" s="745" t="e">
        <f>#REF!/$B$6</f>
        <v>#REF!</v>
      </c>
      <c r="V239" s="745" t="e">
        <f>#REF!/$B$6</f>
        <v>#REF!</v>
      </c>
      <c r="W239" s="745" t="e">
        <f>#REF!/$B$6</f>
        <v>#REF!</v>
      </c>
      <c r="X239" s="745" t="e">
        <f>#REF!/$B$6</f>
        <v>#REF!</v>
      </c>
      <c r="Y239" s="745" t="e">
        <f>#REF!/$B$6</f>
        <v>#REF!</v>
      </c>
      <c r="Z239" s="745" t="e">
        <f>#REF!/$B$6</f>
        <v>#REF!</v>
      </c>
      <c r="AA239" s="745" t="e">
        <f>#REF!/$B$6</f>
        <v>#REF!</v>
      </c>
    </row>
    <row r="240" spans="1:27" ht="15">
      <c r="B240" s="736"/>
      <c r="C240" s="736"/>
      <c r="D240" s="736"/>
      <c r="E240" s="736"/>
      <c r="F240" s="736"/>
      <c r="G240" s="736"/>
      <c r="H240" s="736"/>
      <c r="I240" s="736"/>
      <c r="J240" s="736"/>
      <c r="K240" s="736"/>
      <c r="L240" s="736"/>
      <c r="M240" s="736"/>
      <c r="N240" s="736"/>
      <c r="O240" s="736"/>
      <c r="P240" s="736"/>
      <c r="Q240" s="736"/>
      <c r="R240" s="736"/>
      <c r="S240" s="736"/>
      <c r="T240" s="736"/>
      <c r="U240" s="736"/>
      <c r="V240" s="736"/>
      <c r="W240" s="736"/>
      <c r="X240" s="736"/>
      <c r="Y240" s="736"/>
      <c r="Z240" s="736"/>
      <c r="AA240" s="736"/>
    </row>
    <row r="241" spans="1:27">
      <c r="A241" s="732" t="s">
        <v>682</v>
      </c>
      <c r="B241" s="745" t="e">
        <f>#REF!/$B$6</f>
        <v>#REF!</v>
      </c>
      <c r="C241" s="745" t="e">
        <f>#REF!/$B$6</f>
        <v>#REF!</v>
      </c>
      <c r="D241" s="745" t="e">
        <f>#REF!/$B$6</f>
        <v>#REF!</v>
      </c>
      <c r="E241" s="745" t="e">
        <f>#REF!/$B$6</f>
        <v>#REF!</v>
      </c>
      <c r="F241" s="745" t="e">
        <f>#REF!/$B$6</f>
        <v>#REF!</v>
      </c>
      <c r="G241" s="745" t="e">
        <f>#REF!/$B$6</f>
        <v>#REF!</v>
      </c>
      <c r="H241" s="745" t="e">
        <f>#REF!/$B$6</f>
        <v>#REF!</v>
      </c>
      <c r="I241" s="745" t="e">
        <f>#REF!/$B$6</f>
        <v>#REF!</v>
      </c>
      <c r="J241" s="745" t="e">
        <f>#REF!/$B$6</f>
        <v>#REF!</v>
      </c>
      <c r="K241" s="745" t="e">
        <f>#REF!/$B$6</f>
        <v>#REF!</v>
      </c>
      <c r="L241" s="745" t="e">
        <f>#REF!/$B$6</f>
        <v>#REF!</v>
      </c>
      <c r="M241" s="745" t="e">
        <f>#REF!/$B$6</f>
        <v>#REF!</v>
      </c>
      <c r="N241" s="745" t="e">
        <f>#REF!/$B$6</f>
        <v>#REF!</v>
      </c>
      <c r="O241" s="745" t="e">
        <f>#REF!/$B$6</f>
        <v>#REF!</v>
      </c>
      <c r="P241" s="745" t="e">
        <f>#REF!/$B$6</f>
        <v>#REF!</v>
      </c>
      <c r="Q241" s="745" t="e">
        <f>#REF!/$B$6</f>
        <v>#REF!</v>
      </c>
      <c r="R241" s="745" t="e">
        <f>#REF!/$B$6</f>
        <v>#REF!</v>
      </c>
      <c r="S241" s="745" t="e">
        <f>#REF!/$B$6</f>
        <v>#REF!</v>
      </c>
      <c r="T241" s="745" t="e">
        <f>#REF!/$B$6</f>
        <v>#REF!</v>
      </c>
      <c r="U241" s="745" t="e">
        <f>#REF!/$B$6</f>
        <v>#REF!</v>
      </c>
      <c r="V241" s="745" t="e">
        <f>#REF!/$B$6</f>
        <v>#REF!</v>
      </c>
      <c r="W241" s="745" t="e">
        <f>#REF!/$B$6</f>
        <v>#REF!</v>
      </c>
      <c r="X241" s="745" t="e">
        <f>#REF!/$B$6</f>
        <v>#REF!</v>
      </c>
      <c r="Y241" s="745" t="e">
        <f>#REF!/$B$6</f>
        <v>#REF!</v>
      </c>
      <c r="Z241" s="745" t="e">
        <f>#REF!/$B$6</f>
        <v>#REF!</v>
      </c>
      <c r="AA241" s="745" t="e">
        <f>#REF!/$B$6</f>
        <v>#REF!</v>
      </c>
    </row>
    <row r="242" spans="1:27" ht="15">
      <c r="B242" s="736"/>
      <c r="C242" s="736"/>
      <c r="D242" s="736"/>
      <c r="E242" s="736"/>
      <c r="F242" s="736"/>
      <c r="G242" s="736"/>
      <c r="H242" s="736"/>
      <c r="I242" s="736"/>
      <c r="J242" s="736"/>
      <c r="K242" s="736"/>
      <c r="L242" s="736"/>
      <c r="M242" s="736"/>
      <c r="N242" s="736"/>
      <c r="O242" s="736"/>
      <c r="P242" s="736"/>
      <c r="Q242" s="736"/>
      <c r="R242" s="736"/>
      <c r="S242" s="736"/>
      <c r="T242" s="736"/>
      <c r="U242" s="736"/>
      <c r="V242" s="736"/>
      <c r="W242" s="736"/>
      <c r="X242" s="736"/>
      <c r="Y242" s="736"/>
      <c r="Z242" s="736"/>
      <c r="AA242" s="736"/>
    </row>
    <row r="243" spans="1:27" ht="15">
      <c r="A243" s="730" t="s">
        <v>683</v>
      </c>
      <c r="B243" s="742" t="e">
        <f>#REF!/$B$6</f>
        <v>#REF!</v>
      </c>
      <c r="C243" s="742" t="e">
        <f>#REF!/$B$6</f>
        <v>#REF!</v>
      </c>
      <c r="D243" s="742" t="e">
        <f>#REF!/$B$6</f>
        <v>#REF!</v>
      </c>
      <c r="E243" s="742" t="e">
        <f>#REF!/$B$6</f>
        <v>#REF!</v>
      </c>
      <c r="F243" s="742" t="e">
        <f>#REF!/$B$6</f>
        <v>#REF!</v>
      </c>
      <c r="G243" s="742" t="e">
        <f>#REF!/$B$6</f>
        <v>#REF!</v>
      </c>
      <c r="H243" s="742" t="e">
        <f>#REF!/$B$6</f>
        <v>#REF!</v>
      </c>
      <c r="I243" s="742" t="e">
        <f>#REF!/$B$6</f>
        <v>#REF!</v>
      </c>
      <c r="J243" s="742" t="e">
        <f>#REF!/$B$6</f>
        <v>#REF!</v>
      </c>
      <c r="K243" s="742" t="e">
        <f>#REF!/$B$6</f>
        <v>#REF!</v>
      </c>
      <c r="L243" s="742" t="e">
        <f>#REF!/$B$6</f>
        <v>#REF!</v>
      </c>
      <c r="M243" s="742" t="e">
        <f>#REF!/$B$6</f>
        <v>#REF!</v>
      </c>
      <c r="N243" s="742" t="e">
        <f>#REF!/$B$6</f>
        <v>#REF!</v>
      </c>
      <c r="O243" s="742" t="e">
        <f>#REF!/$B$6</f>
        <v>#REF!</v>
      </c>
      <c r="P243" s="742" t="e">
        <f>#REF!/$B$6</f>
        <v>#REF!</v>
      </c>
      <c r="Q243" s="742" t="e">
        <f>#REF!/$B$6</f>
        <v>#REF!</v>
      </c>
      <c r="R243" s="742" t="e">
        <f>#REF!/$B$6</f>
        <v>#REF!</v>
      </c>
      <c r="S243" s="742" t="e">
        <f>#REF!/$B$6</f>
        <v>#REF!</v>
      </c>
      <c r="T243" s="742" t="e">
        <f>#REF!/$B$6</f>
        <v>#REF!</v>
      </c>
      <c r="U243" s="742" t="e">
        <f>#REF!/$B$6</f>
        <v>#REF!</v>
      </c>
      <c r="V243" s="742" t="e">
        <f>#REF!/$B$6</f>
        <v>#REF!</v>
      </c>
      <c r="W243" s="742" t="e">
        <f>#REF!/$B$6</f>
        <v>#REF!</v>
      </c>
      <c r="X243" s="742" t="e">
        <f>#REF!/$B$6</f>
        <v>#REF!</v>
      </c>
      <c r="Y243" s="742" t="e">
        <f>#REF!/$B$6</f>
        <v>#REF!</v>
      </c>
      <c r="Z243" s="742" t="e">
        <f>#REF!/$B$6</f>
        <v>#REF!</v>
      </c>
      <c r="AA243" s="742" t="e">
        <f>#REF!/$B$6</f>
        <v>#REF!</v>
      </c>
    </row>
    <row r="244" spans="1:27" ht="15">
      <c r="A244" s="730" t="s">
        <v>684</v>
      </c>
      <c r="B244" s="742" t="e">
        <f>#REF!/$B$6</f>
        <v>#REF!</v>
      </c>
      <c r="C244" s="742" t="e">
        <f>#REF!/$B$6</f>
        <v>#REF!</v>
      </c>
      <c r="D244" s="742" t="e">
        <f>#REF!/$B$6</f>
        <v>#REF!</v>
      </c>
      <c r="E244" s="742" t="e">
        <f>#REF!/$B$6</f>
        <v>#REF!</v>
      </c>
      <c r="F244" s="742" t="e">
        <f>#REF!/$B$6</f>
        <v>#REF!</v>
      </c>
      <c r="G244" s="742" t="e">
        <f>#REF!/$B$6</f>
        <v>#REF!</v>
      </c>
      <c r="H244" s="742" t="e">
        <f>#REF!/$B$6</f>
        <v>#REF!</v>
      </c>
      <c r="I244" s="742" t="e">
        <f>#REF!/$B$6</f>
        <v>#REF!</v>
      </c>
      <c r="J244" s="742" t="e">
        <f>#REF!/$B$6</f>
        <v>#REF!</v>
      </c>
      <c r="K244" s="742" t="e">
        <f>#REF!/$B$6</f>
        <v>#REF!</v>
      </c>
      <c r="L244" s="742" t="e">
        <f>#REF!/$B$6</f>
        <v>#REF!</v>
      </c>
      <c r="M244" s="742" t="e">
        <f>#REF!/$B$6</f>
        <v>#REF!</v>
      </c>
      <c r="N244" s="742" t="e">
        <f>#REF!/$B$6</f>
        <v>#REF!</v>
      </c>
      <c r="O244" s="742" t="e">
        <f>#REF!/$B$6</f>
        <v>#REF!</v>
      </c>
      <c r="P244" s="742" t="e">
        <f>#REF!/$B$6</f>
        <v>#REF!</v>
      </c>
      <c r="Q244" s="742" t="e">
        <f>#REF!/$B$6</f>
        <v>#REF!</v>
      </c>
      <c r="R244" s="742" t="e">
        <f>#REF!/$B$6</f>
        <v>#REF!</v>
      </c>
      <c r="S244" s="742" t="e">
        <f>#REF!/$B$6</f>
        <v>#REF!</v>
      </c>
      <c r="T244" s="742" t="e">
        <f>#REF!/$B$6</f>
        <v>#REF!</v>
      </c>
      <c r="U244" s="742" t="e">
        <f>#REF!/$B$6</f>
        <v>#REF!</v>
      </c>
      <c r="V244" s="742" t="e">
        <f>#REF!/$B$6</f>
        <v>#REF!</v>
      </c>
      <c r="W244" s="742" t="e">
        <f>#REF!/$B$6</f>
        <v>#REF!</v>
      </c>
      <c r="X244" s="742" t="e">
        <f>#REF!/$B$6</f>
        <v>#REF!</v>
      </c>
      <c r="Y244" s="742" t="e">
        <f>#REF!/$B$6</f>
        <v>#REF!</v>
      </c>
      <c r="Z244" s="742" t="e">
        <f>#REF!/$B$6</f>
        <v>#REF!</v>
      </c>
      <c r="AA244" s="742" t="e">
        <f>#REF!/$B$6</f>
        <v>#REF!</v>
      </c>
    </row>
    <row r="245" spans="1:27">
      <c r="A245" s="732" t="s">
        <v>685</v>
      </c>
      <c r="B245" s="745" t="e">
        <f>#REF!/$B$6</f>
        <v>#REF!</v>
      </c>
      <c r="C245" s="745" t="e">
        <f>#REF!/$B$6</f>
        <v>#REF!</v>
      </c>
      <c r="D245" s="745" t="e">
        <f>#REF!/$B$6</f>
        <v>#REF!</v>
      </c>
      <c r="E245" s="745" t="e">
        <f>#REF!/$B$6</f>
        <v>#REF!</v>
      </c>
      <c r="F245" s="745" t="e">
        <f>#REF!/$B$6</f>
        <v>#REF!</v>
      </c>
      <c r="G245" s="745" t="e">
        <f>#REF!/$B$6</f>
        <v>#REF!</v>
      </c>
      <c r="H245" s="745" t="e">
        <f>#REF!/$B$6</f>
        <v>#REF!</v>
      </c>
      <c r="I245" s="745" t="e">
        <f>#REF!/$B$6</f>
        <v>#REF!</v>
      </c>
      <c r="J245" s="745" t="e">
        <f>#REF!/$B$6</f>
        <v>#REF!</v>
      </c>
      <c r="K245" s="745" t="e">
        <f>#REF!/$B$6</f>
        <v>#REF!</v>
      </c>
      <c r="L245" s="745" t="e">
        <f>#REF!/$B$6</f>
        <v>#REF!</v>
      </c>
      <c r="M245" s="745" t="e">
        <f>#REF!/$B$6</f>
        <v>#REF!</v>
      </c>
      <c r="N245" s="745" t="e">
        <f>#REF!/$B$6</f>
        <v>#REF!</v>
      </c>
      <c r="O245" s="745" t="e">
        <f>#REF!/$B$6</f>
        <v>#REF!</v>
      </c>
      <c r="P245" s="745" t="e">
        <f>#REF!/$B$6</f>
        <v>#REF!</v>
      </c>
      <c r="Q245" s="745" t="e">
        <f>#REF!/$B$6</f>
        <v>#REF!</v>
      </c>
      <c r="R245" s="745" t="e">
        <f>#REF!/$B$6</f>
        <v>#REF!</v>
      </c>
      <c r="S245" s="745" t="e">
        <f>#REF!/$B$6</f>
        <v>#REF!</v>
      </c>
      <c r="T245" s="745" t="e">
        <f>#REF!/$B$6</f>
        <v>#REF!</v>
      </c>
      <c r="U245" s="745" t="e">
        <f>#REF!/$B$6</f>
        <v>#REF!</v>
      </c>
      <c r="V245" s="745" t="e">
        <f>#REF!/$B$6</f>
        <v>#REF!</v>
      </c>
      <c r="W245" s="745" t="e">
        <f>#REF!/$B$6</f>
        <v>#REF!</v>
      </c>
      <c r="X245" s="745" t="e">
        <f>#REF!/$B$6</f>
        <v>#REF!</v>
      </c>
      <c r="Y245" s="745" t="e">
        <f>#REF!/$B$6</f>
        <v>#REF!</v>
      </c>
      <c r="Z245" s="745" t="e">
        <f>#REF!/$B$6</f>
        <v>#REF!</v>
      </c>
      <c r="AA245" s="745" t="e">
        <f>#REF!/$B$6</f>
        <v>#REF!</v>
      </c>
    </row>
    <row r="246" spans="1:27" ht="15">
      <c r="B246" s="736"/>
      <c r="C246" s="736"/>
      <c r="D246" s="736"/>
      <c r="E246" s="736"/>
      <c r="F246" s="736"/>
      <c r="G246" s="736"/>
      <c r="H246" s="736"/>
      <c r="I246" s="736"/>
      <c r="J246" s="736"/>
      <c r="K246" s="736"/>
      <c r="L246" s="736"/>
      <c r="M246" s="736"/>
      <c r="N246" s="736"/>
      <c r="O246" s="736"/>
      <c r="P246" s="736"/>
      <c r="Q246" s="736"/>
      <c r="R246" s="736"/>
      <c r="S246" s="736"/>
      <c r="T246" s="736"/>
      <c r="U246" s="736"/>
      <c r="V246" s="736"/>
      <c r="W246" s="736"/>
      <c r="X246" s="736"/>
      <c r="Y246" s="736"/>
      <c r="Z246" s="736"/>
      <c r="AA246" s="736"/>
    </row>
    <row r="247" spans="1:27" ht="15">
      <c r="A247" s="730" t="s">
        <v>686</v>
      </c>
      <c r="B247" s="742" t="e">
        <f>#REF!/$B$6</f>
        <v>#REF!</v>
      </c>
      <c r="C247" s="742" t="e">
        <f>#REF!/$B$6</f>
        <v>#REF!</v>
      </c>
      <c r="D247" s="742" t="e">
        <f>#REF!/$B$6</f>
        <v>#REF!</v>
      </c>
      <c r="E247" s="742" t="e">
        <f>#REF!/$B$6</f>
        <v>#REF!</v>
      </c>
      <c r="F247" s="742" t="e">
        <f>#REF!/$B$6</f>
        <v>#REF!</v>
      </c>
      <c r="G247" s="742" t="e">
        <f>#REF!/$B$6</f>
        <v>#REF!</v>
      </c>
      <c r="H247" s="742" t="e">
        <f>#REF!/$B$6</f>
        <v>#REF!</v>
      </c>
      <c r="I247" s="742" t="e">
        <f>#REF!/$B$6</f>
        <v>#REF!</v>
      </c>
      <c r="J247" s="742" t="e">
        <f>#REF!/$B$6</f>
        <v>#REF!</v>
      </c>
      <c r="K247" s="742" t="e">
        <f>#REF!/$B$6</f>
        <v>#REF!</v>
      </c>
      <c r="L247" s="742" t="e">
        <f>#REF!/$B$6</f>
        <v>#REF!</v>
      </c>
      <c r="M247" s="742" t="e">
        <f>#REF!/$B$6</f>
        <v>#REF!</v>
      </c>
      <c r="N247" s="742" t="e">
        <f>#REF!/$B$6</f>
        <v>#REF!</v>
      </c>
      <c r="O247" s="742" t="e">
        <f>#REF!/$B$6</f>
        <v>#REF!</v>
      </c>
      <c r="P247" s="742" t="e">
        <f>#REF!/$B$6</f>
        <v>#REF!</v>
      </c>
      <c r="Q247" s="742" t="e">
        <f>#REF!/$B$6</f>
        <v>#REF!</v>
      </c>
      <c r="R247" s="742" t="e">
        <f>#REF!/$B$6</f>
        <v>#REF!</v>
      </c>
      <c r="S247" s="742" t="e">
        <f>#REF!/$B$6</f>
        <v>#REF!</v>
      </c>
      <c r="T247" s="742" t="e">
        <f>#REF!/$B$6</f>
        <v>#REF!</v>
      </c>
      <c r="U247" s="742" t="e">
        <f>#REF!/$B$6</f>
        <v>#REF!</v>
      </c>
      <c r="V247" s="742" t="e">
        <f>#REF!/$B$6</f>
        <v>#REF!</v>
      </c>
      <c r="W247" s="742" t="e">
        <f>#REF!/$B$6</f>
        <v>#REF!</v>
      </c>
      <c r="X247" s="742" t="e">
        <f>#REF!/$B$6</f>
        <v>#REF!</v>
      </c>
      <c r="Y247" s="742" t="e">
        <f>#REF!/$B$6</f>
        <v>#REF!</v>
      </c>
      <c r="Z247" s="742" t="e">
        <f>#REF!/$B$6</f>
        <v>#REF!</v>
      </c>
      <c r="AA247" s="742" t="e">
        <f>#REF!/$B$6</f>
        <v>#REF!</v>
      </c>
    </row>
    <row r="255" spans="1:27">
      <c r="A255" s="735" t="s">
        <v>640</v>
      </c>
      <c r="B255" s="735">
        <f>B$12</f>
        <v>2003</v>
      </c>
      <c r="C255" s="735">
        <f t="shared" ref="C255:AA255" si="138">C$12</f>
        <v>2004</v>
      </c>
      <c r="D255" s="735">
        <f t="shared" si="138"/>
        <v>2005</v>
      </c>
      <c r="E255" s="735">
        <f t="shared" si="138"/>
        <v>2006</v>
      </c>
      <c r="F255" s="735">
        <f t="shared" si="138"/>
        <v>2007</v>
      </c>
      <c r="G255" s="735">
        <f t="shared" si="138"/>
        <v>2008</v>
      </c>
      <c r="H255" s="735">
        <f t="shared" si="138"/>
        <v>2009</v>
      </c>
      <c r="I255" s="735">
        <f t="shared" si="138"/>
        <v>2010</v>
      </c>
      <c r="J255" s="735">
        <f t="shared" si="138"/>
        <v>2011</v>
      </c>
      <c r="K255" s="735">
        <f t="shared" si="138"/>
        <v>2012</v>
      </c>
      <c r="L255" s="735">
        <f t="shared" si="138"/>
        <v>2013</v>
      </c>
      <c r="M255" s="735">
        <f t="shared" si="138"/>
        <v>2014</v>
      </c>
      <c r="N255" s="735">
        <f t="shared" si="138"/>
        <v>2015</v>
      </c>
      <c r="O255" s="735">
        <f t="shared" si="138"/>
        <v>2016</v>
      </c>
      <c r="P255" s="735">
        <f t="shared" si="138"/>
        <v>2017</v>
      </c>
      <c r="Q255" s="735">
        <f t="shared" si="138"/>
        <v>2018</v>
      </c>
      <c r="R255" s="735">
        <f t="shared" si="138"/>
        <v>2019</v>
      </c>
      <c r="S255" s="735">
        <f t="shared" si="138"/>
        <v>2020</v>
      </c>
      <c r="T255" s="735">
        <f t="shared" si="138"/>
        <v>2021</v>
      </c>
      <c r="U255" s="735">
        <f t="shared" si="138"/>
        <v>2022</v>
      </c>
      <c r="V255" s="735">
        <f t="shared" si="138"/>
        <v>2023</v>
      </c>
      <c r="W255" s="735">
        <f t="shared" si="138"/>
        <v>2024</v>
      </c>
      <c r="X255" s="735">
        <f t="shared" si="138"/>
        <v>2025</v>
      </c>
      <c r="Y255" s="735">
        <f t="shared" si="138"/>
        <v>2026</v>
      </c>
      <c r="Z255" s="735">
        <f t="shared" si="138"/>
        <v>2027</v>
      </c>
      <c r="AA255" s="735">
        <f t="shared" si="138"/>
        <v>2028</v>
      </c>
    </row>
    <row r="258" spans="1:27">
      <c r="A258" s="730" t="s">
        <v>644</v>
      </c>
      <c r="B258" s="739" t="e">
        <f>B188+B233</f>
        <v>#REF!</v>
      </c>
      <c r="C258" s="739" t="e">
        <f t="shared" ref="C258:Z258" si="139">C188+C233</f>
        <v>#REF!</v>
      </c>
      <c r="D258" s="739" t="e">
        <f t="shared" si="139"/>
        <v>#REF!</v>
      </c>
      <c r="E258" s="739" t="e">
        <f t="shared" si="139"/>
        <v>#REF!</v>
      </c>
      <c r="F258" s="739" t="e">
        <f t="shared" si="139"/>
        <v>#REF!</v>
      </c>
      <c r="G258" s="739" t="e">
        <f t="shared" si="139"/>
        <v>#REF!</v>
      </c>
      <c r="H258" s="739" t="e">
        <f t="shared" si="139"/>
        <v>#REF!</v>
      </c>
      <c r="I258" s="739" t="e">
        <f t="shared" si="139"/>
        <v>#REF!</v>
      </c>
      <c r="J258" s="739" t="e">
        <f t="shared" si="139"/>
        <v>#REF!</v>
      </c>
      <c r="K258" s="739" t="e">
        <f t="shared" si="139"/>
        <v>#REF!</v>
      </c>
      <c r="L258" s="739" t="e">
        <f t="shared" si="139"/>
        <v>#REF!</v>
      </c>
      <c r="M258" s="739" t="e">
        <f t="shared" si="139"/>
        <v>#REF!</v>
      </c>
      <c r="N258" s="739" t="e">
        <f t="shared" si="139"/>
        <v>#REF!</v>
      </c>
      <c r="O258" s="739" t="e">
        <f t="shared" si="139"/>
        <v>#REF!</v>
      </c>
      <c r="P258" s="739" t="e">
        <f t="shared" si="139"/>
        <v>#REF!</v>
      </c>
      <c r="Q258" s="739" t="e">
        <f t="shared" si="139"/>
        <v>#REF!</v>
      </c>
      <c r="R258" s="739" t="e">
        <f t="shared" si="139"/>
        <v>#REF!</v>
      </c>
      <c r="S258" s="739" t="e">
        <f t="shared" si="139"/>
        <v>#REF!</v>
      </c>
      <c r="T258" s="739" t="e">
        <f t="shared" si="139"/>
        <v>#REF!</v>
      </c>
      <c r="U258" s="739" t="e">
        <f t="shared" si="139"/>
        <v>#REF!</v>
      </c>
      <c r="V258" s="739" t="e">
        <f t="shared" si="139"/>
        <v>#REF!</v>
      </c>
      <c r="W258" s="739" t="e">
        <f t="shared" si="139"/>
        <v>#REF!</v>
      </c>
      <c r="X258" s="739" t="e">
        <f t="shared" si="139"/>
        <v>#REF!</v>
      </c>
      <c r="Y258" s="739" t="e">
        <f t="shared" si="139"/>
        <v>#REF!</v>
      </c>
      <c r="Z258" s="739" t="e">
        <f t="shared" si="139"/>
        <v>#REF!</v>
      </c>
      <c r="AA258" s="739" t="e">
        <f t="shared" ref="AA258" si="140">AA188+AA233</f>
        <v>#REF!</v>
      </c>
    </row>
    <row r="259" spans="1:27">
      <c r="A259" s="730" t="s">
        <v>645</v>
      </c>
      <c r="B259" s="739" t="e">
        <f>B189</f>
        <v>#REF!</v>
      </c>
      <c r="C259" s="739" t="e">
        <f t="shared" ref="C259:Z259" si="141">C189</f>
        <v>#REF!</v>
      </c>
      <c r="D259" s="739" t="e">
        <f t="shared" si="141"/>
        <v>#REF!</v>
      </c>
      <c r="E259" s="739" t="e">
        <f t="shared" si="141"/>
        <v>#REF!</v>
      </c>
      <c r="F259" s="739" t="e">
        <f t="shared" si="141"/>
        <v>#REF!</v>
      </c>
      <c r="G259" s="739" t="e">
        <f t="shared" si="141"/>
        <v>#REF!</v>
      </c>
      <c r="H259" s="739" t="e">
        <f t="shared" si="141"/>
        <v>#REF!</v>
      </c>
      <c r="I259" s="739" t="e">
        <f t="shared" si="141"/>
        <v>#REF!</v>
      </c>
      <c r="J259" s="739" t="e">
        <f t="shared" si="141"/>
        <v>#REF!</v>
      </c>
      <c r="K259" s="739" t="e">
        <f t="shared" si="141"/>
        <v>#REF!</v>
      </c>
      <c r="L259" s="739" t="e">
        <f t="shared" si="141"/>
        <v>#REF!</v>
      </c>
      <c r="M259" s="739" t="e">
        <f t="shared" si="141"/>
        <v>#REF!</v>
      </c>
      <c r="N259" s="739" t="e">
        <f t="shared" si="141"/>
        <v>#REF!</v>
      </c>
      <c r="O259" s="739" t="e">
        <f t="shared" si="141"/>
        <v>#REF!</v>
      </c>
      <c r="P259" s="739" t="e">
        <f t="shared" si="141"/>
        <v>#REF!</v>
      </c>
      <c r="Q259" s="739" t="e">
        <f t="shared" si="141"/>
        <v>#REF!</v>
      </c>
      <c r="R259" s="739" t="e">
        <f t="shared" si="141"/>
        <v>#REF!</v>
      </c>
      <c r="S259" s="739" t="e">
        <f t="shared" si="141"/>
        <v>#REF!</v>
      </c>
      <c r="T259" s="739" t="e">
        <f t="shared" si="141"/>
        <v>#REF!</v>
      </c>
      <c r="U259" s="739" t="e">
        <f t="shared" si="141"/>
        <v>#REF!</v>
      </c>
      <c r="V259" s="739" t="e">
        <f t="shared" si="141"/>
        <v>#REF!</v>
      </c>
      <c r="W259" s="739" t="e">
        <f t="shared" si="141"/>
        <v>#REF!</v>
      </c>
      <c r="X259" s="739" t="e">
        <f t="shared" si="141"/>
        <v>#REF!</v>
      </c>
      <c r="Y259" s="739" t="e">
        <f t="shared" si="141"/>
        <v>#REF!</v>
      </c>
      <c r="Z259" s="739" t="e">
        <f t="shared" si="141"/>
        <v>#REF!</v>
      </c>
      <c r="AA259" s="739" t="e">
        <f t="shared" ref="AA259" si="142">AA189</f>
        <v>#REF!</v>
      </c>
    </row>
    <row r="260" spans="1:27">
      <c r="A260" s="732" t="s">
        <v>687</v>
      </c>
      <c r="B260" s="748" t="e">
        <f>B258+B259</f>
        <v>#REF!</v>
      </c>
      <c r="C260" s="748" t="e">
        <f t="shared" ref="C260:Z260" si="143">C258+C259</f>
        <v>#REF!</v>
      </c>
      <c r="D260" s="748" t="e">
        <f t="shared" si="143"/>
        <v>#REF!</v>
      </c>
      <c r="E260" s="748" t="e">
        <f t="shared" si="143"/>
        <v>#REF!</v>
      </c>
      <c r="F260" s="748" t="e">
        <f t="shared" si="143"/>
        <v>#REF!</v>
      </c>
      <c r="G260" s="748" t="e">
        <f t="shared" si="143"/>
        <v>#REF!</v>
      </c>
      <c r="H260" s="748" t="e">
        <f t="shared" si="143"/>
        <v>#REF!</v>
      </c>
      <c r="I260" s="748" t="e">
        <f t="shared" si="143"/>
        <v>#REF!</v>
      </c>
      <c r="J260" s="748" t="e">
        <f t="shared" si="143"/>
        <v>#REF!</v>
      </c>
      <c r="K260" s="748" t="e">
        <f t="shared" si="143"/>
        <v>#REF!</v>
      </c>
      <c r="L260" s="748" t="e">
        <f t="shared" si="143"/>
        <v>#REF!</v>
      </c>
      <c r="M260" s="748" t="e">
        <f t="shared" si="143"/>
        <v>#REF!</v>
      </c>
      <c r="N260" s="748" t="e">
        <f t="shared" si="143"/>
        <v>#REF!</v>
      </c>
      <c r="O260" s="748" t="e">
        <f t="shared" si="143"/>
        <v>#REF!</v>
      </c>
      <c r="P260" s="748" t="e">
        <f t="shared" si="143"/>
        <v>#REF!</v>
      </c>
      <c r="Q260" s="748" t="e">
        <f t="shared" si="143"/>
        <v>#REF!</v>
      </c>
      <c r="R260" s="748" t="e">
        <f t="shared" si="143"/>
        <v>#REF!</v>
      </c>
      <c r="S260" s="748" t="e">
        <f t="shared" si="143"/>
        <v>#REF!</v>
      </c>
      <c r="T260" s="748" t="e">
        <f t="shared" si="143"/>
        <v>#REF!</v>
      </c>
      <c r="U260" s="748" t="e">
        <f t="shared" si="143"/>
        <v>#REF!</v>
      </c>
      <c r="V260" s="748" t="e">
        <f t="shared" si="143"/>
        <v>#REF!</v>
      </c>
      <c r="W260" s="748" t="e">
        <f t="shared" si="143"/>
        <v>#REF!</v>
      </c>
      <c r="X260" s="748" t="e">
        <f t="shared" si="143"/>
        <v>#REF!</v>
      </c>
      <c r="Y260" s="748" t="e">
        <f t="shared" si="143"/>
        <v>#REF!</v>
      </c>
      <c r="Z260" s="748" t="e">
        <f t="shared" si="143"/>
        <v>#REF!</v>
      </c>
      <c r="AA260" s="748" t="e">
        <f t="shared" ref="AA260" si="144">AA258+AA259</f>
        <v>#REF!</v>
      </c>
    </row>
    <row r="262" spans="1:27">
      <c r="A262" s="730" t="s">
        <v>649</v>
      </c>
      <c r="B262" s="739" t="e">
        <f>B192+B234</f>
        <v>#REF!</v>
      </c>
      <c r="C262" s="739" t="e">
        <f t="shared" ref="C262:Z262" si="145">C192+C234</f>
        <v>#REF!</v>
      </c>
      <c r="D262" s="739" t="e">
        <f t="shared" si="145"/>
        <v>#REF!</v>
      </c>
      <c r="E262" s="739" t="e">
        <f t="shared" si="145"/>
        <v>#REF!</v>
      </c>
      <c r="F262" s="739" t="e">
        <f t="shared" si="145"/>
        <v>#REF!</v>
      </c>
      <c r="G262" s="739" t="e">
        <f t="shared" si="145"/>
        <v>#REF!</v>
      </c>
      <c r="H262" s="739" t="e">
        <f t="shared" si="145"/>
        <v>#REF!</v>
      </c>
      <c r="I262" s="739" t="e">
        <f t="shared" si="145"/>
        <v>#REF!</v>
      </c>
      <c r="J262" s="739" t="e">
        <f t="shared" si="145"/>
        <v>#REF!</v>
      </c>
      <c r="K262" s="739" t="e">
        <f t="shared" si="145"/>
        <v>#REF!</v>
      </c>
      <c r="L262" s="739" t="e">
        <f t="shared" si="145"/>
        <v>#REF!</v>
      </c>
      <c r="M262" s="739" t="e">
        <f t="shared" si="145"/>
        <v>#REF!</v>
      </c>
      <c r="N262" s="739" t="e">
        <f t="shared" si="145"/>
        <v>#REF!</v>
      </c>
      <c r="O262" s="739" t="e">
        <f t="shared" si="145"/>
        <v>#REF!</v>
      </c>
      <c r="P262" s="739" t="e">
        <f t="shared" si="145"/>
        <v>#REF!</v>
      </c>
      <c r="Q262" s="739" t="e">
        <f t="shared" si="145"/>
        <v>#REF!</v>
      </c>
      <c r="R262" s="739" t="e">
        <f t="shared" si="145"/>
        <v>#REF!</v>
      </c>
      <c r="S262" s="739" t="e">
        <f t="shared" si="145"/>
        <v>#REF!</v>
      </c>
      <c r="T262" s="739" t="e">
        <f t="shared" si="145"/>
        <v>#REF!</v>
      </c>
      <c r="U262" s="739" t="e">
        <f t="shared" si="145"/>
        <v>#REF!</v>
      </c>
      <c r="V262" s="739" t="e">
        <f t="shared" si="145"/>
        <v>#REF!</v>
      </c>
      <c r="W262" s="739" t="e">
        <f t="shared" si="145"/>
        <v>#REF!</v>
      </c>
      <c r="X262" s="739" t="e">
        <f t="shared" si="145"/>
        <v>#REF!</v>
      </c>
      <c r="Y262" s="739" t="e">
        <f t="shared" si="145"/>
        <v>#REF!</v>
      </c>
      <c r="Z262" s="739" t="e">
        <f t="shared" si="145"/>
        <v>#REF!</v>
      </c>
      <c r="AA262" s="739" t="e">
        <f t="shared" ref="AA262" si="146">AA192+AA234</f>
        <v>#REF!</v>
      </c>
    </row>
    <row r="263" spans="1:27">
      <c r="A263" s="730" t="s">
        <v>650</v>
      </c>
      <c r="B263" s="739" t="e">
        <f>B193</f>
        <v>#REF!</v>
      </c>
      <c r="C263" s="739" t="e">
        <f t="shared" ref="C263:Z263" si="147">C193</f>
        <v>#REF!</v>
      </c>
      <c r="D263" s="739" t="e">
        <f t="shared" si="147"/>
        <v>#REF!</v>
      </c>
      <c r="E263" s="739" t="e">
        <f t="shared" si="147"/>
        <v>#REF!</v>
      </c>
      <c r="F263" s="739" t="e">
        <f t="shared" si="147"/>
        <v>#REF!</v>
      </c>
      <c r="G263" s="739" t="e">
        <f t="shared" si="147"/>
        <v>#REF!</v>
      </c>
      <c r="H263" s="739" t="e">
        <f t="shared" si="147"/>
        <v>#REF!</v>
      </c>
      <c r="I263" s="739" t="e">
        <f t="shared" si="147"/>
        <v>#REF!</v>
      </c>
      <c r="J263" s="739" t="e">
        <f t="shared" si="147"/>
        <v>#REF!</v>
      </c>
      <c r="K263" s="739" t="e">
        <f t="shared" si="147"/>
        <v>#REF!</v>
      </c>
      <c r="L263" s="739" t="e">
        <f t="shared" si="147"/>
        <v>#REF!</v>
      </c>
      <c r="M263" s="739" t="e">
        <f t="shared" si="147"/>
        <v>#REF!</v>
      </c>
      <c r="N263" s="739" t="e">
        <f t="shared" si="147"/>
        <v>#REF!</v>
      </c>
      <c r="O263" s="739" t="e">
        <f t="shared" si="147"/>
        <v>#REF!</v>
      </c>
      <c r="P263" s="739" t="e">
        <f t="shared" si="147"/>
        <v>#REF!</v>
      </c>
      <c r="Q263" s="739" t="e">
        <f t="shared" si="147"/>
        <v>#REF!</v>
      </c>
      <c r="R263" s="739" t="e">
        <f t="shared" si="147"/>
        <v>#REF!</v>
      </c>
      <c r="S263" s="739" t="e">
        <f t="shared" si="147"/>
        <v>#REF!</v>
      </c>
      <c r="T263" s="739" t="e">
        <f t="shared" si="147"/>
        <v>#REF!</v>
      </c>
      <c r="U263" s="739" t="e">
        <f t="shared" si="147"/>
        <v>#REF!</v>
      </c>
      <c r="V263" s="739" t="e">
        <f t="shared" si="147"/>
        <v>#REF!</v>
      </c>
      <c r="W263" s="739" t="e">
        <f t="shared" si="147"/>
        <v>#REF!</v>
      </c>
      <c r="X263" s="739" t="e">
        <f t="shared" si="147"/>
        <v>#REF!</v>
      </c>
      <c r="Y263" s="739" t="e">
        <f t="shared" si="147"/>
        <v>#REF!</v>
      </c>
      <c r="Z263" s="739" t="e">
        <f t="shared" si="147"/>
        <v>#REF!</v>
      </c>
      <c r="AA263" s="739" t="e">
        <f t="shared" ref="AA263" si="148">AA193</f>
        <v>#REF!</v>
      </c>
    </row>
    <row r="264" spans="1:27">
      <c r="A264" s="732" t="s">
        <v>688</v>
      </c>
      <c r="B264" s="748" t="e">
        <f>B262+B263</f>
        <v>#REF!</v>
      </c>
      <c r="C264" s="748" t="e">
        <f t="shared" ref="C264:Z264" si="149">C262+C263</f>
        <v>#REF!</v>
      </c>
      <c r="D264" s="748" t="e">
        <f t="shared" si="149"/>
        <v>#REF!</v>
      </c>
      <c r="E264" s="748" t="e">
        <f t="shared" si="149"/>
        <v>#REF!</v>
      </c>
      <c r="F264" s="748" t="e">
        <f t="shared" si="149"/>
        <v>#REF!</v>
      </c>
      <c r="G264" s="748" t="e">
        <f t="shared" si="149"/>
        <v>#REF!</v>
      </c>
      <c r="H264" s="748" t="e">
        <f t="shared" si="149"/>
        <v>#REF!</v>
      </c>
      <c r="I264" s="748" t="e">
        <f t="shared" si="149"/>
        <v>#REF!</v>
      </c>
      <c r="J264" s="748" t="e">
        <f t="shared" si="149"/>
        <v>#REF!</v>
      </c>
      <c r="K264" s="748" t="e">
        <f t="shared" si="149"/>
        <v>#REF!</v>
      </c>
      <c r="L264" s="748" t="e">
        <f t="shared" si="149"/>
        <v>#REF!</v>
      </c>
      <c r="M264" s="748" t="e">
        <f t="shared" si="149"/>
        <v>#REF!</v>
      </c>
      <c r="N264" s="748" t="e">
        <f t="shared" si="149"/>
        <v>#REF!</v>
      </c>
      <c r="O264" s="748" t="e">
        <f t="shared" si="149"/>
        <v>#REF!</v>
      </c>
      <c r="P264" s="748" t="e">
        <f t="shared" si="149"/>
        <v>#REF!</v>
      </c>
      <c r="Q264" s="748" t="e">
        <f t="shared" si="149"/>
        <v>#REF!</v>
      </c>
      <c r="R264" s="748" t="e">
        <f t="shared" si="149"/>
        <v>#REF!</v>
      </c>
      <c r="S264" s="748" t="e">
        <f t="shared" si="149"/>
        <v>#REF!</v>
      </c>
      <c r="T264" s="748" t="e">
        <f t="shared" si="149"/>
        <v>#REF!</v>
      </c>
      <c r="U264" s="748" t="e">
        <f t="shared" si="149"/>
        <v>#REF!</v>
      </c>
      <c r="V264" s="748" t="e">
        <f t="shared" si="149"/>
        <v>#REF!</v>
      </c>
      <c r="W264" s="748" t="e">
        <f t="shared" si="149"/>
        <v>#REF!</v>
      </c>
      <c r="X264" s="748" t="e">
        <f t="shared" si="149"/>
        <v>#REF!</v>
      </c>
      <c r="Y264" s="748" t="e">
        <f t="shared" si="149"/>
        <v>#REF!</v>
      </c>
      <c r="Z264" s="748" t="e">
        <f t="shared" si="149"/>
        <v>#REF!</v>
      </c>
      <c r="AA264" s="748" t="e">
        <f t="shared" ref="AA264" si="150">AA262+AA263</f>
        <v>#REF!</v>
      </c>
    </row>
    <row r="265" spans="1:27">
      <c r="A265" s="732"/>
    </row>
    <row r="266" spans="1:27">
      <c r="A266" s="730" t="s">
        <v>652</v>
      </c>
      <c r="B266" s="739" t="e">
        <f>B258+B262</f>
        <v>#REF!</v>
      </c>
      <c r="C266" s="739" t="e">
        <f t="shared" ref="C266:Z267" si="151">C258+C262</f>
        <v>#REF!</v>
      </c>
      <c r="D266" s="739" t="e">
        <f t="shared" si="151"/>
        <v>#REF!</v>
      </c>
      <c r="E266" s="739" t="e">
        <f t="shared" si="151"/>
        <v>#REF!</v>
      </c>
      <c r="F266" s="739" t="e">
        <f t="shared" si="151"/>
        <v>#REF!</v>
      </c>
      <c r="G266" s="739" t="e">
        <f t="shared" si="151"/>
        <v>#REF!</v>
      </c>
      <c r="H266" s="739" t="e">
        <f t="shared" si="151"/>
        <v>#REF!</v>
      </c>
      <c r="I266" s="739" t="e">
        <f t="shared" si="151"/>
        <v>#REF!</v>
      </c>
      <c r="J266" s="739" t="e">
        <f t="shared" si="151"/>
        <v>#REF!</v>
      </c>
      <c r="K266" s="739" t="e">
        <f t="shared" si="151"/>
        <v>#REF!</v>
      </c>
      <c r="L266" s="739" t="e">
        <f t="shared" si="151"/>
        <v>#REF!</v>
      </c>
      <c r="M266" s="739" t="e">
        <f t="shared" si="151"/>
        <v>#REF!</v>
      </c>
      <c r="N266" s="739" t="e">
        <f t="shared" si="151"/>
        <v>#REF!</v>
      </c>
      <c r="O266" s="739" t="e">
        <f t="shared" si="151"/>
        <v>#REF!</v>
      </c>
      <c r="P266" s="739" t="e">
        <f t="shared" si="151"/>
        <v>#REF!</v>
      </c>
      <c r="Q266" s="739" t="e">
        <f t="shared" si="151"/>
        <v>#REF!</v>
      </c>
      <c r="R266" s="739" t="e">
        <f t="shared" si="151"/>
        <v>#REF!</v>
      </c>
      <c r="S266" s="739" t="e">
        <f t="shared" si="151"/>
        <v>#REF!</v>
      </c>
      <c r="T266" s="739" t="e">
        <f t="shared" si="151"/>
        <v>#REF!</v>
      </c>
      <c r="U266" s="739" t="e">
        <f t="shared" si="151"/>
        <v>#REF!</v>
      </c>
      <c r="V266" s="739" t="e">
        <f t="shared" si="151"/>
        <v>#REF!</v>
      </c>
      <c r="W266" s="739" t="e">
        <f t="shared" si="151"/>
        <v>#REF!</v>
      </c>
      <c r="X266" s="739" t="e">
        <f t="shared" si="151"/>
        <v>#REF!</v>
      </c>
      <c r="Y266" s="739" t="e">
        <f t="shared" si="151"/>
        <v>#REF!</v>
      </c>
      <c r="Z266" s="739" t="e">
        <f t="shared" si="151"/>
        <v>#REF!</v>
      </c>
      <c r="AA266" s="739" t="e">
        <f t="shared" ref="AA266" si="152">AA258+AA262</f>
        <v>#REF!</v>
      </c>
    </row>
    <row r="267" spans="1:27">
      <c r="A267" s="730" t="s">
        <v>653</v>
      </c>
      <c r="B267" s="739" t="e">
        <f>B259+B263</f>
        <v>#REF!</v>
      </c>
      <c r="C267" s="739" t="e">
        <f t="shared" si="151"/>
        <v>#REF!</v>
      </c>
      <c r="D267" s="739" t="e">
        <f t="shared" si="151"/>
        <v>#REF!</v>
      </c>
      <c r="E267" s="739" t="e">
        <f t="shared" si="151"/>
        <v>#REF!</v>
      </c>
      <c r="F267" s="739" t="e">
        <f t="shared" si="151"/>
        <v>#REF!</v>
      </c>
      <c r="G267" s="739" t="e">
        <f t="shared" si="151"/>
        <v>#REF!</v>
      </c>
      <c r="H267" s="739" t="e">
        <f t="shared" si="151"/>
        <v>#REF!</v>
      </c>
      <c r="I267" s="739" t="e">
        <f t="shared" si="151"/>
        <v>#REF!</v>
      </c>
      <c r="J267" s="739" t="e">
        <f t="shared" si="151"/>
        <v>#REF!</v>
      </c>
      <c r="K267" s="739" t="e">
        <f t="shared" si="151"/>
        <v>#REF!</v>
      </c>
      <c r="L267" s="739" t="e">
        <f t="shared" si="151"/>
        <v>#REF!</v>
      </c>
      <c r="M267" s="739" t="e">
        <f t="shared" si="151"/>
        <v>#REF!</v>
      </c>
      <c r="N267" s="739" t="e">
        <f t="shared" si="151"/>
        <v>#REF!</v>
      </c>
      <c r="O267" s="739" t="e">
        <f t="shared" si="151"/>
        <v>#REF!</v>
      </c>
      <c r="P267" s="739" t="e">
        <f t="shared" si="151"/>
        <v>#REF!</v>
      </c>
      <c r="Q267" s="739" t="e">
        <f t="shared" si="151"/>
        <v>#REF!</v>
      </c>
      <c r="R267" s="739" t="e">
        <f t="shared" si="151"/>
        <v>#REF!</v>
      </c>
      <c r="S267" s="739" t="e">
        <f t="shared" si="151"/>
        <v>#REF!</v>
      </c>
      <c r="T267" s="739" t="e">
        <f t="shared" si="151"/>
        <v>#REF!</v>
      </c>
      <c r="U267" s="739" t="e">
        <f t="shared" si="151"/>
        <v>#REF!</v>
      </c>
      <c r="V267" s="739" t="e">
        <f t="shared" si="151"/>
        <v>#REF!</v>
      </c>
      <c r="W267" s="739" t="e">
        <f t="shared" si="151"/>
        <v>#REF!</v>
      </c>
      <c r="X267" s="739" t="e">
        <f t="shared" si="151"/>
        <v>#REF!</v>
      </c>
      <c r="Y267" s="739" t="e">
        <f t="shared" si="151"/>
        <v>#REF!</v>
      </c>
      <c r="Z267" s="739" t="e">
        <f t="shared" si="151"/>
        <v>#REF!</v>
      </c>
      <c r="AA267" s="739" t="e">
        <f t="shared" ref="AA267" si="153">AA259+AA263</f>
        <v>#REF!</v>
      </c>
    </row>
    <row r="268" spans="1:27">
      <c r="A268" s="732" t="s">
        <v>689</v>
      </c>
      <c r="B268" s="748" t="e">
        <f>B266+B267</f>
        <v>#REF!</v>
      </c>
      <c r="C268" s="748" t="e">
        <f t="shared" ref="C268:Z268" si="154">C266+C267</f>
        <v>#REF!</v>
      </c>
      <c r="D268" s="748" t="e">
        <f t="shared" si="154"/>
        <v>#REF!</v>
      </c>
      <c r="E268" s="748" t="e">
        <f t="shared" si="154"/>
        <v>#REF!</v>
      </c>
      <c r="F268" s="748" t="e">
        <f t="shared" si="154"/>
        <v>#REF!</v>
      </c>
      <c r="G268" s="748" t="e">
        <f t="shared" si="154"/>
        <v>#REF!</v>
      </c>
      <c r="H268" s="748" t="e">
        <f t="shared" si="154"/>
        <v>#REF!</v>
      </c>
      <c r="I268" s="748" t="e">
        <f t="shared" si="154"/>
        <v>#REF!</v>
      </c>
      <c r="J268" s="748" t="e">
        <f t="shared" si="154"/>
        <v>#REF!</v>
      </c>
      <c r="K268" s="748" t="e">
        <f t="shared" si="154"/>
        <v>#REF!</v>
      </c>
      <c r="L268" s="748" t="e">
        <f t="shared" si="154"/>
        <v>#REF!</v>
      </c>
      <c r="M268" s="748" t="e">
        <f t="shared" si="154"/>
        <v>#REF!</v>
      </c>
      <c r="N268" s="748" t="e">
        <f t="shared" si="154"/>
        <v>#REF!</v>
      </c>
      <c r="O268" s="748" t="e">
        <f t="shared" si="154"/>
        <v>#REF!</v>
      </c>
      <c r="P268" s="748" t="e">
        <f t="shared" si="154"/>
        <v>#REF!</v>
      </c>
      <c r="Q268" s="748" t="e">
        <f t="shared" si="154"/>
        <v>#REF!</v>
      </c>
      <c r="R268" s="748" t="e">
        <f t="shared" si="154"/>
        <v>#REF!</v>
      </c>
      <c r="S268" s="748" t="e">
        <f t="shared" si="154"/>
        <v>#REF!</v>
      </c>
      <c r="T268" s="748" t="e">
        <f t="shared" si="154"/>
        <v>#REF!</v>
      </c>
      <c r="U268" s="748" t="e">
        <f t="shared" si="154"/>
        <v>#REF!</v>
      </c>
      <c r="V268" s="748" t="e">
        <f t="shared" si="154"/>
        <v>#REF!</v>
      </c>
      <c r="W268" s="748" t="e">
        <f t="shared" si="154"/>
        <v>#REF!</v>
      </c>
      <c r="X268" s="748" t="e">
        <f t="shared" si="154"/>
        <v>#REF!</v>
      </c>
      <c r="Y268" s="748" t="e">
        <f t="shared" si="154"/>
        <v>#REF!</v>
      </c>
      <c r="Z268" s="748" t="e">
        <f t="shared" si="154"/>
        <v>#REF!</v>
      </c>
      <c r="AA268" s="748" t="e">
        <f t="shared" ref="AA268" si="155">AA266+AA267</f>
        <v>#REF!</v>
      </c>
    </row>
    <row r="270" spans="1:27">
      <c r="A270" s="730" t="s">
        <v>655</v>
      </c>
      <c r="B270" s="750" t="e">
        <f>B200+B237</f>
        <v>#REF!</v>
      </c>
      <c r="C270" s="750" t="e">
        <f t="shared" ref="C270:Z270" si="156">C200+C237</f>
        <v>#REF!</v>
      </c>
      <c r="D270" s="750" t="e">
        <f t="shared" si="156"/>
        <v>#REF!</v>
      </c>
      <c r="E270" s="750" t="e">
        <f t="shared" si="156"/>
        <v>#REF!</v>
      </c>
      <c r="F270" s="750" t="e">
        <f t="shared" si="156"/>
        <v>#REF!</v>
      </c>
      <c r="G270" s="750" t="e">
        <f t="shared" si="156"/>
        <v>#REF!</v>
      </c>
      <c r="H270" s="750" t="e">
        <f t="shared" si="156"/>
        <v>#REF!</v>
      </c>
      <c r="I270" s="750" t="e">
        <f t="shared" si="156"/>
        <v>#REF!</v>
      </c>
      <c r="J270" s="750" t="e">
        <f t="shared" si="156"/>
        <v>#REF!</v>
      </c>
      <c r="K270" s="750" t="e">
        <f t="shared" si="156"/>
        <v>#REF!</v>
      </c>
      <c r="L270" s="750" t="e">
        <f t="shared" si="156"/>
        <v>#REF!</v>
      </c>
      <c r="M270" s="750" t="e">
        <f t="shared" si="156"/>
        <v>#REF!</v>
      </c>
      <c r="N270" s="750" t="e">
        <f t="shared" si="156"/>
        <v>#REF!</v>
      </c>
      <c r="O270" s="750" t="e">
        <f t="shared" si="156"/>
        <v>#REF!</v>
      </c>
      <c r="P270" s="750" t="e">
        <f t="shared" si="156"/>
        <v>#REF!</v>
      </c>
      <c r="Q270" s="750" t="e">
        <f t="shared" si="156"/>
        <v>#REF!</v>
      </c>
      <c r="R270" s="750" t="e">
        <f t="shared" si="156"/>
        <v>#REF!</v>
      </c>
      <c r="S270" s="750" t="e">
        <f t="shared" si="156"/>
        <v>#REF!</v>
      </c>
      <c r="T270" s="750" t="e">
        <f t="shared" si="156"/>
        <v>#REF!</v>
      </c>
      <c r="U270" s="750" t="e">
        <f t="shared" si="156"/>
        <v>#REF!</v>
      </c>
      <c r="V270" s="750" t="e">
        <f t="shared" si="156"/>
        <v>#REF!</v>
      </c>
      <c r="W270" s="750" t="e">
        <f t="shared" si="156"/>
        <v>#REF!</v>
      </c>
      <c r="X270" s="750" t="e">
        <f t="shared" si="156"/>
        <v>#REF!</v>
      </c>
      <c r="Y270" s="750" t="e">
        <f t="shared" si="156"/>
        <v>#REF!</v>
      </c>
      <c r="Z270" s="750" t="e">
        <f t="shared" si="156"/>
        <v>#REF!</v>
      </c>
      <c r="AA270" s="750" t="e">
        <f t="shared" ref="AA270" si="157">AA200+AA237</f>
        <v>#REF!</v>
      </c>
    </row>
    <row r="271" spans="1:27">
      <c r="A271" s="730" t="s">
        <v>656</v>
      </c>
      <c r="B271" s="750" t="e">
        <f>B201</f>
        <v>#REF!</v>
      </c>
      <c r="C271" s="750" t="e">
        <f t="shared" ref="C271:Z271" si="158">C201</f>
        <v>#REF!</v>
      </c>
      <c r="D271" s="750" t="e">
        <f t="shared" si="158"/>
        <v>#REF!</v>
      </c>
      <c r="E271" s="750" t="e">
        <f t="shared" si="158"/>
        <v>#REF!</v>
      </c>
      <c r="F271" s="750" t="e">
        <f t="shared" si="158"/>
        <v>#REF!</v>
      </c>
      <c r="G271" s="750" t="e">
        <f t="shared" si="158"/>
        <v>#REF!</v>
      </c>
      <c r="H271" s="750" t="e">
        <f t="shared" si="158"/>
        <v>#REF!</v>
      </c>
      <c r="I271" s="750" t="e">
        <f t="shared" si="158"/>
        <v>#REF!</v>
      </c>
      <c r="J271" s="750" t="e">
        <f t="shared" si="158"/>
        <v>#REF!</v>
      </c>
      <c r="K271" s="750" t="e">
        <f t="shared" si="158"/>
        <v>#REF!</v>
      </c>
      <c r="L271" s="750" t="e">
        <f t="shared" si="158"/>
        <v>#REF!</v>
      </c>
      <c r="M271" s="750" t="e">
        <f t="shared" si="158"/>
        <v>#REF!</v>
      </c>
      <c r="N271" s="750" t="e">
        <f t="shared" si="158"/>
        <v>#REF!</v>
      </c>
      <c r="O271" s="750" t="e">
        <f t="shared" si="158"/>
        <v>#REF!</v>
      </c>
      <c r="P271" s="750" t="e">
        <f t="shared" si="158"/>
        <v>#REF!</v>
      </c>
      <c r="Q271" s="750" t="e">
        <f t="shared" si="158"/>
        <v>#REF!</v>
      </c>
      <c r="R271" s="750" t="e">
        <f t="shared" si="158"/>
        <v>#REF!</v>
      </c>
      <c r="S271" s="750" t="e">
        <f t="shared" si="158"/>
        <v>#REF!</v>
      </c>
      <c r="T271" s="750" t="e">
        <f t="shared" si="158"/>
        <v>#REF!</v>
      </c>
      <c r="U271" s="750" t="e">
        <f t="shared" si="158"/>
        <v>#REF!</v>
      </c>
      <c r="V271" s="750" t="e">
        <f t="shared" si="158"/>
        <v>#REF!</v>
      </c>
      <c r="W271" s="750" t="e">
        <f t="shared" si="158"/>
        <v>#REF!</v>
      </c>
      <c r="X271" s="750" t="e">
        <f t="shared" si="158"/>
        <v>#REF!</v>
      </c>
      <c r="Y271" s="750" t="e">
        <f t="shared" si="158"/>
        <v>#REF!</v>
      </c>
      <c r="Z271" s="750" t="e">
        <f t="shared" si="158"/>
        <v>#REF!</v>
      </c>
      <c r="AA271" s="750" t="e">
        <f t="shared" ref="AA271" si="159">AA201</f>
        <v>#REF!</v>
      </c>
    </row>
    <row r="272" spans="1:27">
      <c r="A272" s="732" t="s">
        <v>690</v>
      </c>
      <c r="B272" s="748" t="e">
        <f>B270+B271</f>
        <v>#REF!</v>
      </c>
      <c r="C272" s="748" t="e">
        <f t="shared" ref="C272:Z272" si="160">C270+C271</f>
        <v>#REF!</v>
      </c>
      <c r="D272" s="748" t="e">
        <f t="shared" si="160"/>
        <v>#REF!</v>
      </c>
      <c r="E272" s="748" t="e">
        <f t="shared" si="160"/>
        <v>#REF!</v>
      </c>
      <c r="F272" s="748" t="e">
        <f t="shared" si="160"/>
        <v>#REF!</v>
      </c>
      <c r="G272" s="748" t="e">
        <f t="shared" si="160"/>
        <v>#REF!</v>
      </c>
      <c r="H272" s="748" t="e">
        <f t="shared" si="160"/>
        <v>#REF!</v>
      </c>
      <c r="I272" s="748" t="e">
        <f t="shared" si="160"/>
        <v>#REF!</v>
      </c>
      <c r="J272" s="748" t="e">
        <f t="shared" si="160"/>
        <v>#REF!</v>
      </c>
      <c r="K272" s="748" t="e">
        <f t="shared" si="160"/>
        <v>#REF!</v>
      </c>
      <c r="L272" s="748" t="e">
        <f t="shared" si="160"/>
        <v>#REF!</v>
      </c>
      <c r="M272" s="748" t="e">
        <f t="shared" si="160"/>
        <v>#REF!</v>
      </c>
      <c r="N272" s="748" t="e">
        <f t="shared" si="160"/>
        <v>#REF!</v>
      </c>
      <c r="O272" s="748" t="e">
        <f t="shared" si="160"/>
        <v>#REF!</v>
      </c>
      <c r="P272" s="748" t="e">
        <f t="shared" si="160"/>
        <v>#REF!</v>
      </c>
      <c r="Q272" s="748" t="e">
        <f t="shared" si="160"/>
        <v>#REF!</v>
      </c>
      <c r="R272" s="748" t="e">
        <f t="shared" si="160"/>
        <v>#REF!</v>
      </c>
      <c r="S272" s="748" t="e">
        <f t="shared" si="160"/>
        <v>#REF!</v>
      </c>
      <c r="T272" s="748" t="e">
        <f t="shared" si="160"/>
        <v>#REF!</v>
      </c>
      <c r="U272" s="748" t="e">
        <f t="shared" si="160"/>
        <v>#REF!</v>
      </c>
      <c r="V272" s="748" t="e">
        <f t="shared" si="160"/>
        <v>#REF!</v>
      </c>
      <c r="W272" s="748" t="e">
        <f t="shared" si="160"/>
        <v>#REF!</v>
      </c>
      <c r="X272" s="748" t="e">
        <f t="shared" si="160"/>
        <v>#REF!</v>
      </c>
      <c r="Y272" s="748" t="e">
        <f t="shared" si="160"/>
        <v>#REF!</v>
      </c>
      <c r="Z272" s="748" t="e">
        <f t="shared" si="160"/>
        <v>#REF!</v>
      </c>
      <c r="AA272" s="748" t="e">
        <f t="shared" ref="AA272" si="161">AA270+AA271</f>
        <v>#REF!</v>
      </c>
    </row>
    <row r="274" spans="1:27">
      <c r="A274" s="730" t="s">
        <v>658</v>
      </c>
      <c r="B274" s="739" t="e">
        <f>B204+B238</f>
        <v>#REF!</v>
      </c>
      <c r="C274" s="739" t="e">
        <f t="shared" ref="C274:Z274" si="162">C204+C238</f>
        <v>#REF!</v>
      </c>
      <c r="D274" s="739" t="e">
        <f t="shared" si="162"/>
        <v>#REF!</v>
      </c>
      <c r="E274" s="739" t="e">
        <f t="shared" si="162"/>
        <v>#REF!</v>
      </c>
      <c r="F274" s="739" t="e">
        <f t="shared" si="162"/>
        <v>#REF!</v>
      </c>
      <c r="G274" s="739" t="e">
        <f t="shared" si="162"/>
        <v>#REF!</v>
      </c>
      <c r="H274" s="739" t="e">
        <f t="shared" si="162"/>
        <v>#REF!</v>
      </c>
      <c r="I274" s="739" t="e">
        <f t="shared" si="162"/>
        <v>#REF!</v>
      </c>
      <c r="J274" s="739" t="e">
        <f t="shared" si="162"/>
        <v>#REF!</v>
      </c>
      <c r="K274" s="739" t="e">
        <f t="shared" si="162"/>
        <v>#REF!</v>
      </c>
      <c r="L274" s="739" t="e">
        <f t="shared" si="162"/>
        <v>#REF!</v>
      </c>
      <c r="M274" s="739" t="e">
        <f t="shared" si="162"/>
        <v>#REF!</v>
      </c>
      <c r="N274" s="739" t="e">
        <f t="shared" si="162"/>
        <v>#REF!</v>
      </c>
      <c r="O274" s="739" t="e">
        <f t="shared" si="162"/>
        <v>#REF!</v>
      </c>
      <c r="P274" s="739" t="e">
        <f t="shared" si="162"/>
        <v>#REF!</v>
      </c>
      <c r="Q274" s="739" t="e">
        <f t="shared" si="162"/>
        <v>#REF!</v>
      </c>
      <c r="R274" s="739" t="e">
        <f t="shared" si="162"/>
        <v>#REF!</v>
      </c>
      <c r="S274" s="739" t="e">
        <f t="shared" si="162"/>
        <v>#REF!</v>
      </c>
      <c r="T274" s="739" t="e">
        <f t="shared" si="162"/>
        <v>#REF!</v>
      </c>
      <c r="U274" s="739" t="e">
        <f t="shared" si="162"/>
        <v>#REF!</v>
      </c>
      <c r="V274" s="739" t="e">
        <f t="shared" si="162"/>
        <v>#REF!</v>
      </c>
      <c r="W274" s="739" t="e">
        <f t="shared" si="162"/>
        <v>#REF!</v>
      </c>
      <c r="X274" s="739" t="e">
        <f t="shared" si="162"/>
        <v>#REF!</v>
      </c>
      <c r="Y274" s="739" t="e">
        <f t="shared" si="162"/>
        <v>#REF!</v>
      </c>
      <c r="Z274" s="739" t="e">
        <f t="shared" si="162"/>
        <v>#REF!</v>
      </c>
      <c r="AA274" s="739" t="e">
        <f t="shared" ref="AA274" si="163">AA204+AA238</f>
        <v>#REF!</v>
      </c>
    </row>
    <row r="275" spans="1:27">
      <c r="A275" s="732" t="s">
        <v>691</v>
      </c>
      <c r="B275" s="748" t="e">
        <f>B272+B274</f>
        <v>#REF!</v>
      </c>
      <c r="C275" s="748" t="e">
        <f t="shared" ref="C275:Z275" si="164">C272+C274</f>
        <v>#REF!</v>
      </c>
      <c r="D275" s="748" t="e">
        <f t="shared" si="164"/>
        <v>#REF!</v>
      </c>
      <c r="E275" s="748" t="e">
        <f t="shared" si="164"/>
        <v>#REF!</v>
      </c>
      <c r="F275" s="748" t="e">
        <f t="shared" si="164"/>
        <v>#REF!</v>
      </c>
      <c r="G275" s="748" t="e">
        <f t="shared" si="164"/>
        <v>#REF!</v>
      </c>
      <c r="H275" s="748" t="e">
        <f t="shared" si="164"/>
        <v>#REF!</v>
      </c>
      <c r="I275" s="748" t="e">
        <f t="shared" si="164"/>
        <v>#REF!</v>
      </c>
      <c r="J275" s="748" t="e">
        <f t="shared" si="164"/>
        <v>#REF!</v>
      </c>
      <c r="K275" s="748" t="e">
        <f t="shared" si="164"/>
        <v>#REF!</v>
      </c>
      <c r="L275" s="748" t="e">
        <f t="shared" si="164"/>
        <v>#REF!</v>
      </c>
      <c r="M275" s="748" t="e">
        <f t="shared" si="164"/>
        <v>#REF!</v>
      </c>
      <c r="N275" s="748" t="e">
        <f t="shared" si="164"/>
        <v>#REF!</v>
      </c>
      <c r="O275" s="748" t="e">
        <f t="shared" si="164"/>
        <v>#REF!</v>
      </c>
      <c r="P275" s="748" t="e">
        <f t="shared" si="164"/>
        <v>#REF!</v>
      </c>
      <c r="Q275" s="748" t="e">
        <f t="shared" si="164"/>
        <v>#REF!</v>
      </c>
      <c r="R275" s="748" t="e">
        <f t="shared" si="164"/>
        <v>#REF!</v>
      </c>
      <c r="S275" s="748" t="e">
        <f t="shared" si="164"/>
        <v>#REF!</v>
      </c>
      <c r="T275" s="748" t="e">
        <f t="shared" si="164"/>
        <v>#REF!</v>
      </c>
      <c r="U275" s="748" t="e">
        <f t="shared" si="164"/>
        <v>#REF!</v>
      </c>
      <c r="V275" s="748" t="e">
        <f t="shared" si="164"/>
        <v>#REF!</v>
      </c>
      <c r="W275" s="748" t="e">
        <f t="shared" si="164"/>
        <v>#REF!</v>
      </c>
      <c r="X275" s="748" t="e">
        <f t="shared" si="164"/>
        <v>#REF!</v>
      </c>
      <c r="Y275" s="748" t="e">
        <f t="shared" si="164"/>
        <v>#REF!</v>
      </c>
      <c r="Z275" s="748" t="e">
        <f t="shared" si="164"/>
        <v>#REF!</v>
      </c>
      <c r="AA275" s="748" t="e">
        <f t="shared" ref="AA275" si="165">AA272+AA274</f>
        <v>#REF!</v>
      </c>
    </row>
    <row r="277" spans="1:27">
      <c r="A277" s="730" t="s">
        <v>660</v>
      </c>
      <c r="B277" s="750" t="e">
        <f>B266+B270+B274</f>
        <v>#REF!</v>
      </c>
      <c r="C277" s="750" t="e">
        <f t="shared" ref="C277:Z277" si="166">C266+C270+C274</f>
        <v>#REF!</v>
      </c>
      <c r="D277" s="750" t="e">
        <f t="shared" si="166"/>
        <v>#REF!</v>
      </c>
      <c r="E277" s="750" t="e">
        <f t="shared" si="166"/>
        <v>#REF!</v>
      </c>
      <c r="F277" s="750" t="e">
        <f t="shared" si="166"/>
        <v>#REF!</v>
      </c>
      <c r="G277" s="750" t="e">
        <f t="shared" si="166"/>
        <v>#REF!</v>
      </c>
      <c r="H277" s="750" t="e">
        <f t="shared" si="166"/>
        <v>#REF!</v>
      </c>
      <c r="I277" s="750" t="e">
        <f t="shared" si="166"/>
        <v>#REF!</v>
      </c>
      <c r="J277" s="750" t="e">
        <f t="shared" si="166"/>
        <v>#REF!</v>
      </c>
      <c r="K277" s="750" t="e">
        <f t="shared" si="166"/>
        <v>#REF!</v>
      </c>
      <c r="L277" s="750" t="e">
        <f t="shared" si="166"/>
        <v>#REF!</v>
      </c>
      <c r="M277" s="750" t="e">
        <f t="shared" si="166"/>
        <v>#REF!</v>
      </c>
      <c r="N277" s="750" t="e">
        <f t="shared" si="166"/>
        <v>#REF!</v>
      </c>
      <c r="O277" s="750" t="e">
        <f t="shared" si="166"/>
        <v>#REF!</v>
      </c>
      <c r="P277" s="750" t="e">
        <f t="shared" si="166"/>
        <v>#REF!</v>
      </c>
      <c r="Q277" s="750" t="e">
        <f t="shared" si="166"/>
        <v>#REF!</v>
      </c>
      <c r="R277" s="750" t="e">
        <f t="shared" si="166"/>
        <v>#REF!</v>
      </c>
      <c r="S277" s="750" t="e">
        <f t="shared" si="166"/>
        <v>#REF!</v>
      </c>
      <c r="T277" s="750" t="e">
        <f t="shared" si="166"/>
        <v>#REF!</v>
      </c>
      <c r="U277" s="750" t="e">
        <f t="shared" si="166"/>
        <v>#REF!</v>
      </c>
      <c r="V277" s="750" t="e">
        <f t="shared" si="166"/>
        <v>#REF!</v>
      </c>
      <c r="W277" s="750" t="e">
        <f t="shared" si="166"/>
        <v>#REF!</v>
      </c>
      <c r="X277" s="750" t="e">
        <f t="shared" si="166"/>
        <v>#REF!</v>
      </c>
      <c r="Y277" s="750" t="e">
        <f t="shared" si="166"/>
        <v>#REF!</v>
      </c>
      <c r="Z277" s="750" t="e">
        <f t="shared" si="166"/>
        <v>#REF!</v>
      </c>
      <c r="AA277" s="750" t="e">
        <f t="shared" ref="AA277" si="167">AA266+AA270+AA274</f>
        <v>#REF!</v>
      </c>
    </row>
    <row r="278" spans="1:27">
      <c r="A278" s="730" t="s">
        <v>661</v>
      </c>
      <c r="B278" s="750" t="e">
        <f>B267+B271</f>
        <v>#REF!</v>
      </c>
      <c r="C278" s="750" t="e">
        <f t="shared" ref="C278:Z278" si="168">C267+C271</f>
        <v>#REF!</v>
      </c>
      <c r="D278" s="750" t="e">
        <f t="shared" si="168"/>
        <v>#REF!</v>
      </c>
      <c r="E278" s="750" t="e">
        <f t="shared" si="168"/>
        <v>#REF!</v>
      </c>
      <c r="F278" s="750" t="e">
        <f t="shared" si="168"/>
        <v>#REF!</v>
      </c>
      <c r="G278" s="750" t="e">
        <f t="shared" si="168"/>
        <v>#REF!</v>
      </c>
      <c r="H278" s="750" t="e">
        <f t="shared" si="168"/>
        <v>#REF!</v>
      </c>
      <c r="I278" s="750" t="e">
        <f t="shared" si="168"/>
        <v>#REF!</v>
      </c>
      <c r="J278" s="750" t="e">
        <f t="shared" si="168"/>
        <v>#REF!</v>
      </c>
      <c r="K278" s="750" t="e">
        <f t="shared" si="168"/>
        <v>#REF!</v>
      </c>
      <c r="L278" s="750" t="e">
        <f t="shared" si="168"/>
        <v>#REF!</v>
      </c>
      <c r="M278" s="750" t="e">
        <f t="shared" si="168"/>
        <v>#REF!</v>
      </c>
      <c r="N278" s="750" t="e">
        <f t="shared" si="168"/>
        <v>#REF!</v>
      </c>
      <c r="O278" s="750" t="e">
        <f t="shared" si="168"/>
        <v>#REF!</v>
      </c>
      <c r="P278" s="750" t="e">
        <f t="shared" si="168"/>
        <v>#REF!</v>
      </c>
      <c r="Q278" s="750" t="e">
        <f t="shared" si="168"/>
        <v>#REF!</v>
      </c>
      <c r="R278" s="750" t="e">
        <f t="shared" si="168"/>
        <v>#REF!</v>
      </c>
      <c r="S278" s="750" t="e">
        <f t="shared" si="168"/>
        <v>#REF!</v>
      </c>
      <c r="T278" s="750" t="e">
        <f t="shared" si="168"/>
        <v>#REF!</v>
      </c>
      <c r="U278" s="750" t="e">
        <f t="shared" si="168"/>
        <v>#REF!</v>
      </c>
      <c r="V278" s="750" t="e">
        <f t="shared" si="168"/>
        <v>#REF!</v>
      </c>
      <c r="W278" s="750" t="e">
        <f t="shared" si="168"/>
        <v>#REF!</v>
      </c>
      <c r="X278" s="750" t="e">
        <f t="shared" si="168"/>
        <v>#REF!</v>
      </c>
      <c r="Y278" s="750" t="e">
        <f t="shared" si="168"/>
        <v>#REF!</v>
      </c>
      <c r="Z278" s="750" t="e">
        <f t="shared" si="168"/>
        <v>#REF!</v>
      </c>
      <c r="AA278" s="750" t="e">
        <f t="shared" ref="AA278" si="169">AA267+AA271</f>
        <v>#REF!</v>
      </c>
    </row>
    <row r="279" spans="1:27">
      <c r="A279" s="732" t="s">
        <v>692</v>
      </c>
      <c r="B279" s="748" t="e">
        <f>B277+B278</f>
        <v>#REF!</v>
      </c>
      <c r="C279" s="748" t="e">
        <f t="shared" ref="C279:Z279" si="170">C277+C278</f>
        <v>#REF!</v>
      </c>
      <c r="D279" s="748" t="e">
        <f t="shared" si="170"/>
        <v>#REF!</v>
      </c>
      <c r="E279" s="748" t="e">
        <f t="shared" si="170"/>
        <v>#REF!</v>
      </c>
      <c r="F279" s="748" t="e">
        <f t="shared" si="170"/>
        <v>#REF!</v>
      </c>
      <c r="G279" s="748" t="e">
        <f t="shared" si="170"/>
        <v>#REF!</v>
      </c>
      <c r="H279" s="748" t="e">
        <f t="shared" si="170"/>
        <v>#REF!</v>
      </c>
      <c r="I279" s="748" t="e">
        <f t="shared" si="170"/>
        <v>#REF!</v>
      </c>
      <c r="J279" s="748" t="e">
        <f t="shared" si="170"/>
        <v>#REF!</v>
      </c>
      <c r="K279" s="748" t="e">
        <f t="shared" si="170"/>
        <v>#REF!</v>
      </c>
      <c r="L279" s="748" t="e">
        <f t="shared" si="170"/>
        <v>#REF!</v>
      </c>
      <c r="M279" s="748" t="e">
        <f t="shared" si="170"/>
        <v>#REF!</v>
      </c>
      <c r="N279" s="748" t="e">
        <f t="shared" si="170"/>
        <v>#REF!</v>
      </c>
      <c r="O279" s="748" t="e">
        <f t="shared" si="170"/>
        <v>#REF!</v>
      </c>
      <c r="P279" s="748" t="e">
        <f t="shared" si="170"/>
        <v>#REF!</v>
      </c>
      <c r="Q279" s="748" t="e">
        <f t="shared" si="170"/>
        <v>#REF!</v>
      </c>
      <c r="R279" s="748" t="e">
        <f t="shared" si="170"/>
        <v>#REF!</v>
      </c>
      <c r="S279" s="748" t="e">
        <f t="shared" si="170"/>
        <v>#REF!</v>
      </c>
      <c r="T279" s="748" t="e">
        <f t="shared" si="170"/>
        <v>#REF!</v>
      </c>
      <c r="U279" s="748" t="e">
        <f t="shared" si="170"/>
        <v>#REF!</v>
      </c>
      <c r="V279" s="748" t="e">
        <f t="shared" si="170"/>
        <v>#REF!</v>
      </c>
      <c r="W279" s="748" t="e">
        <f t="shared" si="170"/>
        <v>#REF!</v>
      </c>
      <c r="X279" s="748" t="e">
        <f t="shared" si="170"/>
        <v>#REF!</v>
      </c>
      <c r="Y279" s="748" t="e">
        <f t="shared" si="170"/>
        <v>#REF!</v>
      </c>
      <c r="Z279" s="748" t="e">
        <f t="shared" si="170"/>
        <v>#REF!</v>
      </c>
      <c r="AA279" s="748" t="e">
        <f t="shared" ref="AA279" si="171">AA277+AA278</f>
        <v>#REF!</v>
      </c>
    </row>
    <row r="281" spans="1:27">
      <c r="A281" s="730" t="s">
        <v>693</v>
      </c>
      <c r="B281" s="750" t="e">
        <f>B211+B243</f>
        <v>#REF!</v>
      </c>
      <c r="C281" s="750" t="e">
        <f t="shared" ref="C281:Z282" si="172">C211+C243</f>
        <v>#REF!</v>
      </c>
      <c r="D281" s="750" t="e">
        <f t="shared" si="172"/>
        <v>#REF!</v>
      </c>
      <c r="E281" s="750" t="e">
        <f t="shared" si="172"/>
        <v>#REF!</v>
      </c>
      <c r="F281" s="750" t="e">
        <f t="shared" si="172"/>
        <v>#REF!</v>
      </c>
      <c r="G281" s="750" t="e">
        <f t="shared" si="172"/>
        <v>#REF!</v>
      </c>
      <c r="H281" s="750" t="e">
        <f t="shared" si="172"/>
        <v>#REF!</v>
      </c>
      <c r="I281" s="750" t="e">
        <f t="shared" si="172"/>
        <v>#REF!</v>
      </c>
      <c r="J281" s="750" t="e">
        <f t="shared" si="172"/>
        <v>#REF!</v>
      </c>
      <c r="K281" s="750" t="e">
        <f t="shared" si="172"/>
        <v>#REF!</v>
      </c>
      <c r="L281" s="750" t="e">
        <f t="shared" si="172"/>
        <v>#REF!</v>
      </c>
      <c r="M281" s="750" t="e">
        <f t="shared" si="172"/>
        <v>#REF!</v>
      </c>
      <c r="N281" s="750" t="e">
        <f t="shared" si="172"/>
        <v>#REF!</v>
      </c>
      <c r="O281" s="750" t="e">
        <f t="shared" si="172"/>
        <v>#REF!</v>
      </c>
      <c r="P281" s="750" t="e">
        <f t="shared" si="172"/>
        <v>#REF!</v>
      </c>
      <c r="Q281" s="750" t="e">
        <f t="shared" si="172"/>
        <v>#REF!</v>
      </c>
      <c r="R281" s="750" t="e">
        <f t="shared" si="172"/>
        <v>#REF!</v>
      </c>
      <c r="S281" s="750" t="e">
        <f t="shared" si="172"/>
        <v>#REF!</v>
      </c>
      <c r="T281" s="750" t="e">
        <f t="shared" si="172"/>
        <v>#REF!</v>
      </c>
      <c r="U281" s="750" t="e">
        <f t="shared" si="172"/>
        <v>#REF!</v>
      </c>
      <c r="V281" s="750" t="e">
        <f t="shared" si="172"/>
        <v>#REF!</v>
      </c>
      <c r="W281" s="750" t="e">
        <f t="shared" si="172"/>
        <v>#REF!</v>
      </c>
      <c r="X281" s="750" t="e">
        <f t="shared" si="172"/>
        <v>#REF!</v>
      </c>
      <c r="Y281" s="750" t="e">
        <f t="shared" si="172"/>
        <v>#REF!</v>
      </c>
      <c r="Z281" s="750" t="e">
        <f t="shared" si="172"/>
        <v>#REF!</v>
      </c>
      <c r="AA281" s="750" t="e">
        <f t="shared" ref="AA281" si="173">AA211+AA243</f>
        <v>#REF!</v>
      </c>
    </row>
    <row r="282" spans="1:27">
      <c r="A282" s="730" t="s">
        <v>694</v>
      </c>
      <c r="B282" s="750" t="e">
        <f>B212+B244</f>
        <v>#REF!</v>
      </c>
      <c r="C282" s="750" t="e">
        <f t="shared" si="172"/>
        <v>#REF!</v>
      </c>
      <c r="D282" s="750" t="e">
        <f t="shared" si="172"/>
        <v>#REF!</v>
      </c>
      <c r="E282" s="750" t="e">
        <f t="shared" si="172"/>
        <v>#REF!</v>
      </c>
      <c r="F282" s="750" t="e">
        <f t="shared" si="172"/>
        <v>#REF!</v>
      </c>
      <c r="G282" s="750" t="e">
        <f t="shared" si="172"/>
        <v>#REF!</v>
      </c>
      <c r="H282" s="750" t="e">
        <f t="shared" si="172"/>
        <v>#REF!</v>
      </c>
      <c r="I282" s="750" t="e">
        <f t="shared" si="172"/>
        <v>#REF!</v>
      </c>
      <c r="J282" s="750" t="e">
        <f t="shared" si="172"/>
        <v>#REF!</v>
      </c>
      <c r="K282" s="750" t="e">
        <f t="shared" si="172"/>
        <v>#REF!</v>
      </c>
      <c r="L282" s="750" t="e">
        <f t="shared" si="172"/>
        <v>#REF!</v>
      </c>
      <c r="M282" s="750" t="e">
        <f t="shared" si="172"/>
        <v>#REF!</v>
      </c>
      <c r="N282" s="750" t="e">
        <f t="shared" si="172"/>
        <v>#REF!</v>
      </c>
      <c r="O282" s="750" t="e">
        <f t="shared" si="172"/>
        <v>#REF!</v>
      </c>
      <c r="P282" s="750" t="e">
        <f t="shared" si="172"/>
        <v>#REF!</v>
      </c>
      <c r="Q282" s="750" t="e">
        <f t="shared" si="172"/>
        <v>#REF!</v>
      </c>
      <c r="R282" s="750" t="e">
        <f t="shared" si="172"/>
        <v>#REF!</v>
      </c>
      <c r="S282" s="750" t="e">
        <f t="shared" si="172"/>
        <v>#REF!</v>
      </c>
      <c r="T282" s="750" t="e">
        <f t="shared" si="172"/>
        <v>#REF!</v>
      </c>
      <c r="U282" s="750" t="e">
        <f t="shared" si="172"/>
        <v>#REF!</v>
      </c>
      <c r="V282" s="750" t="e">
        <f t="shared" si="172"/>
        <v>#REF!</v>
      </c>
      <c r="W282" s="750" t="e">
        <f t="shared" si="172"/>
        <v>#REF!</v>
      </c>
      <c r="X282" s="750" t="e">
        <f t="shared" si="172"/>
        <v>#REF!</v>
      </c>
      <c r="Y282" s="750" t="e">
        <f t="shared" si="172"/>
        <v>#REF!</v>
      </c>
      <c r="Z282" s="750" t="e">
        <f t="shared" si="172"/>
        <v>#REF!</v>
      </c>
      <c r="AA282" s="750" t="e">
        <f t="shared" ref="AA282" si="174">AA212+AA244</f>
        <v>#REF!</v>
      </c>
    </row>
    <row r="283" spans="1:27">
      <c r="A283" s="732" t="s">
        <v>690</v>
      </c>
      <c r="B283" s="748" t="e">
        <f>B281+B282</f>
        <v>#REF!</v>
      </c>
      <c r="C283" s="748" t="e">
        <f t="shared" ref="C283:Z283" si="175">C281+C282</f>
        <v>#REF!</v>
      </c>
      <c r="D283" s="748" t="e">
        <f t="shared" si="175"/>
        <v>#REF!</v>
      </c>
      <c r="E283" s="748" t="e">
        <f t="shared" si="175"/>
        <v>#REF!</v>
      </c>
      <c r="F283" s="748" t="e">
        <f t="shared" si="175"/>
        <v>#REF!</v>
      </c>
      <c r="G283" s="748" t="e">
        <f t="shared" si="175"/>
        <v>#REF!</v>
      </c>
      <c r="H283" s="748" t="e">
        <f t="shared" si="175"/>
        <v>#REF!</v>
      </c>
      <c r="I283" s="748" t="e">
        <f t="shared" si="175"/>
        <v>#REF!</v>
      </c>
      <c r="J283" s="748" t="e">
        <f t="shared" si="175"/>
        <v>#REF!</v>
      </c>
      <c r="K283" s="748" t="e">
        <f t="shared" si="175"/>
        <v>#REF!</v>
      </c>
      <c r="L283" s="748" t="e">
        <f t="shared" si="175"/>
        <v>#REF!</v>
      </c>
      <c r="M283" s="748" t="e">
        <f t="shared" si="175"/>
        <v>#REF!</v>
      </c>
      <c r="N283" s="748" t="e">
        <f t="shared" si="175"/>
        <v>#REF!</v>
      </c>
      <c r="O283" s="748" t="e">
        <f t="shared" si="175"/>
        <v>#REF!</v>
      </c>
      <c r="P283" s="748" t="e">
        <f t="shared" si="175"/>
        <v>#REF!</v>
      </c>
      <c r="Q283" s="748" t="e">
        <f t="shared" si="175"/>
        <v>#REF!</v>
      </c>
      <c r="R283" s="748" t="e">
        <f t="shared" si="175"/>
        <v>#REF!</v>
      </c>
      <c r="S283" s="748" t="e">
        <f t="shared" si="175"/>
        <v>#REF!</v>
      </c>
      <c r="T283" s="748" t="e">
        <f t="shared" si="175"/>
        <v>#REF!</v>
      </c>
      <c r="U283" s="748" t="e">
        <f t="shared" si="175"/>
        <v>#REF!</v>
      </c>
      <c r="V283" s="748" t="e">
        <f t="shared" si="175"/>
        <v>#REF!</v>
      </c>
      <c r="W283" s="748" t="e">
        <f t="shared" si="175"/>
        <v>#REF!</v>
      </c>
      <c r="X283" s="748" t="e">
        <f t="shared" si="175"/>
        <v>#REF!</v>
      </c>
      <c r="Y283" s="748" t="e">
        <f t="shared" si="175"/>
        <v>#REF!</v>
      </c>
      <c r="Z283" s="748" t="e">
        <f t="shared" si="175"/>
        <v>#REF!</v>
      </c>
      <c r="AA283" s="748" t="e">
        <f t="shared" ref="AA283" si="176">AA281+AA282</f>
        <v>#REF!</v>
      </c>
    </row>
    <row r="285" spans="1:27">
      <c r="A285" s="730" t="s">
        <v>695</v>
      </c>
      <c r="B285" s="739" t="e">
        <f>B219+B247</f>
        <v>#REF!</v>
      </c>
      <c r="C285" s="739" t="e">
        <f t="shared" ref="C285:Z285" si="177">C219+C247</f>
        <v>#REF!</v>
      </c>
      <c r="D285" s="739" t="e">
        <f t="shared" si="177"/>
        <v>#REF!</v>
      </c>
      <c r="E285" s="739" t="e">
        <f t="shared" si="177"/>
        <v>#REF!</v>
      </c>
      <c r="F285" s="739" t="e">
        <f t="shared" si="177"/>
        <v>#REF!</v>
      </c>
      <c r="G285" s="739" t="e">
        <f t="shared" si="177"/>
        <v>#REF!</v>
      </c>
      <c r="H285" s="739" t="e">
        <f t="shared" si="177"/>
        <v>#REF!</v>
      </c>
      <c r="I285" s="739" t="e">
        <f t="shared" si="177"/>
        <v>#REF!</v>
      </c>
      <c r="J285" s="739" t="e">
        <f t="shared" si="177"/>
        <v>#REF!</v>
      </c>
      <c r="K285" s="739" t="e">
        <f t="shared" si="177"/>
        <v>#REF!</v>
      </c>
      <c r="L285" s="739" t="e">
        <f t="shared" si="177"/>
        <v>#REF!</v>
      </c>
      <c r="M285" s="739" t="e">
        <f t="shared" si="177"/>
        <v>#REF!</v>
      </c>
      <c r="N285" s="739" t="e">
        <f t="shared" si="177"/>
        <v>#REF!</v>
      </c>
      <c r="O285" s="739" t="e">
        <f t="shared" si="177"/>
        <v>#REF!</v>
      </c>
      <c r="P285" s="739" t="e">
        <f t="shared" si="177"/>
        <v>#REF!</v>
      </c>
      <c r="Q285" s="739" t="e">
        <f t="shared" si="177"/>
        <v>#REF!</v>
      </c>
      <c r="R285" s="739" t="e">
        <f t="shared" si="177"/>
        <v>#REF!</v>
      </c>
      <c r="S285" s="739" t="e">
        <f t="shared" si="177"/>
        <v>#REF!</v>
      </c>
      <c r="T285" s="739" t="e">
        <f t="shared" si="177"/>
        <v>#REF!</v>
      </c>
      <c r="U285" s="739" t="e">
        <f t="shared" si="177"/>
        <v>#REF!</v>
      </c>
      <c r="V285" s="739" t="e">
        <f t="shared" si="177"/>
        <v>#REF!</v>
      </c>
      <c r="W285" s="739" t="e">
        <f t="shared" si="177"/>
        <v>#REF!</v>
      </c>
      <c r="X285" s="739" t="e">
        <f t="shared" si="177"/>
        <v>#REF!</v>
      </c>
      <c r="Y285" s="739" t="e">
        <f t="shared" si="177"/>
        <v>#REF!</v>
      </c>
      <c r="Z285" s="739" t="e">
        <f t="shared" si="177"/>
        <v>#REF!</v>
      </c>
      <c r="AA285" s="739" t="e">
        <f t="shared" ref="AA285" si="178">AA219+AA247</f>
        <v>#REF!</v>
      </c>
    </row>
    <row r="300" spans="1:27">
      <c r="A300" s="733" t="s">
        <v>512</v>
      </c>
      <c r="B300" s="734"/>
      <c r="C300" s="734"/>
      <c r="D300" s="734"/>
      <c r="E300" s="734"/>
      <c r="F300" s="734"/>
      <c r="G300" s="734"/>
      <c r="H300" s="734"/>
      <c r="I300" s="734"/>
      <c r="J300" s="734"/>
      <c r="K300" s="734"/>
      <c r="L300" s="734"/>
      <c r="M300" s="734"/>
      <c r="N300" s="734"/>
      <c r="O300" s="734"/>
      <c r="P300" s="734"/>
      <c r="Q300" s="734"/>
      <c r="R300" s="734"/>
      <c r="S300" s="734"/>
      <c r="T300" s="734"/>
      <c r="U300" s="734"/>
      <c r="V300" s="734"/>
      <c r="W300" s="734"/>
      <c r="X300" s="734"/>
      <c r="Y300" s="734"/>
      <c r="Z300" s="734"/>
      <c r="AA300" s="734"/>
    </row>
    <row r="302" spans="1:27">
      <c r="A302" s="735" t="s">
        <v>696</v>
      </c>
      <c r="B302" s="735">
        <f>B$12</f>
        <v>2003</v>
      </c>
      <c r="C302" s="735">
        <f t="shared" ref="C302:AA302" si="179">C$12</f>
        <v>2004</v>
      </c>
      <c r="D302" s="735">
        <f t="shared" si="179"/>
        <v>2005</v>
      </c>
      <c r="E302" s="735">
        <f t="shared" si="179"/>
        <v>2006</v>
      </c>
      <c r="F302" s="735">
        <f t="shared" si="179"/>
        <v>2007</v>
      </c>
      <c r="G302" s="735">
        <f t="shared" si="179"/>
        <v>2008</v>
      </c>
      <c r="H302" s="735">
        <f t="shared" si="179"/>
        <v>2009</v>
      </c>
      <c r="I302" s="735">
        <f t="shared" si="179"/>
        <v>2010</v>
      </c>
      <c r="J302" s="735">
        <f t="shared" si="179"/>
        <v>2011</v>
      </c>
      <c r="K302" s="735">
        <f t="shared" si="179"/>
        <v>2012</v>
      </c>
      <c r="L302" s="735">
        <f t="shared" si="179"/>
        <v>2013</v>
      </c>
      <c r="M302" s="735">
        <f t="shared" si="179"/>
        <v>2014</v>
      </c>
      <c r="N302" s="735">
        <f t="shared" si="179"/>
        <v>2015</v>
      </c>
      <c r="O302" s="735">
        <f t="shared" si="179"/>
        <v>2016</v>
      </c>
      <c r="P302" s="735">
        <f t="shared" si="179"/>
        <v>2017</v>
      </c>
      <c r="Q302" s="735">
        <f t="shared" si="179"/>
        <v>2018</v>
      </c>
      <c r="R302" s="735">
        <f t="shared" si="179"/>
        <v>2019</v>
      </c>
      <c r="S302" s="735">
        <f t="shared" si="179"/>
        <v>2020</v>
      </c>
      <c r="T302" s="735">
        <f t="shared" si="179"/>
        <v>2021</v>
      </c>
      <c r="U302" s="735">
        <f t="shared" si="179"/>
        <v>2022</v>
      </c>
      <c r="V302" s="735">
        <f t="shared" si="179"/>
        <v>2023</v>
      </c>
      <c r="W302" s="735">
        <f t="shared" si="179"/>
        <v>2024</v>
      </c>
      <c r="X302" s="735">
        <f t="shared" si="179"/>
        <v>2025</v>
      </c>
      <c r="Y302" s="735">
        <f t="shared" si="179"/>
        <v>2026</v>
      </c>
      <c r="Z302" s="735">
        <f t="shared" si="179"/>
        <v>2027</v>
      </c>
      <c r="AA302" s="735">
        <f t="shared" si="179"/>
        <v>2028</v>
      </c>
    </row>
    <row r="304" spans="1:27" ht="15">
      <c r="A304" s="730" t="s">
        <v>697</v>
      </c>
      <c r="B304" s="736" t="e">
        <f>B359</f>
        <v>#REF!</v>
      </c>
      <c r="C304" s="736" t="e">
        <f t="shared" ref="C304:Z304" si="180">C359</f>
        <v>#REF!</v>
      </c>
      <c r="D304" s="736" t="e">
        <f t="shared" si="180"/>
        <v>#REF!</v>
      </c>
      <c r="E304" s="736" t="e">
        <f t="shared" si="180"/>
        <v>#REF!</v>
      </c>
      <c r="F304" s="736" t="e">
        <f t="shared" si="180"/>
        <v>#REF!</v>
      </c>
      <c r="G304" s="736" t="e">
        <f t="shared" si="180"/>
        <v>#REF!</v>
      </c>
      <c r="H304" s="736" t="e">
        <f t="shared" si="180"/>
        <v>#REF!</v>
      </c>
      <c r="I304" s="736" t="e">
        <f t="shared" si="180"/>
        <v>#REF!</v>
      </c>
      <c r="J304" s="736" t="e">
        <f t="shared" si="180"/>
        <v>#REF!</v>
      </c>
      <c r="K304" s="736" t="e">
        <f t="shared" si="180"/>
        <v>#REF!</v>
      </c>
      <c r="L304" s="736" t="e">
        <f t="shared" si="180"/>
        <v>#REF!</v>
      </c>
      <c r="M304" s="736" t="e">
        <f t="shared" si="180"/>
        <v>#REF!</v>
      </c>
      <c r="N304" s="736" t="e">
        <f t="shared" si="180"/>
        <v>#REF!</v>
      </c>
      <c r="O304" s="736" t="e">
        <f t="shared" si="180"/>
        <v>#REF!</v>
      </c>
      <c r="P304" s="736" t="e">
        <f t="shared" si="180"/>
        <v>#REF!</v>
      </c>
      <c r="Q304" s="736" t="e">
        <f t="shared" si="180"/>
        <v>#REF!</v>
      </c>
      <c r="R304" s="736" t="e">
        <f t="shared" si="180"/>
        <v>#REF!</v>
      </c>
      <c r="S304" s="736" t="e">
        <f t="shared" si="180"/>
        <v>#REF!</v>
      </c>
      <c r="T304" s="736" t="e">
        <f t="shared" si="180"/>
        <v>#REF!</v>
      </c>
      <c r="U304" s="736" t="e">
        <f t="shared" si="180"/>
        <v>#REF!</v>
      </c>
      <c r="V304" s="736" t="e">
        <f t="shared" si="180"/>
        <v>#REF!</v>
      </c>
      <c r="W304" s="736" t="e">
        <f t="shared" si="180"/>
        <v>#REF!</v>
      </c>
      <c r="X304" s="736" t="e">
        <f t="shared" si="180"/>
        <v>#REF!</v>
      </c>
      <c r="Y304" s="736" t="e">
        <f t="shared" si="180"/>
        <v>#REF!</v>
      </c>
      <c r="Z304" s="736" t="e">
        <f t="shared" si="180"/>
        <v>#REF!</v>
      </c>
      <c r="AA304" s="736" t="e">
        <f t="shared" ref="AA304" si="181">AA359</f>
        <v>#REF!</v>
      </c>
    </row>
    <row r="305" spans="1:27" ht="15">
      <c r="B305" s="736"/>
      <c r="C305" s="736"/>
      <c r="D305" s="736"/>
      <c r="E305" s="736"/>
      <c r="F305" s="736"/>
      <c r="G305" s="736"/>
      <c r="H305" s="736"/>
      <c r="I305" s="736"/>
      <c r="J305" s="736"/>
      <c r="K305" s="736"/>
      <c r="L305" s="736"/>
      <c r="M305" s="736"/>
      <c r="N305" s="736"/>
      <c r="O305" s="736"/>
      <c r="P305" s="736"/>
      <c r="Q305" s="736"/>
      <c r="R305" s="736"/>
      <c r="S305" s="736"/>
      <c r="T305" s="736"/>
      <c r="U305" s="736"/>
      <c r="V305" s="736"/>
      <c r="W305" s="736"/>
      <c r="X305" s="736"/>
      <c r="Y305" s="736"/>
      <c r="Z305" s="736"/>
      <c r="AA305" s="736"/>
    </row>
    <row r="306" spans="1:27" ht="15">
      <c r="A306" s="730" t="s">
        <v>589</v>
      </c>
      <c r="B306" s="736" t="e">
        <f>B385</f>
        <v>#REF!</v>
      </c>
      <c r="C306" s="736" t="e">
        <f t="shared" ref="C306:Z306" si="182">C385</f>
        <v>#REF!</v>
      </c>
      <c r="D306" s="736" t="e">
        <f t="shared" si="182"/>
        <v>#REF!</v>
      </c>
      <c r="E306" s="736" t="e">
        <f t="shared" si="182"/>
        <v>#REF!</v>
      </c>
      <c r="F306" s="736" t="e">
        <f t="shared" si="182"/>
        <v>#REF!</v>
      </c>
      <c r="G306" s="736" t="e">
        <f t="shared" si="182"/>
        <v>#REF!</v>
      </c>
      <c r="H306" s="736" t="e">
        <f t="shared" si="182"/>
        <v>#REF!</v>
      </c>
      <c r="I306" s="736" t="e">
        <f t="shared" si="182"/>
        <v>#REF!</v>
      </c>
      <c r="J306" s="736" t="e">
        <f t="shared" si="182"/>
        <v>#REF!</v>
      </c>
      <c r="K306" s="736" t="e">
        <f t="shared" si="182"/>
        <v>#REF!</v>
      </c>
      <c r="L306" s="736" t="e">
        <f t="shared" si="182"/>
        <v>#REF!</v>
      </c>
      <c r="M306" s="736" t="e">
        <f t="shared" si="182"/>
        <v>#REF!</v>
      </c>
      <c r="N306" s="736" t="e">
        <f t="shared" si="182"/>
        <v>#REF!</v>
      </c>
      <c r="O306" s="736" t="e">
        <f t="shared" si="182"/>
        <v>#REF!</v>
      </c>
      <c r="P306" s="736" t="e">
        <f t="shared" si="182"/>
        <v>#REF!</v>
      </c>
      <c r="Q306" s="736" t="e">
        <f t="shared" si="182"/>
        <v>#REF!</v>
      </c>
      <c r="R306" s="736" t="e">
        <f t="shared" si="182"/>
        <v>#REF!</v>
      </c>
      <c r="S306" s="736" t="e">
        <f t="shared" si="182"/>
        <v>#REF!</v>
      </c>
      <c r="T306" s="736" t="e">
        <f t="shared" si="182"/>
        <v>#REF!</v>
      </c>
      <c r="U306" s="736" t="e">
        <f t="shared" si="182"/>
        <v>#REF!</v>
      </c>
      <c r="V306" s="736" t="e">
        <f t="shared" si="182"/>
        <v>#REF!</v>
      </c>
      <c r="W306" s="736" t="e">
        <f t="shared" si="182"/>
        <v>#REF!</v>
      </c>
      <c r="X306" s="736" t="e">
        <f t="shared" si="182"/>
        <v>#REF!</v>
      </c>
      <c r="Y306" s="736" t="e">
        <f t="shared" si="182"/>
        <v>#REF!</v>
      </c>
      <c r="Z306" s="736" t="e">
        <f t="shared" si="182"/>
        <v>#REF!</v>
      </c>
      <c r="AA306" s="736" t="e">
        <f t="shared" ref="AA306" si="183">AA385</f>
        <v>#REF!</v>
      </c>
    </row>
    <row r="307" spans="1:27" ht="15">
      <c r="B307" s="736"/>
      <c r="C307" s="736"/>
      <c r="D307" s="736"/>
      <c r="E307" s="736"/>
      <c r="F307" s="736"/>
      <c r="G307" s="736"/>
      <c r="H307" s="736"/>
      <c r="I307" s="736"/>
      <c r="J307" s="736"/>
      <c r="K307" s="736"/>
      <c r="L307" s="736"/>
      <c r="M307" s="736"/>
      <c r="N307" s="736"/>
      <c r="O307" s="736"/>
      <c r="P307" s="736"/>
      <c r="Q307" s="736"/>
      <c r="R307" s="736"/>
      <c r="S307" s="736"/>
      <c r="T307" s="736"/>
      <c r="U307" s="736"/>
      <c r="V307" s="736"/>
      <c r="W307" s="736"/>
      <c r="X307" s="736"/>
      <c r="Y307" s="736"/>
      <c r="Z307" s="736"/>
      <c r="AA307" s="736"/>
    </row>
    <row r="308" spans="1:27" ht="15">
      <c r="A308" s="730" t="s">
        <v>594</v>
      </c>
      <c r="B308" s="736" t="e">
        <f>B410</f>
        <v>#REF!</v>
      </c>
      <c r="C308" s="736" t="e">
        <f t="shared" ref="C308:Z308" si="184">C410</f>
        <v>#REF!</v>
      </c>
      <c r="D308" s="736" t="e">
        <f t="shared" si="184"/>
        <v>#REF!</v>
      </c>
      <c r="E308" s="736" t="e">
        <f t="shared" si="184"/>
        <v>#REF!</v>
      </c>
      <c r="F308" s="736" t="e">
        <f t="shared" si="184"/>
        <v>#REF!</v>
      </c>
      <c r="G308" s="736" t="e">
        <f t="shared" si="184"/>
        <v>#REF!</v>
      </c>
      <c r="H308" s="736" t="e">
        <f t="shared" si="184"/>
        <v>#REF!</v>
      </c>
      <c r="I308" s="736" t="e">
        <f t="shared" si="184"/>
        <v>#REF!</v>
      </c>
      <c r="J308" s="736" t="e">
        <f t="shared" si="184"/>
        <v>#REF!</v>
      </c>
      <c r="K308" s="736" t="e">
        <f t="shared" si="184"/>
        <v>#REF!</v>
      </c>
      <c r="L308" s="736" t="e">
        <f t="shared" si="184"/>
        <v>#REF!</v>
      </c>
      <c r="M308" s="736" t="e">
        <f t="shared" si="184"/>
        <v>#REF!</v>
      </c>
      <c r="N308" s="736" t="e">
        <f t="shared" si="184"/>
        <v>#REF!</v>
      </c>
      <c r="O308" s="736" t="e">
        <f t="shared" si="184"/>
        <v>#REF!</v>
      </c>
      <c r="P308" s="736" t="e">
        <f t="shared" si="184"/>
        <v>#REF!</v>
      </c>
      <c r="Q308" s="736" t="e">
        <f t="shared" si="184"/>
        <v>#REF!</v>
      </c>
      <c r="R308" s="736" t="e">
        <f t="shared" si="184"/>
        <v>#REF!</v>
      </c>
      <c r="S308" s="736" t="e">
        <f t="shared" si="184"/>
        <v>#REF!</v>
      </c>
      <c r="T308" s="736" t="e">
        <f t="shared" si="184"/>
        <v>#REF!</v>
      </c>
      <c r="U308" s="736" t="e">
        <f t="shared" si="184"/>
        <v>#REF!</v>
      </c>
      <c r="V308" s="736" t="e">
        <f t="shared" si="184"/>
        <v>#REF!</v>
      </c>
      <c r="W308" s="736" t="e">
        <f t="shared" si="184"/>
        <v>#REF!</v>
      </c>
      <c r="X308" s="736" t="e">
        <f t="shared" si="184"/>
        <v>#REF!</v>
      </c>
      <c r="Y308" s="736" t="e">
        <f t="shared" si="184"/>
        <v>#REF!</v>
      </c>
      <c r="Z308" s="736" t="e">
        <f t="shared" si="184"/>
        <v>#REF!</v>
      </c>
      <c r="AA308" s="736" t="e">
        <f t="shared" ref="AA308" si="185">AA410</f>
        <v>#REF!</v>
      </c>
    </row>
    <row r="309" spans="1:27" ht="15">
      <c r="B309" s="736"/>
      <c r="C309" s="736"/>
      <c r="D309" s="736"/>
      <c r="E309" s="736"/>
      <c r="F309" s="736"/>
      <c r="G309" s="736"/>
      <c r="H309" s="736"/>
      <c r="I309" s="736"/>
      <c r="J309" s="736"/>
      <c r="K309" s="736"/>
      <c r="L309" s="736"/>
      <c r="M309" s="736"/>
      <c r="N309" s="736"/>
      <c r="O309" s="736"/>
      <c r="P309" s="736"/>
      <c r="Q309" s="736"/>
      <c r="R309" s="736"/>
      <c r="S309" s="736"/>
      <c r="T309" s="736"/>
      <c r="U309" s="736"/>
      <c r="V309" s="736"/>
      <c r="W309" s="736"/>
      <c r="X309" s="736"/>
      <c r="Y309" s="736"/>
      <c r="Z309" s="736"/>
      <c r="AA309" s="736"/>
    </row>
    <row r="310" spans="1:27" ht="15">
      <c r="A310" s="730" t="s">
        <v>599</v>
      </c>
      <c r="B310" s="736" t="e">
        <f>B304+B306</f>
        <v>#REF!</v>
      </c>
      <c r="C310" s="736" t="e">
        <f t="shared" ref="C310:Z310" si="186">C304+C306</f>
        <v>#REF!</v>
      </c>
      <c r="D310" s="736" t="e">
        <f t="shared" si="186"/>
        <v>#REF!</v>
      </c>
      <c r="E310" s="736" t="e">
        <f t="shared" si="186"/>
        <v>#REF!</v>
      </c>
      <c r="F310" s="736" t="e">
        <f t="shared" si="186"/>
        <v>#REF!</v>
      </c>
      <c r="G310" s="736" t="e">
        <f t="shared" si="186"/>
        <v>#REF!</v>
      </c>
      <c r="H310" s="736" t="e">
        <f t="shared" si="186"/>
        <v>#REF!</v>
      </c>
      <c r="I310" s="736" t="e">
        <f t="shared" si="186"/>
        <v>#REF!</v>
      </c>
      <c r="J310" s="736" t="e">
        <f t="shared" si="186"/>
        <v>#REF!</v>
      </c>
      <c r="K310" s="736" t="e">
        <f t="shared" si="186"/>
        <v>#REF!</v>
      </c>
      <c r="L310" s="736" t="e">
        <f t="shared" si="186"/>
        <v>#REF!</v>
      </c>
      <c r="M310" s="736" t="e">
        <f t="shared" si="186"/>
        <v>#REF!</v>
      </c>
      <c r="N310" s="736" t="e">
        <f t="shared" si="186"/>
        <v>#REF!</v>
      </c>
      <c r="O310" s="736" t="e">
        <f t="shared" si="186"/>
        <v>#REF!</v>
      </c>
      <c r="P310" s="736" t="e">
        <f t="shared" si="186"/>
        <v>#REF!</v>
      </c>
      <c r="Q310" s="736" t="e">
        <f t="shared" si="186"/>
        <v>#REF!</v>
      </c>
      <c r="R310" s="736" t="e">
        <f t="shared" si="186"/>
        <v>#REF!</v>
      </c>
      <c r="S310" s="736" t="e">
        <f t="shared" si="186"/>
        <v>#REF!</v>
      </c>
      <c r="T310" s="736" t="e">
        <f t="shared" si="186"/>
        <v>#REF!</v>
      </c>
      <c r="U310" s="736" t="e">
        <f t="shared" si="186"/>
        <v>#REF!</v>
      </c>
      <c r="V310" s="736" t="e">
        <f t="shared" si="186"/>
        <v>#REF!</v>
      </c>
      <c r="W310" s="736" t="e">
        <f t="shared" si="186"/>
        <v>#REF!</v>
      </c>
      <c r="X310" s="736" t="e">
        <f t="shared" si="186"/>
        <v>#REF!</v>
      </c>
      <c r="Y310" s="736" t="e">
        <f t="shared" si="186"/>
        <v>#REF!</v>
      </c>
      <c r="Z310" s="736" t="e">
        <f t="shared" si="186"/>
        <v>#REF!</v>
      </c>
      <c r="AA310" s="736" t="e">
        <f t="shared" ref="AA310" si="187">AA304+AA306</f>
        <v>#REF!</v>
      </c>
    </row>
    <row r="311" spans="1:27" ht="15">
      <c r="B311" s="736"/>
      <c r="C311" s="736"/>
      <c r="D311" s="736"/>
      <c r="E311" s="736"/>
      <c r="F311" s="736"/>
      <c r="G311" s="736"/>
      <c r="H311" s="736"/>
      <c r="I311" s="736"/>
      <c r="J311" s="736"/>
      <c r="K311" s="736"/>
      <c r="L311" s="736"/>
      <c r="M311" s="736"/>
      <c r="N311" s="736"/>
      <c r="O311" s="736"/>
      <c r="P311" s="736"/>
      <c r="Q311" s="736"/>
      <c r="R311" s="736"/>
      <c r="S311" s="736"/>
      <c r="T311" s="736"/>
      <c r="U311" s="736"/>
      <c r="V311" s="736"/>
      <c r="W311" s="736"/>
      <c r="X311" s="736"/>
      <c r="Y311" s="736"/>
      <c r="Z311" s="736"/>
      <c r="AA311" s="736"/>
    </row>
    <row r="312" spans="1:27" ht="15">
      <c r="A312" s="730" t="s">
        <v>604</v>
      </c>
      <c r="B312" s="736" t="e">
        <f>B306+B308</f>
        <v>#REF!</v>
      </c>
      <c r="C312" s="736" t="e">
        <f t="shared" ref="C312:Z312" si="188">C306+C308</f>
        <v>#REF!</v>
      </c>
      <c r="D312" s="736" t="e">
        <f t="shared" si="188"/>
        <v>#REF!</v>
      </c>
      <c r="E312" s="736" t="e">
        <f t="shared" si="188"/>
        <v>#REF!</v>
      </c>
      <c r="F312" s="736" t="e">
        <f t="shared" si="188"/>
        <v>#REF!</v>
      </c>
      <c r="G312" s="736" t="e">
        <f t="shared" si="188"/>
        <v>#REF!</v>
      </c>
      <c r="H312" s="736" t="e">
        <f t="shared" si="188"/>
        <v>#REF!</v>
      </c>
      <c r="I312" s="736" t="e">
        <f t="shared" si="188"/>
        <v>#REF!</v>
      </c>
      <c r="J312" s="736" t="e">
        <f t="shared" si="188"/>
        <v>#REF!</v>
      </c>
      <c r="K312" s="736" t="e">
        <f t="shared" si="188"/>
        <v>#REF!</v>
      </c>
      <c r="L312" s="736" t="e">
        <f t="shared" si="188"/>
        <v>#REF!</v>
      </c>
      <c r="M312" s="736" t="e">
        <f t="shared" si="188"/>
        <v>#REF!</v>
      </c>
      <c r="N312" s="736" t="e">
        <f t="shared" si="188"/>
        <v>#REF!</v>
      </c>
      <c r="O312" s="736" t="e">
        <f t="shared" si="188"/>
        <v>#REF!</v>
      </c>
      <c r="P312" s="736" t="e">
        <f t="shared" si="188"/>
        <v>#REF!</v>
      </c>
      <c r="Q312" s="736" t="e">
        <f t="shared" si="188"/>
        <v>#REF!</v>
      </c>
      <c r="R312" s="736" t="e">
        <f t="shared" si="188"/>
        <v>#REF!</v>
      </c>
      <c r="S312" s="736" t="e">
        <f t="shared" si="188"/>
        <v>#REF!</v>
      </c>
      <c r="T312" s="736" t="e">
        <f t="shared" si="188"/>
        <v>#REF!</v>
      </c>
      <c r="U312" s="736" t="e">
        <f t="shared" si="188"/>
        <v>#REF!</v>
      </c>
      <c r="V312" s="736" t="e">
        <f t="shared" si="188"/>
        <v>#REF!</v>
      </c>
      <c r="W312" s="736" t="e">
        <f t="shared" si="188"/>
        <v>#REF!</v>
      </c>
      <c r="X312" s="736" t="e">
        <f t="shared" si="188"/>
        <v>#REF!</v>
      </c>
      <c r="Y312" s="736" t="e">
        <f t="shared" si="188"/>
        <v>#REF!</v>
      </c>
      <c r="Z312" s="736" t="e">
        <f t="shared" si="188"/>
        <v>#REF!</v>
      </c>
      <c r="AA312" s="736" t="e">
        <f t="shared" ref="AA312" si="189">AA306+AA308</f>
        <v>#REF!</v>
      </c>
    </row>
    <row r="313" spans="1:27" ht="15">
      <c r="B313" s="736"/>
      <c r="C313" s="736"/>
      <c r="D313" s="736"/>
      <c r="E313" s="736"/>
      <c r="F313" s="736"/>
      <c r="G313" s="736"/>
      <c r="H313" s="736"/>
      <c r="I313" s="736"/>
      <c r="J313" s="736"/>
      <c r="K313" s="736"/>
      <c r="L313" s="736"/>
      <c r="M313" s="736"/>
      <c r="N313" s="736"/>
      <c r="O313" s="736"/>
      <c r="P313" s="736"/>
      <c r="Q313" s="736"/>
      <c r="R313" s="736"/>
      <c r="S313" s="736"/>
      <c r="T313" s="736"/>
      <c r="U313" s="736"/>
      <c r="V313" s="736"/>
      <c r="W313" s="736"/>
      <c r="X313" s="736"/>
      <c r="Y313" s="736"/>
      <c r="Z313" s="736"/>
      <c r="AA313" s="736"/>
    </row>
    <row r="314" spans="1:27" ht="14" thickBot="1">
      <c r="A314" s="754" t="s">
        <v>301</v>
      </c>
      <c r="B314" s="762" t="e">
        <f>B304+B306+B308</f>
        <v>#REF!</v>
      </c>
      <c r="C314" s="762" t="e">
        <f t="shared" ref="C314:Z314" si="190">C304+C306+C308</f>
        <v>#REF!</v>
      </c>
      <c r="D314" s="762" t="e">
        <f t="shared" si="190"/>
        <v>#REF!</v>
      </c>
      <c r="E314" s="762" t="e">
        <f t="shared" si="190"/>
        <v>#REF!</v>
      </c>
      <c r="F314" s="762" t="e">
        <f t="shared" si="190"/>
        <v>#REF!</v>
      </c>
      <c r="G314" s="762" t="e">
        <f t="shared" si="190"/>
        <v>#REF!</v>
      </c>
      <c r="H314" s="762" t="e">
        <f t="shared" si="190"/>
        <v>#REF!</v>
      </c>
      <c r="I314" s="762" t="e">
        <f t="shared" si="190"/>
        <v>#REF!</v>
      </c>
      <c r="J314" s="762" t="e">
        <f t="shared" si="190"/>
        <v>#REF!</v>
      </c>
      <c r="K314" s="762" t="e">
        <f t="shared" si="190"/>
        <v>#REF!</v>
      </c>
      <c r="L314" s="762" t="e">
        <f t="shared" si="190"/>
        <v>#REF!</v>
      </c>
      <c r="M314" s="762" t="e">
        <f t="shared" si="190"/>
        <v>#REF!</v>
      </c>
      <c r="N314" s="762" t="e">
        <f t="shared" si="190"/>
        <v>#REF!</v>
      </c>
      <c r="O314" s="762" t="e">
        <f t="shared" si="190"/>
        <v>#REF!</v>
      </c>
      <c r="P314" s="762" t="e">
        <f t="shared" si="190"/>
        <v>#REF!</v>
      </c>
      <c r="Q314" s="762" t="e">
        <f t="shared" si="190"/>
        <v>#REF!</v>
      </c>
      <c r="R314" s="762" t="e">
        <f t="shared" si="190"/>
        <v>#REF!</v>
      </c>
      <c r="S314" s="762" t="e">
        <f t="shared" si="190"/>
        <v>#REF!</v>
      </c>
      <c r="T314" s="762" t="e">
        <f t="shared" si="190"/>
        <v>#REF!</v>
      </c>
      <c r="U314" s="762" t="e">
        <f t="shared" si="190"/>
        <v>#REF!</v>
      </c>
      <c r="V314" s="762" t="e">
        <f t="shared" si="190"/>
        <v>#REF!</v>
      </c>
      <c r="W314" s="762" t="e">
        <f t="shared" si="190"/>
        <v>#REF!</v>
      </c>
      <c r="X314" s="762" t="e">
        <f t="shared" si="190"/>
        <v>#REF!</v>
      </c>
      <c r="Y314" s="762" t="e">
        <f t="shared" si="190"/>
        <v>#REF!</v>
      </c>
      <c r="Z314" s="762" t="e">
        <f t="shared" si="190"/>
        <v>#REF!</v>
      </c>
      <c r="AA314" s="762" t="e">
        <f t="shared" ref="AA314" si="191">AA304+AA306+AA308</f>
        <v>#REF!</v>
      </c>
    </row>
    <row r="330" spans="1:27">
      <c r="A330" s="735" t="s">
        <v>697</v>
      </c>
      <c r="B330" s="735">
        <f>B$12</f>
        <v>2003</v>
      </c>
      <c r="C330" s="735">
        <f t="shared" ref="C330:AA330" si="192">C$12</f>
        <v>2004</v>
      </c>
      <c r="D330" s="735">
        <f t="shared" si="192"/>
        <v>2005</v>
      </c>
      <c r="E330" s="735">
        <f t="shared" si="192"/>
        <v>2006</v>
      </c>
      <c r="F330" s="735">
        <f t="shared" si="192"/>
        <v>2007</v>
      </c>
      <c r="G330" s="735">
        <f t="shared" si="192"/>
        <v>2008</v>
      </c>
      <c r="H330" s="735">
        <f t="shared" si="192"/>
        <v>2009</v>
      </c>
      <c r="I330" s="735">
        <f t="shared" si="192"/>
        <v>2010</v>
      </c>
      <c r="J330" s="735">
        <f t="shared" si="192"/>
        <v>2011</v>
      </c>
      <c r="K330" s="735">
        <f t="shared" si="192"/>
        <v>2012</v>
      </c>
      <c r="L330" s="735">
        <f t="shared" si="192"/>
        <v>2013</v>
      </c>
      <c r="M330" s="735">
        <f t="shared" si="192"/>
        <v>2014</v>
      </c>
      <c r="N330" s="735">
        <f t="shared" si="192"/>
        <v>2015</v>
      </c>
      <c r="O330" s="735">
        <f t="shared" si="192"/>
        <v>2016</v>
      </c>
      <c r="P330" s="735">
        <f t="shared" si="192"/>
        <v>2017</v>
      </c>
      <c r="Q330" s="735">
        <f t="shared" si="192"/>
        <v>2018</v>
      </c>
      <c r="R330" s="735">
        <f t="shared" si="192"/>
        <v>2019</v>
      </c>
      <c r="S330" s="735">
        <f t="shared" si="192"/>
        <v>2020</v>
      </c>
      <c r="T330" s="735">
        <f t="shared" si="192"/>
        <v>2021</v>
      </c>
      <c r="U330" s="735">
        <f t="shared" si="192"/>
        <v>2022</v>
      </c>
      <c r="V330" s="735">
        <f t="shared" si="192"/>
        <v>2023</v>
      </c>
      <c r="W330" s="735">
        <f t="shared" si="192"/>
        <v>2024</v>
      </c>
      <c r="X330" s="735">
        <f t="shared" si="192"/>
        <v>2025</v>
      </c>
      <c r="Y330" s="735">
        <f t="shared" si="192"/>
        <v>2026</v>
      </c>
      <c r="Z330" s="735">
        <f t="shared" si="192"/>
        <v>2027</v>
      </c>
      <c r="AA330" s="735">
        <f t="shared" si="192"/>
        <v>2028</v>
      </c>
    </row>
    <row r="332" spans="1:27">
      <c r="A332" s="732" t="s">
        <v>698</v>
      </c>
    </row>
    <row r="333" spans="1:27" ht="15">
      <c r="A333" s="730" t="s">
        <v>472</v>
      </c>
      <c r="B333" s="742" t="e">
        <f>#REF!/$B$6</f>
        <v>#REF!</v>
      </c>
      <c r="C333" s="742" t="e">
        <f>#REF!/$B$6</f>
        <v>#REF!</v>
      </c>
      <c r="D333" s="742" t="e">
        <f>#REF!/$B$6</f>
        <v>#REF!</v>
      </c>
      <c r="E333" s="742" t="e">
        <f>#REF!/$B$6</f>
        <v>#REF!</v>
      </c>
      <c r="F333" s="742" t="e">
        <f>#REF!/$B$6</f>
        <v>#REF!</v>
      </c>
      <c r="G333" s="742" t="e">
        <f>#REF!/$B$6</f>
        <v>#REF!</v>
      </c>
      <c r="H333" s="742" t="e">
        <f>#REF!/$B$6</f>
        <v>#REF!</v>
      </c>
      <c r="I333" s="742" t="e">
        <f>#REF!/$B$6</f>
        <v>#REF!</v>
      </c>
      <c r="J333" s="742" t="e">
        <f>#REF!/$B$6</f>
        <v>#REF!</v>
      </c>
      <c r="K333" s="742" t="e">
        <f>#REF!/$B$6</f>
        <v>#REF!</v>
      </c>
      <c r="L333" s="742" t="e">
        <f>#REF!/$B$6</f>
        <v>#REF!</v>
      </c>
      <c r="M333" s="742" t="e">
        <f>#REF!/$B$6</f>
        <v>#REF!</v>
      </c>
      <c r="N333" s="742" t="e">
        <f>#REF!/$B$6</f>
        <v>#REF!</v>
      </c>
      <c r="O333" s="742" t="e">
        <f>#REF!/$B$6</f>
        <v>#REF!</v>
      </c>
      <c r="P333" s="742" t="e">
        <f>#REF!/$B$6</f>
        <v>#REF!</v>
      </c>
      <c r="Q333" s="742" t="e">
        <f>#REF!/$B$6</f>
        <v>#REF!</v>
      </c>
      <c r="R333" s="742" t="e">
        <f>#REF!/$B$6</f>
        <v>#REF!</v>
      </c>
      <c r="S333" s="742" t="e">
        <f>#REF!/$B$6</f>
        <v>#REF!</v>
      </c>
      <c r="T333" s="742" t="e">
        <f>#REF!/$B$6</f>
        <v>#REF!</v>
      </c>
      <c r="U333" s="742" t="e">
        <f>#REF!/$B$6</f>
        <v>#REF!</v>
      </c>
      <c r="V333" s="742" t="e">
        <f>#REF!/$B$6</f>
        <v>#REF!</v>
      </c>
      <c r="W333" s="742" t="e">
        <f>#REF!/$B$6</f>
        <v>#REF!</v>
      </c>
      <c r="X333" s="742" t="e">
        <f>#REF!/$B$6</f>
        <v>#REF!</v>
      </c>
      <c r="Y333" s="742" t="e">
        <f>#REF!/$B$6</f>
        <v>#REF!</v>
      </c>
      <c r="Z333" s="742" t="e">
        <f>#REF!/$B$6</f>
        <v>#REF!</v>
      </c>
      <c r="AA333" s="742" t="e">
        <f>#REF!/$B$6</f>
        <v>#REF!</v>
      </c>
    </row>
    <row r="334" spans="1:27" ht="15">
      <c r="A334" s="730" t="s">
        <v>699</v>
      </c>
      <c r="B334" s="742" t="e">
        <f>#REF!/$B$6</f>
        <v>#REF!</v>
      </c>
      <c r="C334" s="742" t="e">
        <f>#REF!/$B$6</f>
        <v>#REF!</v>
      </c>
      <c r="D334" s="742" t="e">
        <f>#REF!/$B$6</f>
        <v>#REF!</v>
      </c>
      <c r="E334" s="742" t="e">
        <f>#REF!/$B$6</f>
        <v>#REF!</v>
      </c>
      <c r="F334" s="742" t="e">
        <f>#REF!/$B$6</f>
        <v>#REF!</v>
      </c>
      <c r="G334" s="742" t="e">
        <f>#REF!/$B$6</f>
        <v>#REF!</v>
      </c>
      <c r="H334" s="742" t="e">
        <f>#REF!/$B$6</f>
        <v>#REF!</v>
      </c>
      <c r="I334" s="742" t="e">
        <f>#REF!/$B$6</f>
        <v>#REF!</v>
      </c>
      <c r="J334" s="742" t="e">
        <f>#REF!/$B$6</f>
        <v>#REF!</v>
      </c>
      <c r="K334" s="742" t="e">
        <f>#REF!/$B$6</f>
        <v>#REF!</v>
      </c>
      <c r="L334" s="742" t="e">
        <f>#REF!/$B$6</f>
        <v>#REF!</v>
      </c>
      <c r="M334" s="742" t="e">
        <f>#REF!/$B$6</f>
        <v>#REF!</v>
      </c>
      <c r="N334" s="742" t="e">
        <f>#REF!/$B$6</f>
        <v>#REF!</v>
      </c>
      <c r="O334" s="742" t="e">
        <f>#REF!/$B$6</f>
        <v>#REF!</v>
      </c>
      <c r="P334" s="742" t="e">
        <f>#REF!/$B$6</f>
        <v>#REF!</v>
      </c>
      <c r="Q334" s="742" t="e">
        <f>#REF!/$B$6</f>
        <v>#REF!</v>
      </c>
      <c r="R334" s="742" t="e">
        <f>#REF!/$B$6</f>
        <v>#REF!</v>
      </c>
      <c r="S334" s="742" t="e">
        <f>#REF!/$B$6</f>
        <v>#REF!</v>
      </c>
      <c r="T334" s="742" t="e">
        <f>#REF!/$B$6</f>
        <v>#REF!</v>
      </c>
      <c r="U334" s="742" t="e">
        <f>#REF!/$B$6</f>
        <v>#REF!</v>
      </c>
      <c r="V334" s="742" t="e">
        <f>#REF!/$B$6</f>
        <v>#REF!</v>
      </c>
      <c r="W334" s="742" t="e">
        <f>#REF!/$B$6</f>
        <v>#REF!</v>
      </c>
      <c r="X334" s="742" t="e">
        <f>#REF!/$B$6</f>
        <v>#REF!</v>
      </c>
      <c r="Y334" s="742" t="e">
        <f>#REF!/$B$6</f>
        <v>#REF!</v>
      </c>
      <c r="Z334" s="742" t="e">
        <f>#REF!/$B$6</f>
        <v>#REF!</v>
      </c>
      <c r="AA334" s="742" t="e">
        <f>#REF!/$B$6</f>
        <v>#REF!</v>
      </c>
    </row>
    <row r="335" spans="1:27">
      <c r="A335" s="760" t="s">
        <v>700</v>
      </c>
      <c r="B335" s="763" t="e">
        <f>#REF!/$B$6</f>
        <v>#REF!</v>
      </c>
      <c r="C335" s="763" t="e">
        <f>#REF!/$B$6</f>
        <v>#REF!</v>
      </c>
      <c r="D335" s="763" t="e">
        <f>#REF!/$B$6</f>
        <v>#REF!</v>
      </c>
      <c r="E335" s="763" t="e">
        <f>#REF!/$B$6</f>
        <v>#REF!</v>
      </c>
      <c r="F335" s="763" t="e">
        <f>#REF!/$B$6</f>
        <v>#REF!</v>
      </c>
      <c r="G335" s="763" t="e">
        <f>#REF!/$B$6</f>
        <v>#REF!</v>
      </c>
      <c r="H335" s="763" t="e">
        <f>#REF!/$B$6</f>
        <v>#REF!</v>
      </c>
      <c r="I335" s="763" t="e">
        <f>#REF!/$B$6</f>
        <v>#REF!</v>
      </c>
      <c r="J335" s="763" t="e">
        <f>#REF!/$B$6</f>
        <v>#REF!</v>
      </c>
      <c r="K335" s="763" t="e">
        <f>#REF!/$B$6</f>
        <v>#REF!</v>
      </c>
      <c r="L335" s="763" t="e">
        <f>#REF!/$B$6</f>
        <v>#REF!</v>
      </c>
      <c r="M335" s="763" t="e">
        <f>#REF!/$B$6</f>
        <v>#REF!</v>
      </c>
      <c r="N335" s="763" t="e">
        <f>#REF!/$B$6</f>
        <v>#REF!</v>
      </c>
      <c r="O335" s="763" t="e">
        <f>#REF!/$B$6</f>
        <v>#REF!</v>
      </c>
      <c r="P335" s="763" t="e">
        <f>#REF!/$B$6</f>
        <v>#REF!</v>
      </c>
      <c r="Q335" s="763" t="e">
        <f>#REF!/$B$6</f>
        <v>#REF!</v>
      </c>
      <c r="R335" s="763" t="e">
        <f>#REF!/$B$6</f>
        <v>#REF!</v>
      </c>
      <c r="S335" s="763" t="e">
        <f>#REF!/$B$6</f>
        <v>#REF!</v>
      </c>
      <c r="T335" s="763" t="e">
        <f>#REF!/$B$6</f>
        <v>#REF!</v>
      </c>
      <c r="U335" s="763" t="e">
        <f>#REF!/$B$6</f>
        <v>#REF!</v>
      </c>
      <c r="V335" s="763" t="e">
        <f>#REF!/$B$6</f>
        <v>#REF!</v>
      </c>
      <c r="W335" s="763" t="e">
        <f>#REF!/$B$6</f>
        <v>#REF!</v>
      </c>
      <c r="X335" s="763" t="e">
        <f>#REF!/$B$6</f>
        <v>#REF!</v>
      </c>
      <c r="Y335" s="763" t="e">
        <f>#REF!/$B$6</f>
        <v>#REF!</v>
      </c>
      <c r="Z335" s="763" t="e">
        <f>#REF!/$B$6</f>
        <v>#REF!</v>
      </c>
      <c r="AA335" s="763" t="e">
        <f>#REF!/$B$6</f>
        <v>#REF!</v>
      </c>
    </row>
    <row r="336" spans="1:27" ht="15">
      <c r="B336" s="736"/>
    </row>
    <row r="337" spans="1:27">
      <c r="A337" s="732" t="s">
        <v>701</v>
      </c>
    </row>
    <row r="338" spans="1:27" ht="15">
      <c r="A338" s="730" t="s">
        <v>472</v>
      </c>
      <c r="B338" s="742" t="e">
        <f>#REF!/$B$6</f>
        <v>#REF!</v>
      </c>
      <c r="C338" s="742" t="e">
        <f>#REF!/$B$6</f>
        <v>#REF!</v>
      </c>
      <c r="D338" s="742" t="e">
        <f>#REF!/$B$6</f>
        <v>#REF!</v>
      </c>
      <c r="E338" s="742" t="e">
        <f>#REF!/$B$6</f>
        <v>#REF!</v>
      </c>
      <c r="F338" s="742" t="e">
        <f>#REF!/$B$6</f>
        <v>#REF!</v>
      </c>
      <c r="G338" s="742" t="e">
        <f>#REF!/$B$6</f>
        <v>#REF!</v>
      </c>
      <c r="H338" s="742" t="e">
        <f>#REF!/$B$6</f>
        <v>#REF!</v>
      </c>
      <c r="I338" s="742" t="e">
        <f>#REF!/$B$6</f>
        <v>#REF!</v>
      </c>
      <c r="J338" s="742" t="e">
        <f>#REF!/$B$6</f>
        <v>#REF!</v>
      </c>
      <c r="K338" s="742" t="e">
        <f>#REF!/$B$6</f>
        <v>#REF!</v>
      </c>
      <c r="L338" s="742" t="e">
        <f>#REF!/$B$6</f>
        <v>#REF!</v>
      </c>
      <c r="M338" s="742" t="e">
        <f>#REF!/$B$6</f>
        <v>#REF!</v>
      </c>
      <c r="N338" s="742" t="e">
        <f>#REF!/$B$6</f>
        <v>#REF!</v>
      </c>
      <c r="O338" s="742" t="e">
        <f>#REF!/$B$6</f>
        <v>#REF!</v>
      </c>
      <c r="P338" s="742" t="e">
        <f>#REF!/$B$6</f>
        <v>#REF!</v>
      </c>
      <c r="Q338" s="742" t="e">
        <f>#REF!/$B$6</f>
        <v>#REF!</v>
      </c>
      <c r="R338" s="742" t="e">
        <f>#REF!/$B$6</f>
        <v>#REF!</v>
      </c>
      <c r="S338" s="742" t="e">
        <f>#REF!/$B$6</f>
        <v>#REF!</v>
      </c>
      <c r="T338" s="742" t="e">
        <f>#REF!/$B$6</f>
        <v>#REF!</v>
      </c>
      <c r="U338" s="742" t="e">
        <f>#REF!/$B$6</f>
        <v>#REF!</v>
      </c>
      <c r="V338" s="742" t="e">
        <f>#REF!/$B$6</f>
        <v>#REF!</v>
      </c>
      <c r="W338" s="742" t="e">
        <f>#REF!/$B$6</f>
        <v>#REF!</v>
      </c>
      <c r="X338" s="742" t="e">
        <f>#REF!/$B$6</f>
        <v>#REF!</v>
      </c>
      <c r="Y338" s="742" t="e">
        <f>#REF!/$B$6</f>
        <v>#REF!</v>
      </c>
      <c r="Z338" s="742" t="e">
        <f>#REF!/$B$6</f>
        <v>#REF!</v>
      </c>
      <c r="AA338" s="742" t="e">
        <f>#REF!/$B$6</f>
        <v>#REF!</v>
      </c>
    </row>
    <row r="339" spans="1:27" ht="15">
      <c r="A339" s="730" t="s">
        <v>699</v>
      </c>
      <c r="B339" s="742" t="e">
        <f>#REF!/$B$6</f>
        <v>#REF!</v>
      </c>
      <c r="C339" s="742" t="e">
        <f>#REF!/$B$6</f>
        <v>#REF!</v>
      </c>
      <c r="D339" s="742" t="e">
        <f>#REF!/$B$6</f>
        <v>#REF!</v>
      </c>
      <c r="E339" s="742" t="e">
        <f>#REF!/$B$6</f>
        <v>#REF!</v>
      </c>
      <c r="F339" s="742" t="e">
        <f>#REF!/$B$6</f>
        <v>#REF!</v>
      </c>
      <c r="G339" s="742" t="e">
        <f>#REF!/$B$6</f>
        <v>#REF!</v>
      </c>
      <c r="H339" s="742" t="e">
        <f>#REF!/$B$6</f>
        <v>#REF!</v>
      </c>
      <c r="I339" s="742" t="e">
        <f>#REF!/$B$6</f>
        <v>#REF!</v>
      </c>
      <c r="J339" s="742" t="e">
        <f>#REF!/$B$6</f>
        <v>#REF!</v>
      </c>
      <c r="K339" s="742" t="e">
        <f>#REF!/$B$6</f>
        <v>#REF!</v>
      </c>
      <c r="L339" s="742" t="e">
        <f>#REF!/$B$6</f>
        <v>#REF!</v>
      </c>
      <c r="M339" s="742" t="e">
        <f>#REF!/$B$6</f>
        <v>#REF!</v>
      </c>
      <c r="N339" s="742" t="e">
        <f>#REF!/$B$6</f>
        <v>#REF!</v>
      </c>
      <c r="O339" s="742" t="e">
        <f>#REF!/$B$6</f>
        <v>#REF!</v>
      </c>
      <c r="P339" s="742" t="e">
        <f>#REF!/$B$6</f>
        <v>#REF!</v>
      </c>
      <c r="Q339" s="742" t="e">
        <f>#REF!/$B$6</f>
        <v>#REF!</v>
      </c>
      <c r="R339" s="742" t="e">
        <f>#REF!/$B$6</f>
        <v>#REF!</v>
      </c>
      <c r="S339" s="742" t="e">
        <f>#REF!/$B$6</f>
        <v>#REF!</v>
      </c>
      <c r="T339" s="742" t="e">
        <f>#REF!/$B$6</f>
        <v>#REF!</v>
      </c>
      <c r="U339" s="742" t="e">
        <f>#REF!/$B$6</f>
        <v>#REF!</v>
      </c>
      <c r="V339" s="742" t="e">
        <f>#REF!/$B$6</f>
        <v>#REF!</v>
      </c>
      <c r="W339" s="742" t="e">
        <f>#REF!/$B$6</f>
        <v>#REF!</v>
      </c>
      <c r="X339" s="742" t="e">
        <f>#REF!/$B$6</f>
        <v>#REF!</v>
      </c>
      <c r="Y339" s="742" t="e">
        <f>#REF!/$B$6</f>
        <v>#REF!</v>
      </c>
      <c r="Z339" s="742" t="e">
        <f>#REF!/$B$6</f>
        <v>#REF!</v>
      </c>
      <c r="AA339" s="742" t="e">
        <f>#REF!/$B$6</f>
        <v>#REF!</v>
      </c>
    </row>
    <row r="340" spans="1:27">
      <c r="A340" s="760" t="s">
        <v>702</v>
      </c>
      <c r="B340" s="763" t="e">
        <f>#REF!/$B$6</f>
        <v>#REF!</v>
      </c>
      <c r="C340" s="763" t="e">
        <f>#REF!/$B$6</f>
        <v>#REF!</v>
      </c>
      <c r="D340" s="763" t="e">
        <f>#REF!/$B$6</f>
        <v>#REF!</v>
      </c>
      <c r="E340" s="763" t="e">
        <f>#REF!/$B$6</f>
        <v>#REF!</v>
      </c>
      <c r="F340" s="763" t="e">
        <f>#REF!/$B$6</f>
        <v>#REF!</v>
      </c>
      <c r="G340" s="763" t="e">
        <f>#REF!/$B$6</f>
        <v>#REF!</v>
      </c>
      <c r="H340" s="763" t="e">
        <f>#REF!/$B$6</f>
        <v>#REF!</v>
      </c>
      <c r="I340" s="763" t="e">
        <f>#REF!/$B$6</f>
        <v>#REF!</v>
      </c>
      <c r="J340" s="763" t="e">
        <f>#REF!/$B$6</f>
        <v>#REF!</v>
      </c>
      <c r="K340" s="763" t="e">
        <f>#REF!/$B$6</f>
        <v>#REF!</v>
      </c>
      <c r="L340" s="763" t="e">
        <f>#REF!/$B$6</f>
        <v>#REF!</v>
      </c>
      <c r="M340" s="763" t="e">
        <f>#REF!/$B$6</f>
        <v>#REF!</v>
      </c>
      <c r="N340" s="763" t="e">
        <f>#REF!/$B$6</f>
        <v>#REF!</v>
      </c>
      <c r="O340" s="763" t="e">
        <f>#REF!/$B$6</f>
        <v>#REF!</v>
      </c>
      <c r="P340" s="763" t="e">
        <f>#REF!/$B$6</f>
        <v>#REF!</v>
      </c>
      <c r="Q340" s="763" t="e">
        <f>#REF!/$B$6</f>
        <v>#REF!</v>
      </c>
      <c r="R340" s="763" t="e">
        <f>#REF!/$B$6</f>
        <v>#REF!</v>
      </c>
      <c r="S340" s="763" t="e">
        <f>#REF!/$B$6</f>
        <v>#REF!</v>
      </c>
      <c r="T340" s="763" t="e">
        <f>#REF!/$B$6</f>
        <v>#REF!</v>
      </c>
      <c r="U340" s="763" t="e">
        <f>#REF!/$B$6</f>
        <v>#REF!</v>
      </c>
      <c r="V340" s="763" t="e">
        <f>#REF!/$B$6</f>
        <v>#REF!</v>
      </c>
      <c r="W340" s="763" t="e">
        <f>#REF!/$B$6</f>
        <v>#REF!</v>
      </c>
      <c r="X340" s="763" t="e">
        <f>#REF!/$B$6</f>
        <v>#REF!</v>
      </c>
      <c r="Y340" s="763" t="e">
        <f>#REF!/$B$6</f>
        <v>#REF!</v>
      </c>
      <c r="Z340" s="763" t="e">
        <f>#REF!/$B$6</f>
        <v>#REF!</v>
      </c>
      <c r="AA340" s="763" t="e">
        <f>#REF!/$B$6</f>
        <v>#REF!</v>
      </c>
    </row>
    <row r="343" spans="1:27">
      <c r="A343" s="732" t="s">
        <v>703</v>
      </c>
    </row>
    <row r="344" spans="1:27">
      <c r="A344" s="730" t="s">
        <v>704</v>
      </c>
      <c r="B344" s="739" t="e">
        <f>B346-B345</f>
        <v>#REF!</v>
      </c>
      <c r="C344" s="739" t="e">
        <f t="shared" ref="C344:Z344" si="193">C346-C345</f>
        <v>#REF!</v>
      </c>
      <c r="D344" s="739" t="e">
        <f t="shared" si="193"/>
        <v>#REF!</v>
      </c>
      <c r="E344" s="739" t="e">
        <f t="shared" si="193"/>
        <v>#REF!</v>
      </c>
      <c r="F344" s="739" t="e">
        <f t="shared" si="193"/>
        <v>#REF!</v>
      </c>
      <c r="G344" s="739" t="e">
        <f t="shared" si="193"/>
        <v>#REF!</v>
      </c>
      <c r="H344" s="739" t="e">
        <f t="shared" si="193"/>
        <v>#REF!</v>
      </c>
      <c r="I344" s="739" t="e">
        <f t="shared" si="193"/>
        <v>#REF!</v>
      </c>
      <c r="J344" s="739" t="e">
        <f t="shared" si="193"/>
        <v>#REF!</v>
      </c>
      <c r="K344" s="739" t="e">
        <f t="shared" si="193"/>
        <v>#REF!</v>
      </c>
      <c r="L344" s="739" t="e">
        <f t="shared" si="193"/>
        <v>#REF!</v>
      </c>
      <c r="M344" s="739" t="e">
        <f t="shared" si="193"/>
        <v>#REF!</v>
      </c>
      <c r="N344" s="739" t="e">
        <f t="shared" si="193"/>
        <v>#REF!</v>
      </c>
      <c r="O344" s="739" t="e">
        <f t="shared" si="193"/>
        <v>#REF!</v>
      </c>
      <c r="P344" s="739" t="e">
        <f t="shared" si="193"/>
        <v>#REF!</v>
      </c>
      <c r="Q344" s="739" t="e">
        <f t="shared" si="193"/>
        <v>#REF!</v>
      </c>
      <c r="R344" s="739" t="e">
        <f t="shared" si="193"/>
        <v>#REF!</v>
      </c>
      <c r="S344" s="739" t="e">
        <f t="shared" si="193"/>
        <v>#REF!</v>
      </c>
      <c r="T344" s="739" t="e">
        <f t="shared" si="193"/>
        <v>#REF!</v>
      </c>
      <c r="U344" s="739" t="e">
        <f t="shared" si="193"/>
        <v>#REF!</v>
      </c>
      <c r="V344" s="739" t="e">
        <f t="shared" si="193"/>
        <v>#REF!</v>
      </c>
      <c r="W344" s="739" t="e">
        <f t="shared" si="193"/>
        <v>#REF!</v>
      </c>
      <c r="X344" s="739" t="e">
        <f t="shared" si="193"/>
        <v>#REF!</v>
      </c>
      <c r="Y344" s="739" t="e">
        <f t="shared" si="193"/>
        <v>#REF!</v>
      </c>
      <c r="Z344" s="739" t="e">
        <f t="shared" si="193"/>
        <v>#REF!</v>
      </c>
      <c r="AA344" s="739" t="e">
        <f t="shared" ref="AA344" si="194">AA346-AA345</f>
        <v>#REF!</v>
      </c>
    </row>
    <row r="345" spans="1:27" ht="15">
      <c r="A345" s="730" t="s">
        <v>705</v>
      </c>
      <c r="B345" s="736" t="e">
        <f>B372</f>
        <v>#REF!</v>
      </c>
      <c r="C345" s="736" t="e">
        <f t="shared" ref="C345:Z345" si="195">C372</f>
        <v>#REF!</v>
      </c>
      <c r="D345" s="736" t="e">
        <f t="shared" si="195"/>
        <v>#REF!</v>
      </c>
      <c r="E345" s="736" t="e">
        <f t="shared" si="195"/>
        <v>#REF!</v>
      </c>
      <c r="F345" s="736" t="e">
        <f t="shared" si="195"/>
        <v>#REF!</v>
      </c>
      <c r="G345" s="736" t="e">
        <f t="shared" si="195"/>
        <v>#REF!</v>
      </c>
      <c r="H345" s="736" t="e">
        <f t="shared" si="195"/>
        <v>#REF!</v>
      </c>
      <c r="I345" s="736" t="e">
        <f t="shared" si="195"/>
        <v>#REF!</v>
      </c>
      <c r="J345" s="736" t="e">
        <f t="shared" si="195"/>
        <v>#REF!</v>
      </c>
      <c r="K345" s="736" t="e">
        <f t="shared" si="195"/>
        <v>#REF!</v>
      </c>
      <c r="L345" s="736" t="e">
        <f t="shared" si="195"/>
        <v>#REF!</v>
      </c>
      <c r="M345" s="736" t="e">
        <f t="shared" si="195"/>
        <v>#REF!</v>
      </c>
      <c r="N345" s="736" t="e">
        <f t="shared" si="195"/>
        <v>#REF!</v>
      </c>
      <c r="O345" s="736" t="e">
        <f t="shared" si="195"/>
        <v>#REF!</v>
      </c>
      <c r="P345" s="736" t="e">
        <f t="shared" si="195"/>
        <v>#REF!</v>
      </c>
      <c r="Q345" s="736" t="e">
        <f t="shared" si="195"/>
        <v>#REF!</v>
      </c>
      <c r="R345" s="736" t="e">
        <f t="shared" si="195"/>
        <v>#REF!</v>
      </c>
      <c r="S345" s="736" t="e">
        <f t="shared" si="195"/>
        <v>#REF!</v>
      </c>
      <c r="T345" s="736" t="e">
        <f t="shared" si="195"/>
        <v>#REF!</v>
      </c>
      <c r="U345" s="736" t="e">
        <f t="shared" si="195"/>
        <v>#REF!</v>
      </c>
      <c r="V345" s="736" t="e">
        <f t="shared" si="195"/>
        <v>#REF!</v>
      </c>
      <c r="W345" s="736" t="e">
        <f t="shared" si="195"/>
        <v>#REF!</v>
      </c>
      <c r="X345" s="736" t="e">
        <f t="shared" si="195"/>
        <v>#REF!</v>
      </c>
      <c r="Y345" s="736" t="e">
        <f t="shared" si="195"/>
        <v>#REF!</v>
      </c>
      <c r="Z345" s="736" t="e">
        <f t="shared" si="195"/>
        <v>#REF!</v>
      </c>
      <c r="AA345" s="736" t="e">
        <f t="shared" ref="AA345" si="196">AA372</f>
        <v>#REF!</v>
      </c>
    </row>
    <row r="346" spans="1:27">
      <c r="A346" s="756" t="s">
        <v>706</v>
      </c>
      <c r="B346" s="764" t="e">
        <f>B348-B347</f>
        <v>#REF!</v>
      </c>
      <c r="C346" s="764" t="e">
        <f t="shared" ref="C346:Z346" si="197">C348-C347</f>
        <v>#REF!</v>
      </c>
      <c r="D346" s="764" t="e">
        <f t="shared" si="197"/>
        <v>#REF!</v>
      </c>
      <c r="E346" s="764" t="e">
        <f t="shared" si="197"/>
        <v>#REF!</v>
      </c>
      <c r="F346" s="764" t="e">
        <f t="shared" si="197"/>
        <v>#REF!</v>
      </c>
      <c r="G346" s="764" t="e">
        <f t="shared" si="197"/>
        <v>#REF!</v>
      </c>
      <c r="H346" s="764" t="e">
        <f t="shared" si="197"/>
        <v>#REF!</v>
      </c>
      <c r="I346" s="764" t="e">
        <f t="shared" si="197"/>
        <v>#REF!</v>
      </c>
      <c r="J346" s="764" t="e">
        <f t="shared" si="197"/>
        <v>#REF!</v>
      </c>
      <c r="K346" s="764" t="e">
        <f t="shared" si="197"/>
        <v>#REF!</v>
      </c>
      <c r="L346" s="764" t="e">
        <f t="shared" si="197"/>
        <v>#REF!</v>
      </c>
      <c r="M346" s="764" t="e">
        <f t="shared" si="197"/>
        <v>#REF!</v>
      </c>
      <c r="N346" s="764" t="e">
        <f t="shared" si="197"/>
        <v>#REF!</v>
      </c>
      <c r="O346" s="764" t="e">
        <f t="shared" si="197"/>
        <v>#REF!</v>
      </c>
      <c r="P346" s="764" t="e">
        <f t="shared" si="197"/>
        <v>#REF!</v>
      </c>
      <c r="Q346" s="764" t="e">
        <f t="shared" si="197"/>
        <v>#REF!</v>
      </c>
      <c r="R346" s="764" t="e">
        <f t="shared" si="197"/>
        <v>#REF!</v>
      </c>
      <c r="S346" s="764" t="e">
        <f t="shared" si="197"/>
        <v>#REF!</v>
      </c>
      <c r="T346" s="764" t="e">
        <f t="shared" si="197"/>
        <v>#REF!</v>
      </c>
      <c r="U346" s="764" t="e">
        <f t="shared" si="197"/>
        <v>#REF!</v>
      </c>
      <c r="V346" s="764" t="e">
        <f t="shared" si="197"/>
        <v>#REF!</v>
      </c>
      <c r="W346" s="764" t="e">
        <f t="shared" si="197"/>
        <v>#REF!</v>
      </c>
      <c r="X346" s="764" t="e">
        <f t="shared" si="197"/>
        <v>#REF!</v>
      </c>
      <c r="Y346" s="764" t="e">
        <f t="shared" si="197"/>
        <v>#REF!</v>
      </c>
      <c r="Z346" s="764" t="e">
        <f t="shared" si="197"/>
        <v>#REF!</v>
      </c>
      <c r="AA346" s="764" t="e">
        <f t="shared" ref="AA346" si="198">AA348-AA347</f>
        <v>#REF!</v>
      </c>
    </row>
    <row r="347" spans="1:27" ht="15">
      <c r="A347" s="730" t="s">
        <v>707</v>
      </c>
      <c r="B347" s="742" t="e">
        <f>#REF!/$B$6</f>
        <v>#REF!</v>
      </c>
      <c r="C347" s="742" t="e">
        <f>#REF!/$B$6</f>
        <v>#REF!</v>
      </c>
      <c r="D347" s="742" t="e">
        <f>#REF!/$B$6</f>
        <v>#REF!</v>
      </c>
      <c r="E347" s="742" t="e">
        <f>#REF!/$B$6</f>
        <v>#REF!</v>
      </c>
      <c r="F347" s="742" t="e">
        <f>#REF!/$B$6</f>
        <v>#REF!</v>
      </c>
      <c r="G347" s="742" t="e">
        <f>#REF!/$B$6</f>
        <v>#REF!</v>
      </c>
      <c r="H347" s="742" t="e">
        <f>#REF!/$B$6</f>
        <v>#REF!</v>
      </c>
      <c r="I347" s="742" t="e">
        <f>#REF!/$B$6</f>
        <v>#REF!</v>
      </c>
      <c r="J347" s="742" t="e">
        <f>#REF!/$B$6</f>
        <v>#REF!</v>
      </c>
      <c r="K347" s="742" t="e">
        <f>#REF!/$B$6</f>
        <v>#REF!</v>
      </c>
      <c r="L347" s="742" t="e">
        <f>#REF!/$B$6</f>
        <v>#REF!</v>
      </c>
      <c r="M347" s="742" t="e">
        <f>#REF!/$B$6</f>
        <v>#REF!</v>
      </c>
      <c r="N347" s="742" t="e">
        <f>#REF!/$B$6</f>
        <v>#REF!</v>
      </c>
      <c r="O347" s="742" t="e">
        <f>#REF!/$B$6</f>
        <v>#REF!</v>
      </c>
      <c r="P347" s="742" t="e">
        <f>#REF!/$B$6</f>
        <v>#REF!</v>
      </c>
      <c r="Q347" s="742" t="e">
        <f>#REF!/$B$6</f>
        <v>#REF!</v>
      </c>
      <c r="R347" s="742" t="e">
        <f>#REF!/$B$6</f>
        <v>#REF!</v>
      </c>
      <c r="S347" s="742" t="e">
        <f>#REF!/$B$6</f>
        <v>#REF!</v>
      </c>
      <c r="T347" s="742" t="e">
        <f>#REF!/$B$6</f>
        <v>#REF!</v>
      </c>
      <c r="U347" s="742" t="e">
        <f>#REF!/$B$6</f>
        <v>#REF!</v>
      </c>
      <c r="V347" s="742" t="e">
        <f>#REF!/$B$6</f>
        <v>#REF!</v>
      </c>
      <c r="W347" s="742" t="e">
        <f>#REF!/$B$6</f>
        <v>#REF!</v>
      </c>
      <c r="X347" s="742" t="e">
        <f>#REF!/$B$6</f>
        <v>#REF!</v>
      </c>
      <c r="Y347" s="742" t="e">
        <f>#REF!/$B$6</f>
        <v>#REF!</v>
      </c>
      <c r="Z347" s="742" t="e">
        <f>#REF!/$B$6</f>
        <v>#REF!</v>
      </c>
      <c r="AA347" s="742" t="e">
        <f>#REF!/$B$6</f>
        <v>#REF!</v>
      </c>
    </row>
    <row r="348" spans="1:27">
      <c r="A348" s="760" t="s">
        <v>708</v>
      </c>
      <c r="B348" s="763" t="e">
        <f>#REF!/$B$6</f>
        <v>#REF!</v>
      </c>
      <c r="C348" s="763" t="e">
        <f>#REF!/$B$6</f>
        <v>#REF!</v>
      </c>
      <c r="D348" s="763" t="e">
        <f>#REF!/$B$6</f>
        <v>#REF!</v>
      </c>
      <c r="E348" s="763" t="e">
        <f>#REF!/$B$6</f>
        <v>#REF!</v>
      </c>
      <c r="F348" s="763" t="e">
        <f>#REF!/$B$6</f>
        <v>#REF!</v>
      </c>
      <c r="G348" s="763" t="e">
        <f>#REF!/$B$6</f>
        <v>#REF!</v>
      </c>
      <c r="H348" s="763" t="e">
        <f>#REF!/$B$6</f>
        <v>#REF!</v>
      </c>
      <c r="I348" s="763" t="e">
        <f>#REF!/$B$6</f>
        <v>#REF!</v>
      </c>
      <c r="J348" s="763" t="e">
        <f>#REF!/$B$6</f>
        <v>#REF!</v>
      </c>
      <c r="K348" s="763" t="e">
        <f>#REF!/$B$6</f>
        <v>#REF!</v>
      </c>
      <c r="L348" s="763" t="e">
        <f>#REF!/$B$6</f>
        <v>#REF!</v>
      </c>
      <c r="M348" s="763" t="e">
        <f>#REF!/$B$6</f>
        <v>#REF!</v>
      </c>
      <c r="N348" s="763" t="e">
        <f>#REF!/$B$6</f>
        <v>#REF!</v>
      </c>
      <c r="O348" s="763" t="e">
        <f>#REF!/$B$6</f>
        <v>#REF!</v>
      </c>
      <c r="P348" s="763" t="e">
        <f>#REF!/$B$6</f>
        <v>#REF!</v>
      </c>
      <c r="Q348" s="763" t="e">
        <f>#REF!/$B$6</f>
        <v>#REF!</v>
      </c>
      <c r="R348" s="763" t="e">
        <f>#REF!/$B$6</f>
        <v>#REF!</v>
      </c>
      <c r="S348" s="763" t="e">
        <f>#REF!/$B$6</f>
        <v>#REF!</v>
      </c>
      <c r="T348" s="763" t="e">
        <f>#REF!/$B$6</f>
        <v>#REF!</v>
      </c>
      <c r="U348" s="763" t="e">
        <f>#REF!/$B$6</f>
        <v>#REF!</v>
      </c>
      <c r="V348" s="763" t="e">
        <f>#REF!/$B$6</f>
        <v>#REF!</v>
      </c>
      <c r="W348" s="763" t="e">
        <f>#REF!/$B$6</f>
        <v>#REF!</v>
      </c>
      <c r="X348" s="763" t="e">
        <f>#REF!/$B$6</f>
        <v>#REF!</v>
      </c>
      <c r="Y348" s="763" t="e">
        <f>#REF!/$B$6</f>
        <v>#REF!</v>
      </c>
      <c r="Z348" s="763" t="e">
        <f>#REF!/$B$6</f>
        <v>#REF!</v>
      </c>
      <c r="AA348" s="763" t="e">
        <f>#REF!/$B$6</f>
        <v>#REF!</v>
      </c>
    </row>
    <row r="351" spans="1:27" ht="15">
      <c r="A351" s="730" t="s">
        <v>709</v>
      </c>
      <c r="B351" s="742" t="e">
        <f>#REF!/$B$6</f>
        <v>#REF!</v>
      </c>
      <c r="C351" s="742" t="e">
        <f>#REF!/$B$6</f>
        <v>#REF!</v>
      </c>
      <c r="D351" s="742" t="e">
        <f>#REF!/$B$6</f>
        <v>#REF!</v>
      </c>
      <c r="E351" s="742" t="e">
        <f>#REF!/$B$6</f>
        <v>#REF!</v>
      </c>
      <c r="F351" s="742" t="e">
        <f>#REF!/$B$6</f>
        <v>#REF!</v>
      </c>
      <c r="G351" s="742" t="e">
        <f>#REF!/$B$6</f>
        <v>#REF!</v>
      </c>
      <c r="H351" s="742" t="e">
        <f>#REF!/$B$6</f>
        <v>#REF!</v>
      </c>
      <c r="I351" s="742" t="e">
        <f>#REF!/$B$6</f>
        <v>#REF!</v>
      </c>
      <c r="J351" s="742" t="e">
        <f>#REF!/$B$6</f>
        <v>#REF!</v>
      </c>
      <c r="K351" s="742" t="e">
        <f>#REF!/$B$6</f>
        <v>#REF!</v>
      </c>
      <c r="L351" s="742" t="e">
        <f>#REF!/$B$6</f>
        <v>#REF!</v>
      </c>
      <c r="M351" s="742" t="e">
        <f>#REF!/$B$6</f>
        <v>#REF!</v>
      </c>
      <c r="N351" s="742" t="e">
        <f>#REF!/$B$6</f>
        <v>#REF!</v>
      </c>
      <c r="O351" s="742" t="e">
        <f>#REF!/$B$6</f>
        <v>#REF!</v>
      </c>
      <c r="P351" s="742" t="e">
        <f>#REF!/$B$6</f>
        <v>#REF!</v>
      </c>
      <c r="Q351" s="742" t="e">
        <f>#REF!/$B$6</f>
        <v>#REF!</v>
      </c>
      <c r="R351" s="742" t="e">
        <f>#REF!/$B$6</f>
        <v>#REF!</v>
      </c>
      <c r="S351" s="742" t="e">
        <f>#REF!/$B$6</f>
        <v>#REF!</v>
      </c>
      <c r="T351" s="742" t="e">
        <f>#REF!/$B$6</f>
        <v>#REF!</v>
      </c>
      <c r="U351" s="742" t="e">
        <f>#REF!/$B$6</f>
        <v>#REF!</v>
      </c>
      <c r="V351" s="742" t="e">
        <f>#REF!/$B$6</f>
        <v>#REF!</v>
      </c>
      <c r="W351" s="742" t="e">
        <f>#REF!/$B$6</f>
        <v>#REF!</v>
      </c>
      <c r="X351" s="742" t="e">
        <f>#REF!/$B$6</f>
        <v>#REF!</v>
      </c>
      <c r="Y351" s="742" t="e">
        <f>#REF!/$B$6</f>
        <v>#REF!</v>
      </c>
      <c r="Z351" s="742" t="e">
        <f>#REF!/$B$6</f>
        <v>#REF!</v>
      </c>
      <c r="AA351" s="742" t="e">
        <f>#REF!/$B$6</f>
        <v>#REF!</v>
      </c>
    </row>
    <row r="352" spans="1:27" ht="15">
      <c r="A352" s="730" t="s">
        <v>710</v>
      </c>
      <c r="B352" s="736" t="e">
        <f>B373</f>
        <v>#REF!</v>
      </c>
      <c r="C352" s="736" t="e">
        <f t="shared" ref="C352:Z352" si="199">C373</f>
        <v>#REF!</v>
      </c>
      <c r="D352" s="736" t="e">
        <f t="shared" si="199"/>
        <v>#REF!</v>
      </c>
      <c r="E352" s="736" t="e">
        <f t="shared" si="199"/>
        <v>#REF!</v>
      </c>
      <c r="F352" s="736" t="e">
        <f t="shared" si="199"/>
        <v>#REF!</v>
      </c>
      <c r="G352" s="736" t="e">
        <f t="shared" si="199"/>
        <v>#REF!</v>
      </c>
      <c r="H352" s="736" t="e">
        <f t="shared" si="199"/>
        <v>#REF!</v>
      </c>
      <c r="I352" s="736" t="e">
        <f t="shared" si="199"/>
        <v>#REF!</v>
      </c>
      <c r="J352" s="736" t="e">
        <f t="shared" si="199"/>
        <v>#REF!</v>
      </c>
      <c r="K352" s="736" t="e">
        <f t="shared" si="199"/>
        <v>#REF!</v>
      </c>
      <c r="L352" s="736" t="e">
        <f t="shared" si="199"/>
        <v>#REF!</v>
      </c>
      <c r="M352" s="736" t="e">
        <f t="shared" si="199"/>
        <v>#REF!</v>
      </c>
      <c r="N352" s="736" t="e">
        <f t="shared" si="199"/>
        <v>#REF!</v>
      </c>
      <c r="O352" s="736" t="e">
        <f t="shared" si="199"/>
        <v>#REF!</v>
      </c>
      <c r="P352" s="736" t="e">
        <f t="shared" si="199"/>
        <v>#REF!</v>
      </c>
      <c r="Q352" s="736" t="e">
        <f t="shared" si="199"/>
        <v>#REF!</v>
      </c>
      <c r="R352" s="736" t="e">
        <f t="shared" si="199"/>
        <v>#REF!</v>
      </c>
      <c r="S352" s="736" t="e">
        <f t="shared" si="199"/>
        <v>#REF!</v>
      </c>
      <c r="T352" s="736" t="e">
        <f t="shared" si="199"/>
        <v>#REF!</v>
      </c>
      <c r="U352" s="736" t="e">
        <f t="shared" si="199"/>
        <v>#REF!</v>
      </c>
      <c r="V352" s="736" t="e">
        <f t="shared" si="199"/>
        <v>#REF!</v>
      </c>
      <c r="W352" s="736" t="e">
        <f t="shared" si="199"/>
        <v>#REF!</v>
      </c>
      <c r="X352" s="736" t="e">
        <f t="shared" si="199"/>
        <v>#REF!</v>
      </c>
      <c r="Y352" s="736" t="e">
        <f t="shared" si="199"/>
        <v>#REF!</v>
      </c>
      <c r="Z352" s="736" t="e">
        <f t="shared" si="199"/>
        <v>#REF!</v>
      </c>
      <c r="AA352" s="736" t="e">
        <f t="shared" ref="AA352" si="200">AA373</f>
        <v>#REF!</v>
      </c>
    </row>
    <row r="353" spans="1:27" ht="15">
      <c r="A353" s="730" t="s">
        <v>711</v>
      </c>
      <c r="B353" s="742" t="e">
        <f>#REF!/$B$6</f>
        <v>#REF!</v>
      </c>
      <c r="C353" s="742" t="e">
        <f>#REF!/$B$6</f>
        <v>#REF!</v>
      </c>
      <c r="D353" s="742" t="e">
        <f>#REF!/$B$6</f>
        <v>#REF!</v>
      </c>
      <c r="E353" s="742" t="e">
        <f>#REF!/$B$6</f>
        <v>#REF!</v>
      </c>
      <c r="F353" s="742" t="e">
        <f>#REF!/$B$6</f>
        <v>#REF!</v>
      </c>
      <c r="G353" s="742" t="e">
        <f>#REF!/$B$6</f>
        <v>#REF!</v>
      </c>
      <c r="H353" s="742" t="e">
        <f>#REF!/$B$6</f>
        <v>#REF!</v>
      </c>
      <c r="I353" s="742" t="e">
        <f>#REF!/$B$6</f>
        <v>#REF!</v>
      </c>
      <c r="J353" s="742" t="e">
        <f>#REF!/$B$6</f>
        <v>#REF!</v>
      </c>
      <c r="K353" s="742" t="e">
        <f>#REF!/$B$6</f>
        <v>#REF!</v>
      </c>
      <c r="L353" s="742" t="e">
        <f>#REF!/$B$6</f>
        <v>#REF!</v>
      </c>
      <c r="M353" s="742" t="e">
        <f>#REF!/$B$6</f>
        <v>#REF!</v>
      </c>
      <c r="N353" s="742" t="e">
        <f>#REF!/$B$6</f>
        <v>#REF!</v>
      </c>
      <c r="O353" s="742" t="e">
        <f>#REF!/$B$6</f>
        <v>#REF!</v>
      </c>
      <c r="P353" s="742" t="e">
        <f>#REF!/$B$6</f>
        <v>#REF!</v>
      </c>
      <c r="Q353" s="742" t="e">
        <f>#REF!/$B$6</f>
        <v>#REF!</v>
      </c>
      <c r="R353" s="742" t="e">
        <f>#REF!/$B$6</f>
        <v>#REF!</v>
      </c>
      <c r="S353" s="742" t="e">
        <f>#REF!/$B$6</f>
        <v>#REF!</v>
      </c>
      <c r="T353" s="742" t="e">
        <f>#REF!/$B$6</f>
        <v>#REF!</v>
      </c>
      <c r="U353" s="742" t="e">
        <f>#REF!/$B$6</f>
        <v>#REF!</v>
      </c>
      <c r="V353" s="742" t="e">
        <f>#REF!/$B$6</f>
        <v>#REF!</v>
      </c>
      <c r="W353" s="742" t="e">
        <f>#REF!/$B$6</f>
        <v>#REF!</v>
      </c>
      <c r="X353" s="742" t="e">
        <f>#REF!/$B$6</f>
        <v>#REF!</v>
      </c>
      <c r="Y353" s="742" t="e">
        <f>#REF!/$B$6</f>
        <v>#REF!</v>
      </c>
      <c r="Z353" s="742" t="e">
        <f>#REF!/$B$6</f>
        <v>#REF!</v>
      </c>
      <c r="AA353" s="742" t="e">
        <f>#REF!/$B$6</f>
        <v>#REF!</v>
      </c>
    </row>
    <row r="354" spans="1:27" ht="15">
      <c r="A354" s="730" t="s">
        <v>712</v>
      </c>
      <c r="B354" s="742" t="e">
        <f>#REF!/$B$6</f>
        <v>#REF!</v>
      </c>
      <c r="C354" s="742" t="e">
        <f>#REF!/$B$6</f>
        <v>#REF!</v>
      </c>
      <c r="D354" s="742" t="e">
        <f>#REF!/$B$6</f>
        <v>#REF!</v>
      </c>
      <c r="E354" s="742" t="e">
        <f>#REF!/$B$6</f>
        <v>#REF!</v>
      </c>
      <c r="F354" s="742" t="e">
        <f>#REF!/$B$6</f>
        <v>#REF!</v>
      </c>
      <c r="G354" s="742" t="e">
        <f>#REF!/$B$6</f>
        <v>#REF!</v>
      </c>
      <c r="H354" s="742" t="e">
        <f>#REF!/$B$6</f>
        <v>#REF!</v>
      </c>
      <c r="I354" s="742" t="e">
        <f>#REF!/$B$6</f>
        <v>#REF!</v>
      </c>
      <c r="J354" s="742" t="e">
        <f>#REF!/$B$6</f>
        <v>#REF!</v>
      </c>
      <c r="K354" s="742" t="e">
        <f>#REF!/$B$6</f>
        <v>#REF!</v>
      </c>
      <c r="L354" s="742" t="e">
        <f>#REF!/$B$6</f>
        <v>#REF!</v>
      </c>
      <c r="M354" s="742" t="e">
        <f>#REF!/$B$6</f>
        <v>#REF!</v>
      </c>
      <c r="N354" s="742" t="e">
        <f>#REF!/$B$6</f>
        <v>#REF!</v>
      </c>
      <c r="O354" s="742" t="e">
        <f>#REF!/$B$6</f>
        <v>#REF!</v>
      </c>
      <c r="P354" s="742" t="e">
        <f>#REF!/$B$6</f>
        <v>#REF!</v>
      </c>
      <c r="Q354" s="742" t="e">
        <f>#REF!/$B$6</f>
        <v>#REF!</v>
      </c>
      <c r="R354" s="742" t="e">
        <f>#REF!/$B$6</f>
        <v>#REF!</v>
      </c>
      <c r="S354" s="742" t="e">
        <f>#REF!/$B$6</f>
        <v>#REF!</v>
      </c>
      <c r="T354" s="742" t="e">
        <f>#REF!/$B$6</f>
        <v>#REF!</v>
      </c>
      <c r="U354" s="742" t="e">
        <f>#REF!/$B$6</f>
        <v>#REF!</v>
      </c>
      <c r="V354" s="742" t="e">
        <f>#REF!/$B$6</f>
        <v>#REF!</v>
      </c>
      <c r="W354" s="742" t="e">
        <f>#REF!/$B$6</f>
        <v>#REF!</v>
      </c>
      <c r="X354" s="742" t="e">
        <f>#REF!/$B$6</f>
        <v>#REF!</v>
      </c>
      <c r="Y354" s="742" t="e">
        <f>#REF!/$B$6</f>
        <v>#REF!</v>
      </c>
      <c r="Z354" s="742" t="e">
        <f>#REF!/$B$6</f>
        <v>#REF!</v>
      </c>
      <c r="AA354" s="742" t="e">
        <f>#REF!/$B$6</f>
        <v>#REF!</v>
      </c>
    </row>
    <row r="355" spans="1:27" ht="15">
      <c r="A355" s="730" t="s">
        <v>713</v>
      </c>
      <c r="B355" s="742" t="e">
        <f>#REF!/$B$6</f>
        <v>#REF!</v>
      </c>
      <c r="C355" s="742" t="e">
        <f>#REF!/$B$6</f>
        <v>#REF!</v>
      </c>
      <c r="D355" s="742" t="e">
        <f>#REF!/$B$6</f>
        <v>#REF!</v>
      </c>
      <c r="E355" s="742" t="e">
        <f>#REF!/$B$6</f>
        <v>#REF!</v>
      </c>
      <c r="F355" s="742" t="e">
        <f>#REF!/$B$6</f>
        <v>#REF!</v>
      </c>
      <c r="G355" s="742" t="e">
        <f>#REF!/$B$6</f>
        <v>#REF!</v>
      </c>
      <c r="H355" s="742" t="e">
        <f>#REF!/$B$6</f>
        <v>#REF!</v>
      </c>
      <c r="I355" s="742" t="e">
        <f>#REF!/$B$6</f>
        <v>#REF!</v>
      </c>
      <c r="J355" s="742" t="e">
        <f>#REF!/$B$6</f>
        <v>#REF!</v>
      </c>
      <c r="K355" s="742" t="e">
        <f>#REF!/$B$6</f>
        <v>#REF!</v>
      </c>
      <c r="L355" s="742" t="e">
        <f>#REF!/$B$6</f>
        <v>#REF!</v>
      </c>
      <c r="M355" s="742" t="e">
        <f>#REF!/$B$6</f>
        <v>#REF!</v>
      </c>
      <c r="N355" s="742" t="e">
        <f>#REF!/$B$6</f>
        <v>#REF!</v>
      </c>
      <c r="O355" s="742" t="e">
        <f>#REF!/$B$6</f>
        <v>#REF!</v>
      </c>
      <c r="P355" s="742" t="e">
        <f>#REF!/$B$6</f>
        <v>#REF!</v>
      </c>
      <c r="Q355" s="742" t="e">
        <f>#REF!/$B$6</f>
        <v>#REF!</v>
      </c>
      <c r="R355" s="742" t="e">
        <f>#REF!/$B$6</f>
        <v>#REF!</v>
      </c>
      <c r="S355" s="742" t="e">
        <f>#REF!/$B$6</f>
        <v>#REF!</v>
      </c>
      <c r="T355" s="742" t="e">
        <f>#REF!/$B$6</f>
        <v>#REF!</v>
      </c>
      <c r="U355" s="742" t="e">
        <f>#REF!/$B$6</f>
        <v>#REF!</v>
      </c>
      <c r="V355" s="742" t="e">
        <f>#REF!/$B$6</f>
        <v>#REF!</v>
      </c>
      <c r="W355" s="742" t="e">
        <f>#REF!/$B$6</f>
        <v>#REF!</v>
      </c>
      <c r="X355" s="742" t="e">
        <f>#REF!/$B$6</f>
        <v>#REF!</v>
      </c>
      <c r="Y355" s="742" t="e">
        <f>#REF!/$B$6</f>
        <v>#REF!</v>
      </c>
      <c r="Z355" s="742" t="e">
        <f>#REF!/$B$6</f>
        <v>#REF!</v>
      </c>
      <c r="AA355" s="742" t="e">
        <f>#REF!/$B$6</f>
        <v>#REF!</v>
      </c>
    </row>
    <row r="356" spans="1:27">
      <c r="A356" s="760" t="s">
        <v>714</v>
      </c>
      <c r="B356" s="761" t="e">
        <f>SUM(B351:B355)</f>
        <v>#REF!</v>
      </c>
      <c r="C356" s="761" t="e">
        <f t="shared" ref="C356:Z356" si="201">SUM(C351:C355)</f>
        <v>#REF!</v>
      </c>
      <c r="D356" s="761" t="e">
        <f t="shared" si="201"/>
        <v>#REF!</v>
      </c>
      <c r="E356" s="761" t="e">
        <f t="shared" si="201"/>
        <v>#REF!</v>
      </c>
      <c r="F356" s="761" t="e">
        <f t="shared" si="201"/>
        <v>#REF!</v>
      </c>
      <c r="G356" s="761" t="e">
        <f t="shared" si="201"/>
        <v>#REF!</v>
      </c>
      <c r="H356" s="761" t="e">
        <f t="shared" si="201"/>
        <v>#REF!</v>
      </c>
      <c r="I356" s="761" t="e">
        <f t="shared" si="201"/>
        <v>#REF!</v>
      </c>
      <c r="J356" s="761" t="e">
        <f t="shared" si="201"/>
        <v>#REF!</v>
      </c>
      <c r="K356" s="761" t="e">
        <f t="shared" si="201"/>
        <v>#REF!</v>
      </c>
      <c r="L356" s="761" t="e">
        <f t="shared" si="201"/>
        <v>#REF!</v>
      </c>
      <c r="M356" s="761" t="e">
        <f t="shared" si="201"/>
        <v>#REF!</v>
      </c>
      <c r="N356" s="761" t="e">
        <f t="shared" si="201"/>
        <v>#REF!</v>
      </c>
      <c r="O356" s="761" t="e">
        <f t="shared" si="201"/>
        <v>#REF!</v>
      </c>
      <c r="P356" s="761" t="e">
        <f t="shared" si="201"/>
        <v>#REF!</v>
      </c>
      <c r="Q356" s="761" t="e">
        <f t="shared" si="201"/>
        <v>#REF!</v>
      </c>
      <c r="R356" s="761" t="e">
        <f t="shared" si="201"/>
        <v>#REF!</v>
      </c>
      <c r="S356" s="761" t="e">
        <f t="shared" si="201"/>
        <v>#REF!</v>
      </c>
      <c r="T356" s="761" t="e">
        <f t="shared" si="201"/>
        <v>#REF!</v>
      </c>
      <c r="U356" s="761" t="e">
        <f t="shared" si="201"/>
        <v>#REF!</v>
      </c>
      <c r="V356" s="761" t="e">
        <f t="shared" si="201"/>
        <v>#REF!</v>
      </c>
      <c r="W356" s="761" t="e">
        <f t="shared" si="201"/>
        <v>#REF!</v>
      </c>
      <c r="X356" s="761" t="e">
        <f t="shared" si="201"/>
        <v>#REF!</v>
      </c>
      <c r="Y356" s="761" t="e">
        <f t="shared" si="201"/>
        <v>#REF!</v>
      </c>
      <c r="Z356" s="761" t="e">
        <f t="shared" si="201"/>
        <v>#REF!</v>
      </c>
      <c r="AA356" s="761" t="e">
        <f t="shared" ref="AA356" si="202">SUM(AA351:AA355)</f>
        <v>#REF!</v>
      </c>
    </row>
    <row r="359" spans="1:27" ht="14" thickBot="1">
      <c r="A359" s="751" t="s">
        <v>301</v>
      </c>
      <c r="B359" s="752" t="e">
        <f>B335+B340+B348+B356</f>
        <v>#REF!</v>
      </c>
      <c r="C359" s="752" t="e">
        <f t="shared" ref="C359:Z359" si="203">C335+C340+C348+C356</f>
        <v>#REF!</v>
      </c>
      <c r="D359" s="752" t="e">
        <f t="shared" si="203"/>
        <v>#REF!</v>
      </c>
      <c r="E359" s="752" t="e">
        <f t="shared" si="203"/>
        <v>#REF!</v>
      </c>
      <c r="F359" s="752" t="e">
        <f t="shared" si="203"/>
        <v>#REF!</v>
      </c>
      <c r="G359" s="752" t="e">
        <f t="shared" si="203"/>
        <v>#REF!</v>
      </c>
      <c r="H359" s="752" t="e">
        <f t="shared" si="203"/>
        <v>#REF!</v>
      </c>
      <c r="I359" s="752" t="e">
        <f t="shared" si="203"/>
        <v>#REF!</v>
      </c>
      <c r="J359" s="752" t="e">
        <f t="shared" si="203"/>
        <v>#REF!</v>
      </c>
      <c r="K359" s="752" t="e">
        <f t="shared" si="203"/>
        <v>#REF!</v>
      </c>
      <c r="L359" s="752" t="e">
        <f t="shared" si="203"/>
        <v>#REF!</v>
      </c>
      <c r="M359" s="752" t="e">
        <f t="shared" si="203"/>
        <v>#REF!</v>
      </c>
      <c r="N359" s="752" t="e">
        <f t="shared" si="203"/>
        <v>#REF!</v>
      </c>
      <c r="O359" s="752" t="e">
        <f t="shared" si="203"/>
        <v>#REF!</v>
      </c>
      <c r="P359" s="752" t="e">
        <f t="shared" si="203"/>
        <v>#REF!</v>
      </c>
      <c r="Q359" s="752" t="e">
        <f t="shared" si="203"/>
        <v>#REF!</v>
      </c>
      <c r="R359" s="752" t="e">
        <f t="shared" si="203"/>
        <v>#REF!</v>
      </c>
      <c r="S359" s="752" t="e">
        <f t="shared" si="203"/>
        <v>#REF!</v>
      </c>
      <c r="T359" s="752" t="e">
        <f t="shared" si="203"/>
        <v>#REF!</v>
      </c>
      <c r="U359" s="752" t="e">
        <f t="shared" si="203"/>
        <v>#REF!</v>
      </c>
      <c r="V359" s="752" t="e">
        <f t="shared" si="203"/>
        <v>#REF!</v>
      </c>
      <c r="W359" s="752" t="e">
        <f t="shared" si="203"/>
        <v>#REF!</v>
      </c>
      <c r="X359" s="752" t="e">
        <f t="shared" si="203"/>
        <v>#REF!</v>
      </c>
      <c r="Y359" s="752" t="e">
        <f t="shared" si="203"/>
        <v>#REF!</v>
      </c>
      <c r="Z359" s="752" t="e">
        <f t="shared" si="203"/>
        <v>#REF!</v>
      </c>
      <c r="AA359" s="752" t="e">
        <f t="shared" ref="AA359" si="204">AA335+AA340+AA348+AA356</f>
        <v>#REF!</v>
      </c>
    </row>
    <row r="360" spans="1:27" ht="16" thickTop="1">
      <c r="B360" s="736"/>
    </row>
    <row r="361" spans="1:27" ht="15">
      <c r="B361" s="736"/>
    </row>
    <row r="362" spans="1:27" ht="15">
      <c r="A362" s="730" t="s">
        <v>698</v>
      </c>
      <c r="B362" s="736" t="e">
        <f>B335</f>
        <v>#REF!</v>
      </c>
      <c r="C362" s="736" t="e">
        <f t="shared" ref="C362:Z362" si="205">C335</f>
        <v>#REF!</v>
      </c>
      <c r="D362" s="736" t="e">
        <f t="shared" si="205"/>
        <v>#REF!</v>
      </c>
      <c r="E362" s="736" t="e">
        <f t="shared" si="205"/>
        <v>#REF!</v>
      </c>
      <c r="F362" s="736" t="e">
        <f t="shared" si="205"/>
        <v>#REF!</v>
      </c>
      <c r="G362" s="736" t="e">
        <f t="shared" si="205"/>
        <v>#REF!</v>
      </c>
      <c r="H362" s="736" t="e">
        <f t="shared" si="205"/>
        <v>#REF!</v>
      </c>
      <c r="I362" s="736" t="e">
        <f t="shared" si="205"/>
        <v>#REF!</v>
      </c>
      <c r="J362" s="736" t="e">
        <f t="shared" si="205"/>
        <v>#REF!</v>
      </c>
      <c r="K362" s="736" t="e">
        <f t="shared" si="205"/>
        <v>#REF!</v>
      </c>
      <c r="L362" s="736" t="e">
        <f t="shared" si="205"/>
        <v>#REF!</v>
      </c>
      <c r="M362" s="736" t="e">
        <f t="shared" si="205"/>
        <v>#REF!</v>
      </c>
      <c r="N362" s="736" t="e">
        <f t="shared" si="205"/>
        <v>#REF!</v>
      </c>
      <c r="O362" s="736" t="e">
        <f t="shared" si="205"/>
        <v>#REF!</v>
      </c>
      <c r="P362" s="736" t="e">
        <f t="shared" si="205"/>
        <v>#REF!</v>
      </c>
      <c r="Q362" s="736" t="e">
        <f t="shared" si="205"/>
        <v>#REF!</v>
      </c>
      <c r="R362" s="736" t="e">
        <f t="shared" si="205"/>
        <v>#REF!</v>
      </c>
      <c r="S362" s="736" t="e">
        <f t="shared" si="205"/>
        <v>#REF!</v>
      </c>
      <c r="T362" s="736" t="e">
        <f t="shared" si="205"/>
        <v>#REF!</v>
      </c>
      <c r="U362" s="736" t="e">
        <f t="shared" si="205"/>
        <v>#REF!</v>
      </c>
      <c r="V362" s="736" t="e">
        <f t="shared" si="205"/>
        <v>#REF!</v>
      </c>
      <c r="W362" s="736" t="e">
        <f t="shared" si="205"/>
        <v>#REF!</v>
      </c>
      <c r="X362" s="736" t="e">
        <f t="shared" si="205"/>
        <v>#REF!</v>
      </c>
      <c r="Y362" s="736" t="e">
        <f t="shared" si="205"/>
        <v>#REF!</v>
      </c>
      <c r="Z362" s="736" t="e">
        <f t="shared" si="205"/>
        <v>#REF!</v>
      </c>
      <c r="AA362" s="736" t="e">
        <f t="shared" ref="AA362" si="206">AA335</f>
        <v>#REF!</v>
      </c>
    </row>
    <row r="363" spans="1:27" ht="15">
      <c r="A363" s="730" t="s">
        <v>701</v>
      </c>
      <c r="B363" s="736" t="e">
        <f>B340</f>
        <v>#REF!</v>
      </c>
      <c r="C363" s="736" t="e">
        <f t="shared" ref="C363:Z363" si="207">C340</f>
        <v>#REF!</v>
      </c>
      <c r="D363" s="736" t="e">
        <f t="shared" si="207"/>
        <v>#REF!</v>
      </c>
      <c r="E363" s="736" t="e">
        <f t="shared" si="207"/>
        <v>#REF!</v>
      </c>
      <c r="F363" s="736" t="e">
        <f t="shared" si="207"/>
        <v>#REF!</v>
      </c>
      <c r="G363" s="736" t="e">
        <f t="shared" si="207"/>
        <v>#REF!</v>
      </c>
      <c r="H363" s="736" t="e">
        <f t="shared" si="207"/>
        <v>#REF!</v>
      </c>
      <c r="I363" s="736" t="e">
        <f t="shared" si="207"/>
        <v>#REF!</v>
      </c>
      <c r="J363" s="736" t="e">
        <f t="shared" si="207"/>
        <v>#REF!</v>
      </c>
      <c r="K363" s="736" t="e">
        <f t="shared" si="207"/>
        <v>#REF!</v>
      </c>
      <c r="L363" s="736" t="e">
        <f t="shared" si="207"/>
        <v>#REF!</v>
      </c>
      <c r="M363" s="736" t="e">
        <f t="shared" si="207"/>
        <v>#REF!</v>
      </c>
      <c r="N363" s="736" t="e">
        <f t="shared" si="207"/>
        <v>#REF!</v>
      </c>
      <c r="O363" s="736" t="e">
        <f t="shared" si="207"/>
        <v>#REF!</v>
      </c>
      <c r="P363" s="736" t="e">
        <f t="shared" si="207"/>
        <v>#REF!</v>
      </c>
      <c r="Q363" s="736" t="e">
        <f t="shared" si="207"/>
        <v>#REF!</v>
      </c>
      <c r="R363" s="736" t="e">
        <f t="shared" si="207"/>
        <v>#REF!</v>
      </c>
      <c r="S363" s="736" t="e">
        <f t="shared" si="207"/>
        <v>#REF!</v>
      </c>
      <c r="T363" s="736" t="e">
        <f t="shared" si="207"/>
        <v>#REF!</v>
      </c>
      <c r="U363" s="736" t="e">
        <f t="shared" si="207"/>
        <v>#REF!</v>
      </c>
      <c r="V363" s="736" t="e">
        <f t="shared" si="207"/>
        <v>#REF!</v>
      </c>
      <c r="W363" s="736" t="e">
        <f t="shared" si="207"/>
        <v>#REF!</v>
      </c>
      <c r="X363" s="736" t="e">
        <f t="shared" si="207"/>
        <v>#REF!</v>
      </c>
      <c r="Y363" s="736" t="e">
        <f t="shared" si="207"/>
        <v>#REF!</v>
      </c>
      <c r="Z363" s="736" t="e">
        <f t="shared" si="207"/>
        <v>#REF!</v>
      </c>
      <c r="AA363" s="736" t="e">
        <f t="shared" ref="AA363" si="208">AA340</f>
        <v>#REF!</v>
      </c>
    </row>
    <row r="364" spans="1:27">
      <c r="A364" s="760" t="s">
        <v>309</v>
      </c>
      <c r="B364" s="765" t="e">
        <f>B362+B363</f>
        <v>#REF!</v>
      </c>
      <c r="C364" s="765" t="e">
        <f t="shared" ref="C364:Z364" si="209">C362+C363</f>
        <v>#REF!</v>
      </c>
      <c r="D364" s="765" t="e">
        <f t="shared" si="209"/>
        <v>#REF!</v>
      </c>
      <c r="E364" s="765" t="e">
        <f t="shared" si="209"/>
        <v>#REF!</v>
      </c>
      <c r="F364" s="765" t="e">
        <f t="shared" si="209"/>
        <v>#REF!</v>
      </c>
      <c r="G364" s="765" t="e">
        <f t="shared" si="209"/>
        <v>#REF!</v>
      </c>
      <c r="H364" s="765" t="e">
        <f t="shared" si="209"/>
        <v>#REF!</v>
      </c>
      <c r="I364" s="765" t="e">
        <f t="shared" si="209"/>
        <v>#REF!</v>
      </c>
      <c r="J364" s="765" t="e">
        <f t="shared" si="209"/>
        <v>#REF!</v>
      </c>
      <c r="K364" s="765" t="e">
        <f t="shared" si="209"/>
        <v>#REF!</v>
      </c>
      <c r="L364" s="765" t="e">
        <f t="shared" si="209"/>
        <v>#REF!</v>
      </c>
      <c r="M364" s="765" t="e">
        <f t="shared" si="209"/>
        <v>#REF!</v>
      </c>
      <c r="N364" s="765" t="e">
        <f t="shared" si="209"/>
        <v>#REF!</v>
      </c>
      <c r="O364" s="765" t="e">
        <f t="shared" si="209"/>
        <v>#REF!</v>
      </c>
      <c r="P364" s="765" t="e">
        <f t="shared" si="209"/>
        <v>#REF!</v>
      </c>
      <c r="Q364" s="765" t="e">
        <f t="shared" si="209"/>
        <v>#REF!</v>
      </c>
      <c r="R364" s="765" t="e">
        <f t="shared" si="209"/>
        <v>#REF!</v>
      </c>
      <c r="S364" s="765" t="e">
        <f t="shared" si="209"/>
        <v>#REF!</v>
      </c>
      <c r="T364" s="765" t="e">
        <f t="shared" si="209"/>
        <v>#REF!</v>
      </c>
      <c r="U364" s="765" t="e">
        <f t="shared" si="209"/>
        <v>#REF!</v>
      </c>
      <c r="V364" s="765" t="e">
        <f t="shared" si="209"/>
        <v>#REF!</v>
      </c>
      <c r="W364" s="765" t="e">
        <f t="shared" si="209"/>
        <v>#REF!</v>
      </c>
      <c r="X364" s="765" t="e">
        <f t="shared" si="209"/>
        <v>#REF!</v>
      </c>
      <c r="Y364" s="765" t="e">
        <f t="shared" si="209"/>
        <v>#REF!</v>
      </c>
      <c r="Z364" s="765" t="e">
        <f t="shared" si="209"/>
        <v>#REF!</v>
      </c>
      <c r="AA364" s="765" t="e">
        <f t="shared" ref="AA364" si="210">AA362+AA363</f>
        <v>#REF!</v>
      </c>
    </row>
    <row r="365" spans="1:27" ht="15">
      <c r="B365" s="736"/>
      <c r="C365" s="736"/>
      <c r="D365" s="736"/>
      <c r="E365" s="736"/>
      <c r="F365" s="736"/>
      <c r="G365" s="736"/>
    </row>
    <row r="366" spans="1:27" ht="15">
      <c r="A366" s="730" t="s">
        <v>715</v>
      </c>
      <c r="B366" s="736" t="e">
        <f>B334+B339</f>
        <v>#REF!</v>
      </c>
      <c r="C366" s="736" t="e">
        <f t="shared" ref="C366:Z366" si="211">C334+C339</f>
        <v>#REF!</v>
      </c>
      <c r="D366" s="736" t="e">
        <f t="shared" si="211"/>
        <v>#REF!</v>
      </c>
      <c r="E366" s="736" t="e">
        <f t="shared" si="211"/>
        <v>#REF!</v>
      </c>
      <c r="F366" s="736" t="e">
        <f t="shared" si="211"/>
        <v>#REF!</v>
      </c>
      <c r="G366" s="736" t="e">
        <f t="shared" si="211"/>
        <v>#REF!</v>
      </c>
      <c r="H366" s="736" t="e">
        <f t="shared" si="211"/>
        <v>#REF!</v>
      </c>
      <c r="I366" s="736" t="e">
        <f t="shared" si="211"/>
        <v>#REF!</v>
      </c>
      <c r="J366" s="736" t="e">
        <f t="shared" si="211"/>
        <v>#REF!</v>
      </c>
      <c r="K366" s="736" t="e">
        <f t="shared" si="211"/>
        <v>#REF!</v>
      </c>
      <c r="L366" s="736" t="e">
        <f t="shared" si="211"/>
        <v>#REF!</v>
      </c>
      <c r="M366" s="736" t="e">
        <f t="shared" si="211"/>
        <v>#REF!</v>
      </c>
      <c r="N366" s="736" t="e">
        <f t="shared" si="211"/>
        <v>#REF!</v>
      </c>
      <c r="O366" s="736" t="e">
        <f t="shared" si="211"/>
        <v>#REF!</v>
      </c>
      <c r="P366" s="736" t="e">
        <f t="shared" si="211"/>
        <v>#REF!</v>
      </c>
      <c r="Q366" s="736" t="e">
        <f t="shared" si="211"/>
        <v>#REF!</v>
      </c>
      <c r="R366" s="736" t="e">
        <f t="shared" si="211"/>
        <v>#REF!</v>
      </c>
      <c r="S366" s="736" t="e">
        <f t="shared" si="211"/>
        <v>#REF!</v>
      </c>
      <c r="T366" s="736" t="e">
        <f t="shared" si="211"/>
        <v>#REF!</v>
      </c>
      <c r="U366" s="736" t="e">
        <f t="shared" si="211"/>
        <v>#REF!</v>
      </c>
      <c r="V366" s="736" t="e">
        <f t="shared" si="211"/>
        <v>#REF!</v>
      </c>
      <c r="W366" s="736" t="e">
        <f t="shared" si="211"/>
        <v>#REF!</v>
      </c>
      <c r="X366" s="736" t="e">
        <f t="shared" si="211"/>
        <v>#REF!</v>
      </c>
      <c r="Y366" s="736" t="e">
        <f t="shared" si="211"/>
        <v>#REF!</v>
      </c>
      <c r="Z366" s="736" t="e">
        <f t="shared" si="211"/>
        <v>#REF!</v>
      </c>
      <c r="AA366" s="736" t="e">
        <f t="shared" ref="AA366" si="212">AA334+AA339</f>
        <v>#REF!</v>
      </c>
    </row>
    <row r="367" spans="1:27" ht="15">
      <c r="A367" s="730" t="s">
        <v>716</v>
      </c>
      <c r="B367" s="736" t="e">
        <f>B348</f>
        <v>#REF!</v>
      </c>
      <c r="C367" s="736" t="e">
        <f t="shared" ref="C367:Z367" si="213">C348</f>
        <v>#REF!</v>
      </c>
      <c r="D367" s="736" t="e">
        <f t="shared" si="213"/>
        <v>#REF!</v>
      </c>
      <c r="E367" s="736" t="e">
        <f t="shared" si="213"/>
        <v>#REF!</v>
      </c>
      <c r="F367" s="736" t="e">
        <f t="shared" si="213"/>
        <v>#REF!</v>
      </c>
      <c r="G367" s="736" t="e">
        <f t="shared" si="213"/>
        <v>#REF!</v>
      </c>
      <c r="H367" s="736" t="e">
        <f t="shared" si="213"/>
        <v>#REF!</v>
      </c>
      <c r="I367" s="736" t="e">
        <f t="shared" si="213"/>
        <v>#REF!</v>
      </c>
      <c r="J367" s="736" t="e">
        <f t="shared" si="213"/>
        <v>#REF!</v>
      </c>
      <c r="K367" s="736" t="e">
        <f t="shared" si="213"/>
        <v>#REF!</v>
      </c>
      <c r="L367" s="736" t="e">
        <f t="shared" si="213"/>
        <v>#REF!</v>
      </c>
      <c r="M367" s="736" t="e">
        <f t="shared" si="213"/>
        <v>#REF!</v>
      </c>
      <c r="N367" s="736" t="e">
        <f t="shared" si="213"/>
        <v>#REF!</v>
      </c>
      <c r="O367" s="736" t="e">
        <f t="shared" si="213"/>
        <v>#REF!</v>
      </c>
      <c r="P367" s="736" t="e">
        <f t="shared" si="213"/>
        <v>#REF!</v>
      </c>
      <c r="Q367" s="736" t="e">
        <f t="shared" si="213"/>
        <v>#REF!</v>
      </c>
      <c r="R367" s="736" t="e">
        <f t="shared" si="213"/>
        <v>#REF!</v>
      </c>
      <c r="S367" s="736" t="e">
        <f t="shared" si="213"/>
        <v>#REF!</v>
      </c>
      <c r="T367" s="736" t="e">
        <f t="shared" si="213"/>
        <v>#REF!</v>
      </c>
      <c r="U367" s="736" t="e">
        <f t="shared" si="213"/>
        <v>#REF!</v>
      </c>
      <c r="V367" s="736" t="e">
        <f t="shared" si="213"/>
        <v>#REF!</v>
      </c>
      <c r="W367" s="736" t="e">
        <f t="shared" si="213"/>
        <v>#REF!</v>
      </c>
      <c r="X367" s="736" t="e">
        <f t="shared" si="213"/>
        <v>#REF!</v>
      </c>
      <c r="Y367" s="736" t="e">
        <f t="shared" si="213"/>
        <v>#REF!</v>
      </c>
      <c r="Z367" s="736" t="e">
        <f t="shared" si="213"/>
        <v>#REF!</v>
      </c>
      <c r="AA367" s="736" t="e">
        <f t="shared" ref="AA367" si="214">AA348</f>
        <v>#REF!</v>
      </c>
    </row>
    <row r="368" spans="1:27">
      <c r="A368" s="760" t="s">
        <v>717</v>
      </c>
      <c r="B368" s="765" t="e">
        <f>B366+B367</f>
        <v>#REF!</v>
      </c>
      <c r="C368" s="765" t="e">
        <f t="shared" ref="C368:Z368" si="215">C366+C367</f>
        <v>#REF!</v>
      </c>
      <c r="D368" s="765" t="e">
        <f t="shared" si="215"/>
        <v>#REF!</v>
      </c>
      <c r="E368" s="765" t="e">
        <f t="shared" si="215"/>
        <v>#REF!</v>
      </c>
      <c r="F368" s="765" t="e">
        <f t="shared" si="215"/>
        <v>#REF!</v>
      </c>
      <c r="G368" s="765" t="e">
        <f t="shared" si="215"/>
        <v>#REF!</v>
      </c>
      <c r="H368" s="765" t="e">
        <f t="shared" si="215"/>
        <v>#REF!</v>
      </c>
      <c r="I368" s="765" t="e">
        <f t="shared" si="215"/>
        <v>#REF!</v>
      </c>
      <c r="J368" s="765" t="e">
        <f t="shared" si="215"/>
        <v>#REF!</v>
      </c>
      <c r="K368" s="765" t="e">
        <f t="shared" si="215"/>
        <v>#REF!</v>
      </c>
      <c r="L368" s="765" t="e">
        <f t="shared" si="215"/>
        <v>#REF!</v>
      </c>
      <c r="M368" s="765" t="e">
        <f t="shared" si="215"/>
        <v>#REF!</v>
      </c>
      <c r="N368" s="765" t="e">
        <f t="shared" si="215"/>
        <v>#REF!</v>
      </c>
      <c r="O368" s="765" t="e">
        <f t="shared" si="215"/>
        <v>#REF!</v>
      </c>
      <c r="P368" s="765" t="e">
        <f t="shared" si="215"/>
        <v>#REF!</v>
      </c>
      <c r="Q368" s="765" t="e">
        <f t="shared" si="215"/>
        <v>#REF!</v>
      </c>
      <c r="R368" s="765" t="e">
        <f t="shared" si="215"/>
        <v>#REF!</v>
      </c>
      <c r="S368" s="765" t="e">
        <f t="shared" si="215"/>
        <v>#REF!</v>
      </c>
      <c r="T368" s="765" t="e">
        <f t="shared" si="215"/>
        <v>#REF!</v>
      </c>
      <c r="U368" s="765" t="e">
        <f t="shared" si="215"/>
        <v>#REF!</v>
      </c>
      <c r="V368" s="765" t="e">
        <f t="shared" si="215"/>
        <v>#REF!</v>
      </c>
      <c r="W368" s="765" t="e">
        <f t="shared" si="215"/>
        <v>#REF!</v>
      </c>
      <c r="X368" s="765" t="e">
        <f t="shared" si="215"/>
        <v>#REF!</v>
      </c>
      <c r="Y368" s="765" t="e">
        <f t="shared" si="215"/>
        <v>#REF!</v>
      </c>
      <c r="Z368" s="765" t="e">
        <f t="shared" si="215"/>
        <v>#REF!</v>
      </c>
      <c r="AA368" s="765" t="e">
        <f t="shared" ref="AA368" si="216">AA366+AA367</f>
        <v>#REF!</v>
      </c>
    </row>
    <row r="371" spans="1:27">
      <c r="A371" s="732" t="s">
        <v>242</v>
      </c>
    </row>
    <row r="372" spans="1:27" ht="15">
      <c r="A372" s="730" t="s">
        <v>718</v>
      </c>
      <c r="B372" s="742" t="e">
        <f>#REF!/$B$6</f>
        <v>#REF!</v>
      </c>
      <c r="C372" s="742" t="e">
        <f>#REF!/$B$6</f>
        <v>#REF!</v>
      </c>
      <c r="D372" s="742" t="e">
        <f>#REF!/$B$6</f>
        <v>#REF!</v>
      </c>
      <c r="E372" s="742" t="e">
        <f>#REF!/$B$6</f>
        <v>#REF!</v>
      </c>
      <c r="F372" s="742" t="e">
        <f>#REF!/$B$6</f>
        <v>#REF!</v>
      </c>
      <c r="G372" s="742" t="e">
        <f>#REF!/$B$6</f>
        <v>#REF!</v>
      </c>
      <c r="H372" s="742" t="e">
        <f>#REF!/$B$6</f>
        <v>#REF!</v>
      </c>
      <c r="I372" s="742" t="e">
        <f>#REF!/$B$6</f>
        <v>#REF!</v>
      </c>
      <c r="J372" s="742" t="e">
        <f>#REF!/$B$6</f>
        <v>#REF!</v>
      </c>
      <c r="K372" s="742" t="e">
        <f>#REF!/$B$6</f>
        <v>#REF!</v>
      </c>
      <c r="L372" s="742" t="e">
        <f>#REF!/$B$6</f>
        <v>#REF!</v>
      </c>
      <c r="M372" s="742" t="e">
        <f>#REF!/$B$6</f>
        <v>#REF!</v>
      </c>
      <c r="N372" s="742" t="e">
        <f>#REF!/$B$6</f>
        <v>#REF!</v>
      </c>
      <c r="O372" s="742" t="e">
        <f>#REF!/$B$6</f>
        <v>#REF!</v>
      </c>
      <c r="P372" s="742" t="e">
        <f>#REF!/$B$6</f>
        <v>#REF!</v>
      </c>
      <c r="Q372" s="742" t="e">
        <f>#REF!/$B$6</f>
        <v>#REF!</v>
      </c>
      <c r="R372" s="742" t="e">
        <f>#REF!/$B$6</f>
        <v>#REF!</v>
      </c>
      <c r="S372" s="742" t="e">
        <f>#REF!/$B$6</f>
        <v>#REF!</v>
      </c>
      <c r="T372" s="742" t="e">
        <f>#REF!/$B$6</f>
        <v>#REF!</v>
      </c>
      <c r="U372" s="742" t="e">
        <f>#REF!/$B$6</f>
        <v>#REF!</v>
      </c>
      <c r="V372" s="742" t="e">
        <f>#REF!/$B$6</f>
        <v>#REF!</v>
      </c>
      <c r="W372" s="742" t="e">
        <f>#REF!/$B$6</f>
        <v>#REF!</v>
      </c>
      <c r="X372" s="742" t="e">
        <f>#REF!/$B$6</f>
        <v>#REF!</v>
      </c>
      <c r="Y372" s="742" t="e">
        <f>#REF!/$B$6</f>
        <v>#REF!</v>
      </c>
      <c r="Z372" s="742" t="e">
        <f>#REF!/$B$6</f>
        <v>#REF!</v>
      </c>
      <c r="AA372" s="742" t="e">
        <f>#REF!/$B$6</f>
        <v>#REF!</v>
      </c>
    </row>
    <row r="373" spans="1:27" ht="15">
      <c r="A373" s="730" t="s">
        <v>719</v>
      </c>
      <c r="B373" s="742" t="e">
        <f>#REF!/$B$6</f>
        <v>#REF!</v>
      </c>
      <c r="C373" s="742" t="e">
        <f>#REF!/$B$6</f>
        <v>#REF!</v>
      </c>
      <c r="D373" s="742" t="e">
        <f>#REF!/$B$6</f>
        <v>#REF!</v>
      </c>
      <c r="E373" s="742" t="e">
        <f>#REF!/$B$6</f>
        <v>#REF!</v>
      </c>
      <c r="F373" s="742" t="e">
        <f>#REF!/$B$6</f>
        <v>#REF!</v>
      </c>
      <c r="G373" s="742" t="e">
        <f>#REF!/$B$6</f>
        <v>#REF!</v>
      </c>
      <c r="H373" s="742" t="e">
        <f>#REF!/$B$6</f>
        <v>#REF!</v>
      </c>
      <c r="I373" s="742" t="e">
        <f>#REF!/$B$6</f>
        <v>#REF!</v>
      </c>
      <c r="J373" s="742" t="e">
        <f>#REF!/$B$6</f>
        <v>#REF!</v>
      </c>
      <c r="K373" s="742" t="e">
        <f>#REF!/$B$6</f>
        <v>#REF!</v>
      </c>
      <c r="L373" s="742" t="e">
        <f>#REF!/$B$6</f>
        <v>#REF!</v>
      </c>
      <c r="M373" s="742" t="e">
        <f>#REF!/$B$6</f>
        <v>#REF!</v>
      </c>
      <c r="N373" s="742" t="e">
        <f>#REF!/$B$6</f>
        <v>#REF!</v>
      </c>
      <c r="O373" s="742" t="e">
        <f>#REF!/$B$6</f>
        <v>#REF!</v>
      </c>
      <c r="P373" s="742" t="e">
        <f>#REF!/$B$6</f>
        <v>#REF!</v>
      </c>
      <c r="Q373" s="742" t="e">
        <f>#REF!/$B$6</f>
        <v>#REF!</v>
      </c>
      <c r="R373" s="742" t="e">
        <f>#REF!/$B$6</f>
        <v>#REF!</v>
      </c>
      <c r="S373" s="742" t="e">
        <f>#REF!/$B$6</f>
        <v>#REF!</v>
      </c>
      <c r="T373" s="742" t="e">
        <f>#REF!/$B$6</f>
        <v>#REF!</v>
      </c>
      <c r="U373" s="742" t="e">
        <f>#REF!/$B$6</f>
        <v>#REF!</v>
      </c>
      <c r="V373" s="742" t="e">
        <f>#REF!/$B$6</f>
        <v>#REF!</v>
      </c>
      <c r="W373" s="742" t="e">
        <f>#REF!/$B$6</f>
        <v>#REF!</v>
      </c>
      <c r="X373" s="742" t="e">
        <f>#REF!/$B$6</f>
        <v>#REF!</v>
      </c>
      <c r="Y373" s="742" t="e">
        <f>#REF!/$B$6</f>
        <v>#REF!</v>
      </c>
      <c r="Z373" s="742" t="e">
        <f>#REF!/$B$6</f>
        <v>#REF!</v>
      </c>
      <c r="AA373" s="742" t="e">
        <f>#REF!/$B$6</f>
        <v>#REF!</v>
      </c>
    </row>
    <row r="374" spans="1:27">
      <c r="A374" s="760" t="s">
        <v>720</v>
      </c>
      <c r="B374" s="765" t="e">
        <f>#REF!/$B$6</f>
        <v>#REF!</v>
      </c>
      <c r="C374" s="765" t="e">
        <f>#REF!/$B$6</f>
        <v>#REF!</v>
      </c>
      <c r="D374" s="765" t="e">
        <f>#REF!/$B$6</f>
        <v>#REF!</v>
      </c>
      <c r="E374" s="765" t="e">
        <f>#REF!/$B$6</f>
        <v>#REF!</v>
      </c>
      <c r="F374" s="765" t="e">
        <f>#REF!/$B$6</f>
        <v>#REF!</v>
      </c>
      <c r="G374" s="765" t="e">
        <f>#REF!/$B$6</f>
        <v>#REF!</v>
      </c>
      <c r="H374" s="765" t="e">
        <f>#REF!/$B$6</f>
        <v>#REF!</v>
      </c>
      <c r="I374" s="765" t="e">
        <f>#REF!/$B$6</f>
        <v>#REF!</v>
      </c>
      <c r="J374" s="765" t="e">
        <f>#REF!/$B$6</f>
        <v>#REF!</v>
      </c>
      <c r="K374" s="765" t="e">
        <f>#REF!/$B$6</f>
        <v>#REF!</v>
      </c>
      <c r="L374" s="765" t="e">
        <f>#REF!/$B$6</f>
        <v>#REF!</v>
      </c>
      <c r="M374" s="765" t="e">
        <f>#REF!/$B$6</f>
        <v>#REF!</v>
      </c>
      <c r="N374" s="765" t="e">
        <f>#REF!/$B$6</f>
        <v>#REF!</v>
      </c>
      <c r="O374" s="765" t="e">
        <f>#REF!/$B$6</f>
        <v>#REF!</v>
      </c>
      <c r="P374" s="765" t="e">
        <f>#REF!/$B$6</f>
        <v>#REF!</v>
      </c>
      <c r="Q374" s="765" t="e">
        <f>#REF!/$B$6</f>
        <v>#REF!</v>
      </c>
      <c r="R374" s="765" t="e">
        <f>#REF!/$B$6</f>
        <v>#REF!</v>
      </c>
      <c r="S374" s="765" t="e">
        <f>#REF!/$B$6</f>
        <v>#REF!</v>
      </c>
      <c r="T374" s="765" t="e">
        <f>#REF!/$B$6</f>
        <v>#REF!</v>
      </c>
      <c r="U374" s="765" t="e">
        <f>#REF!/$B$6</f>
        <v>#REF!</v>
      </c>
      <c r="V374" s="765" t="e">
        <f>#REF!/$B$6</f>
        <v>#REF!</v>
      </c>
      <c r="W374" s="765" t="e">
        <f>#REF!/$B$6</f>
        <v>#REF!</v>
      </c>
      <c r="X374" s="765" t="e">
        <f>#REF!/$B$6</f>
        <v>#REF!</v>
      </c>
      <c r="Y374" s="765" t="e">
        <f>#REF!/$B$6</f>
        <v>#REF!</v>
      </c>
      <c r="Z374" s="765" t="e">
        <f>#REF!/$B$6</f>
        <v>#REF!</v>
      </c>
      <c r="AA374" s="765" t="e">
        <f>#REF!/$B$6</f>
        <v>#REF!</v>
      </c>
    </row>
    <row r="375" spans="1:27" ht="15">
      <c r="B375" s="736"/>
    </row>
    <row r="380" spans="1:27">
      <c r="A380" s="735" t="s">
        <v>589</v>
      </c>
      <c r="B380" s="735">
        <f>B$12</f>
        <v>2003</v>
      </c>
      <c r="C380" s="735">
        <f t="shared" ref="C380:AA380" si="217">C$12</f>
        <v>2004</v>
      </c>
      <c r="D380" s="735">
        <f t="shared" si="217"/>
        <v>2005</v>
      </c>
      <c r="E380" s="735">
        <f t="shared" si="217"/>
        <v>2006</v>
      </c>
      <c r="F380" s="735">
        <f t="shared" si="217"/>
        <v>2007</v>
      </c>
      <c r="G380" s="735">
        <f t="shared" si="217"/>
        <v>2008</v>
      </c>
      <c r="H380" s="735">
        <f t="shared" si="217"/>
        <v>2009</v>
      </c>
      <c r="I380" s="735">
        <f t="shared" si="217"/>
        <v>2010</v>
      </c>
      <c r="J380" s="735">
        <f t="shared" si="217"/>
        <v>2011</v>
      </c>
      <c r="K380" s="735">
        <f t="shared" si="217"/>
        <v>2012</v>
      </c>
      <c r="L380" s="735">
        <f t="shared" si="217"/>
        <v>2013</v>
      </c>
      <c r="M380" s="735">
        <f t="shared" si="217"/>
        <v>2014</v>
      </c>
      <c r="N380" s="735">
        <f t="shared" si="217"/>
        <v>2015</v>
      </c>
      <c r="O380" s="735">
        <f t="shared" si="217"/>
        <v>2016</v>
      </c>
      <c r="P380" s="735">
        <f t="shared" si="217"/>
        <v>2017</v>
      </c>
      <c r="Q380" s="735">
        <f t="shared" si="217"/>
        <v>2018</v>
      </c>
      <c r="R380" s="735">
        <f t="shared" si="217"/>
        <v>2019</v>
      </c>
      <c r="S380" s="735">
        <f t="shared" si="217"/>
        <v>2020</v>
      </c>
      <c r="T380" s="735">
        <f t="shared" si="217"/>
        <v>2021</v>
      </c>
      <c r="U380" s="735">
        <f t="shared" si="217"/>
        <v>2022</v>
      </c>
      <c r="V380" s="735">
        <f t="shared" si="217"/>
        <v>2023</v>
      </c>
      <c r="W380" s="735">
        <f t="shared" si="217"/>
        <v>2024</v>
      </c>
      <c r="X380" s="735">
        <f t="shared" si="217"/>
        <v>2025</v>
      </c>
      <c r="Y380" s="735">
        <f t="shared" si="217"/>
        <v>2026</v>
      </c>
      <c r="Z380" s="735">
        <f t="shared" si="217"/>
        <v>2027</v>
      </c>
      <c r="AA380" s="735">
        <f t="shared" si="217"/>
        <v>2028</v>
      </c>
    </row>
    <row r="381" spans="1:27" ht="15">
      <c r="B381" s="736"/>
      <c r="C381" s="736"/>
      <c r="D381" s="736"/>
      <c r="E381" s="736"/>
      <c r="F381" s="736"/>
      <c r="G381" s="736"/>
      <c r="H381" s="736"/>
      <c r="I381" s="736"/>
      <c r="J381" s="736"/>
      <c r="K381" s="736"/>
      <c r="L381" s="736"/>
      <c r="M381" s="736"/>
      <c r="N381" s="736"/>
      <c r="O381" s="736"/>
      <c r="P381" s="736"/>
      <c r="Q381" s="736"/>
      <c r="R381" s="736"/>
      <c r="S381" s="736"/>
      <c r="T381" s="736"/>
      <c r="U381" s="736"/>
      <c r="V381" s="736"/>
      <c r="W381" s="736"/>
      <c r="X381" s="736"/>
      <c r="Y381" s="736"/>
      <c r="Z381" s="736"/>
      <c r="AA381" s="736"/>
    </row>
    <row r="382" spans="1:27" ht="15">
      <c r="A382" s="730" t="s">
        <v>721</v>
      </c>
      <c r="B382" s="742" t="e">
        <f>#REF!/$B$6</f>
        <v>#REF!</v>
      </c>
      <c r="C382" s="742" t="e">
        <f>#REF!/$B$6</f>
        <v>#REF!</v>
      </c>
      <c r="D382" s="742" t="e">
        <f>#REF!/$B$6</f>
        <v>#REF!</v>
      </c>
      <c r="E382" s="742" t="e">
        <f>#REF!/$B$6</f>
        <v>#REF!</v>
      </c>
      <c r="F382" s="742" t="e">
        <f>#REF!/$B$6</f>
        <v>#REF!</v>
      </c>
      <c r="G382" s="742" t="e">
        <f>#REF!/$B$6</f>
        <v>#REF!</v>
      </c>
      <c r="H382" s="742" t="e">
        <f>#REF!/$B$6</f>
        <v>#REF!</v>
      </c>
      <c r="I382" s="742" t="e">
        <f>#REF!/$B$6</f>
        <v>#REF!</v>
      </c>
      <c r="J382" s="742" t="e">
        <f>#REF!/$B$6</f>
        <v>#REF!</v>
      </c>
      <c r="K382" s="742" t="e">
        <f>#REF!/$B$6</f>
        <v>#REF!</v>
      </c>
      <c r="L382" s="742" t="e">
        <f>#REF!/$B$6</f>
        <v>#REF!</v>
      </c>
      <c r="M382" s="742" t="e">
        <f>#REF!/$B$6</f>
        <v>#REF!</v>
      </c>
      <c r="N382" s="742" t="e">
        <f>#REF!/$B$6</f>
        <v>#REF!</v>
      </c>
      <c r="O382" s="742" t="e">
        <f>#REF!/$B$6</f>
        <v>#REF!</v>
      </c>
      <c r="P382" s="742" t="e">
        <f>#REF!/$B$6</f>
        <v>#REF!</v>
      </c>
      <c r="Q382" s="742" t="e">
        <f>#REF!/$B$6</f>
        <v>#REF!</v>
      </c>
      <c r="R382" s="742" t="e">
        <f>#REF!/$B$6</f>
        <v>#REF!</v>
      </c>
      <c r="S382" s="742" t="e">
        <f>#REF!/$B$6</f>
        <v>#REF!</v>
      </c>
      <c r="T382" s="742" t="e">
        <f>#REF!/$B$6</f>
        <v>#REF!</v>
      </c>
      <c r="U382" s="742" t="e">
        <f>#REF!/$B$6</f>
        <v>#REF!</v>
      </c>
      <c r="V382" s="742" t="e">
        <f>#REF!/$B$6</f>
        <v>#REF!</v>
      </c>
      <c r="W382" s="742" t="e">
        <f>#REF!/$B$6</f>
        <v>#REF!</v>
      </c>
      <c r="X382" s="742" t="e">
        <f>#REF!/$B$6</f>
        <v>#REF!</v>
      </c>
      <c r="Y382" s="742" t="e">
        <f>#REF!/$B$6</f>
        <v>#REF!</v>
      </c>
      <c r="Z382" s="742" t="e">
        <f>#REF!/$B$6</f>
        <v>#REF!</v>
      </c>
      <c r="AA382" s="742" t="e">
        <f>#REF!/$B$6</f>
        <v>#REF!</v>
      </c>
    </row>
    <row r="383" spans="1:27" ht="15">
      <c r="A383" s="730" t="s">
        <v>722</v>
      </c>
      <c r="B383" s="742" t="e">
        <f>#REF!/$B$6</f>
        <v>#REF!</v>
      </c>
      <c r="C383" s="742" t="e">
        <f>#REF!/$B$6</f>
        <v>#REF!</v>
      </c>
      <c r="D383" s="742" t="e">
        <f>#REF!/$B$6</f>
        <v>#REF!</v>
      </c>
      <c r="E383" s="742" t="e">
        <f>#REF!/$B$6</f>
        <v>#REF!</v>
      </c>
      <c r="F383" s="742" t="e">
        <f>#REF!/$B$6</f>
        <v>#REF!</v>
      </c>
      <c r="G383" s="742" t="e">
        <f>#REF!/$B$6</f>
        <v>#REF!</v>
      </c>
      <c r="H383" s="742" t="e">
        <f>#REF!/$B$6</f>
        <v>#REF!</v>
      </c>
      <c r="I383" s="742" t="e">
        <f>#REF!/$B$6</f>
        <v>#REF!</v>
      </c>
      <c r="J383" s="742" t="e">
        <f>#REF!/$B$6</f>
        <v>#REF!</v>
      </c>
      <c r="K383" s="742" t="e">
        <f>#REF!/$B$6</f>
        <v>#REF!</v>
      </c>
      <c r="L383" s="742" t="e">
        <f>#REF!/$B$6</f>
        <v>#REF!</v>
      </c>
      <c r="M383" s="742" t="e">
        <f>#REF!/$B$6</f>
        <v>#REF!</v>
      </c>
      <c r="N383" s="742" t="e">
        <f>#REF!/$B$6</f>
        <v>#REF!</v>
      </c>
      <c r="O383" s="742" t="e">
        <f>#REF!/$B$6</f>
        <v>#REF!</v>
      </c>
      <c r="P383" s="742" t="e">
        <f>#REF!/$B$6</f>
        <v>#REF!</v>
      </c>
      <c r="Q383" s="742" t="e">
        <f>#REF!/$B$6</f>
        <v>#REF!</v>
      </c>
      <c r="R383" s="742" t="e">
        <f>#REF!/$B$6</f>
        <v>#REF!</v>
      </c>
      <c r="S383" s="742" t="e">
        <f>#REF!/$B$6</f>
        <v>#REF!</v>
      </c>
      <c r="T383" s="742" t="e">
        <f>#REF!/$B$6</f>
        <v>#REF!</v>
      </c>
      <c r="U383" s="742" t="e">
        <f>#REF!/$B$6</f>
        <v>#REF!</v>
      </c>
      <c r="V383" s="742" t="e">
        <f>#REF!/$B$6</f>
        <v>#REF!</v>
      </c>
      <c r="W383" s="742" t="e">
        <f>#REF!/$B$6</f>
        <v>#REF!</v>
      </c>
      <c r="X383" s="742" t="e">
        <f>#REF!/$B$6</f>
        <v>#REF!</v>
      </c>
      <c r="Y383" s="742" t="e">
        <f>#REF!/$B$6</f>
        <v>#REF!</v>
      </c>
      <c r="Z383" s="742" t="e">
        <f>#REF!/$B$6</f>
        <v>#REF!</v>
      </c>
      <c r="AA383" s="742" t="e">
        <f>#REF!/$B$6</f>
        <v>#REF!</v>
      </c>
    </row>
    <row r="384" spans="1:27" ht="15">
      <c r="A384" s="730" t="s">
        <v>723</v>
      </c>
      <c r="B384" s="742" t="e">
        <f>#REF!/$B$6</f>
        <v>#REF!</v>
      </c>
      <c r="C384" s="742" t="e">
        <f>#REF!/$B$6</f>
        <v>#REF!</v>
      </c>
      <c r="D384" s="742" t="e">
        <f>#REF!/$B$6</f>
        <v>#REF!</v>
      </c>
      <c r="E384" s="742" t="e">
        <f>#REF!/$B$6</f>
        <v>#REF!</v>
      </c>
      <c r="F384" s="742" t="e">
        <f>#REF!/$B$6</f>
        <v>#REF!</v>
      </c>
      <c r="G384" s="742" t="e">
        <f>#REF!/$B$6</f>
        <v>#REF!</v>
      </c>
      <c r="H384" s="742" t="e">
        <f>#REF!/$B$6</f>
        <v>#REF!</v>
      </c>
      <c r="I384" s="742" t="e">
        <f>#REF!/$B$6</f>
        <v>#REF!</v>
      </c>
      <c r="J384" s="742" t="e">
        <f>#REF!/$B$6</f>
        <v>#REF!</v>
      </c>
      <c r="K384" s="742" t="e">
        <f>#REF!/$B$6</f>
        <v>#REF!</v>
      </c>
      <c r="L384" s="742" t="e">
        <f>#REF!/$B$6</f>
        <v>#REF!</v>
      </c>
      <c r="M384" s="742" t="e">
        <f>#REF!/$B$6</f>
        <v>#REF!</v>
      </c>
      <c r="N384" s="742" t="e">
        <f>#REF!/$B$6</f>
        <v>#REF!</v>
      </c>
      <c r="O384" s="742" t="e">
        <f>#REF!/$B$6</f>
        <v>#REF!</v>
      </c>
      <c r="P384" s="742" t="e">
        <f>#REF!/$B$6</f>
        <v>#REF!</v>
      </c>
      <c r="Q384" s="742" t="e">
        <f>#REF!/$B$6</f>
        <v>#REF!</v>
      </c>
      <c r="R384" s="742" t="e">
        <f>#REF!/$B$6</f>
        <v>#REF!</v>
      </c>
      <c r="S384" s="742" t="e">
        <f>#REF!/$B$6</f>
        <v>#REF!</v>
      </c>
      <c r="T384" s="742" t="e">
        <f>#REF!/$B$6</f>
        <v>#REF!</v>
      </c>
      <c r="U384" s="742" t="e">
        <f>#REF!/$B$6</f>
        <v>#REF!</v>
      </c>
      <c r="V384" s="742" t="e">
        <f>#REF!/$B$6</f>
        <v>#REF!</v>
      </c>
      <c r="W384" s="742" t="e">
        <f>#REF!/$B$6</f>
        <v>#REF!</v>
      </c>
      <c r="X384" s="742" t="e">
        <f>#REF!/$B$6</f>
        <v>#REF!</v>
      </c>
      <c r="Y384" s="742" t="e">
        <f>#REF!/$B$6</f>
        <v>#REF!</v>
      </c>
      <c r="Z384" s="742" t="e">
        <f>#REF!/$B$6</f>
        <v>#REF!</v>
      </c>
      <c r="AA384" s="742" t="e">
        <f>#REF!/$B$6</f>
        <v>#REF!</v>
      </c>
    </row>
    <row r="385" spans="1:27">
      <c r="A385" s="760" t="s">
        <v>724</v>
      </c>
      <c r="B385" s="765" t="e">
        <f>SUM(B382:B384)</f>
        <v>#REF!</v>
      </c>
      <c r="C385" s="765" t="e">
        <f t="shared" ref="C385:Z385" si="218">SUM(C382:C384)</f>
        <v>#REF!</v>
      </c>
      <c r="D385" s="765" t="e">
        <f t="shared" si="218"/>
        <v>#REF!</v>
      </c>
      <c r="E385" s="765" t="e">
        <f t="shared" si="218"/>
        <v>#REF!</v>
      </c>
      <c r="F385" s="765" t="e">
        <f t="shared" si="218"/>
        <v>#REF!</v>
      </c>
      <c r="G385" s="765" t="e">
        <f t="shared" si="218"/>
        <v>#REF!</v>
      </c>
      <c r="H385" s="765" t="e">
        <f t="shared" si="218"/>
        <v>#REF!</v>
      </c>
      <c r="I385" s="765" t="e">
        <f t="shared" si="218"/>
        <v>#REF!</v>
      </c>
      <c r="J385" s="765" t="e">
        <f t="shared" si="218"/>
        <v>#REF!</v>
      </c>
      <c r="K385" s="765" t="e">
        <f t="shared" si="218"/>
        <v>#REF!</v>
      </c>
      <c r="L385" s="765" t="e">
        <f t="shared" si="218"/>
        <v>#REF!</v>
      </c>
      <c r="M385" s="765" t="e">
        <f t="shared" si="218"/>
        <v>#REF!</v>
      </c>
      <c r="N385" s="765" t="e">
        <f t="shared" si="218"/>
        <v>#REF!</v>
      </c>
      <c r="O385" s="765" t="e">
        <f t="shared" si="218"/>
        <v>#REF!</v>
      </c>
      <c r="P385" s="765" t="e">
        <f t="shared" si="218"/>
        <v>#REF!</v>
      </c>
      <c r="Q385" s="765" t="e">
        <f t="shared" si="218"/>
        <v>#REF!</v>
      </c>
      <c r="R385" s="765" t="e">
        <f t="shared" si="218"/>
        <v>#REF!</v>
      </c>
      <c r="S385" s="765" t="e">
        <f t="shared" si="218"/>
        <v>#REF!</v>
      </c>
      <c r="T385" s="765" t="e">
        <f t="shared" si="218"/>
        <v>#REF!</v>
      </c>
      <c r="U385" s="765" t="e">
        <f t="shared" si="218"/>
        <v>#REF!</v>
      </c>
      <c r="V385" s="765" t="e">
        <f t="shared" si="218"/>
        <v>#REF!</v>
      </c>
      <c r="W385" s="765" t="e">
        <f t="shared" si="218"/>
        <v>#REF!</v>
      </c>
      <c r="X385" s="765" t="e">
        <f t="shared" si="218"/>
        <v>#REF!</v>
      </c>
      <c r="Y385" s="765" t="e">
        <f t="shared" si="218"/>
        <v>#REF!</v>
      </c>
      <c r="Z385" s="765" t="e">
        <f t="shared" si="218"/>
        <v>#REF!</v>
      </c>
      <c r="AA385" s="765" t="e">
        <f t="shared" ref="AA385" si="219">SUM(AA382:AA384)</f>
        <v>#REF!</v>
      </c>
    </row>
    <row r="387" spans="1:27">
      <c r="A387" s="732" t="s">
        <v>725</v>
      </c>
    </row>
    <row r="388" spans="1:27" ht="15">
      <c r="A388" s="730" t="s">
        <v>726</v>
      </c>
      <c r="B388" s="742" t="e">
        <f>#REF!/$B$6</f>
        <v>#REF!</v>
      </c>
      <c r="C388" s="742" t="e">
        <f>#REF!/$B$6</f>
        <v>#REF!</v>
      </c>
      <c r="D388" s="742" t="e">
        <f>#REF!/$B$6</f>
        <v>#REF!</v>
      </c>
      <c r="E388" s="742" t="e">
        <f>#REF!/$B$6</f>
        <v>#REF!</v>
      </c>
      <c r="F388" s="742" t="e">
        <f>#REF!/$B$6</f>
        <v>#REF!</v>
      </c>
      <c r="G388" s="742" t="e">
        <f>#REF!/$B$6</f>
        <v>#REF!</v>
      </c>
      <c r="H388" s="742" t="e">
        <f>#REF!/$B$6</f>
        <v>#REF!</v>
      </c>
      <c r="I388" s="742" t="e">
        <f>#REF!/$B$6</f>
        <v>#REF!</v>
      </c>
      <c r="J388" s="742" t="e">
        <f>#REF!/$B$6</f>
        <v>#REF!</v>
      </c>
      <c r="K388" s="742" t="e">
        <f>#REF!/$B$6</f>
        <v>#REF!</v>
      </c>
      <c r="L388" s="742" t="e">
        <f>#REF!/$B$6</f>
        <v>#REF!</v>
      </c>
      <c r="M388" s="742" t="e">
        <f>#REF!/$B$6</f>
        <v>#REF!</v>
      </c>
      <c r="N388" s="742" t="e">
        <f>#REF!/$B$6</f>
        <v>#REF!</v>
      </c>
      <c r="O388" s="742" t="e">
        <f>#REF!/$B$6</f>
        <v>#REF!</v>
      </c>
      <c r="P388" s="742" t="e">
        <f>#REF!/$B$6</f>
        <v>#REF!</v>
      </c>
      <c r="Q388" s="742" t="e">
        <f>#REF!/$B$6</f>
        <v>#REF!</v>
      </c>
      <c r="R388" s="742" t="e">
        <f>#REF!/$B$6</f>
        <v>#REF!</v>
      </c>
      <c r="S388" s="742" t="e">
        <f>#REF!/$B$6</f>
        <v>#REF!</v>
      </c>
      <c r="T388" s="742" t="e">
        <f>#REF!/$B$6</f>
        <v>#REF!</v>
      </c>
      <c r="U388" s="742" t="e">
        <f>#REF!/$B$6</f>
        <v>#REF!</v>
      </c>
      <c r="V388" s="742" t="e">
        <f>#REF!/$B$6</f>
        <v>#REF!</v>
      </c>
      <c r="W388" s="742" t="e">
        <f>#REF!/$B$6</f>
        <v>#REF!</v>
      </c>
      <c r="X388" s="742" t="e">
        <f>#REF!/$B$6</f>
        <v>#REF!</v>
      </c>
      <c r="Y388" s="742" t="e">
        <f>#REF!/$B$6</f>
        <v>#REF!</v>
      </c>
      <c r="Z388" s="742" t="e">
        <f>#REF!/$B$6</f>
        <v>#REF!</v>
      </c>
      <c r="AA388" s="742" t="e">
        <f>#REF!/$B$6</f>
        <v>#REF!</v>
      </c>
    </row>
    <row r="389" spans="1:27" ht="15">
      <c r="A389" s="730" t="s">
        <v>727</v>
      </c>
      <c r="B389" s="742" t="e">
        <f>#REF!/$B$6</f>
        <v>#REF!</v>
      </c>
      <c r="C389" s="742" t="e">
        <f>#REF!/$B$6</f>
        <v>#REF!</v>
      </c>
      <c r="D389" s="742" t="e">
        <f>#REF!/$B$6</f>
        <v>#REF!</v>
      </c>
      <c r="E389" s="742" t="e">
        <f>#REF!/$B$6</f>
        <v>#REF!</v>
      </c>
      <c r="F389" s="742" t="e">
        <f>#REF!/$B$6</f>
        <v>#REF!</v>
      </c>
      <c r="G389" s="742" t="e">
        <f>#REF!/$B$6</f>
        <v>#REF!</v>
      </c>
      <c r="H389" s="742" t="e">
        <f>#REF!/$B$6</f>
        <v>#REF!</v>
      </c>
      <c r="I389" s="742" t="e">
        <f>#REF!/$B$6</f>
        <v>#REF!</v>
      </c>
      <c r="J389" s="742" t="e">
        <f>#REF!/$B$6</f>
        <v>#REF!</v>
      </c>
      <c r="K389" s="742" t="e">
        <f>#REF!/$B$6</f>
        <v>#REF!</v>
      </c>
      <c r="L389" s="742" t="e">
        <f>#REF!/$B$6</f>
        <v>#REF!</v>
      </c>
      <c r="M389" s="742" t="e">
        <f>#REF!/$B$6</f>
        <v>#REF!</v>
      </c>
      <c r="N389" s="742" t="e">
        <f>#REF!/$B$6</f>
        <v>#REF!</v>
      </c>
      <c r="O389" s="742" t="e">
        <f>#REF!/$B$6</f>
        <v>#REF!</v>
      </c>
      <c r="P389" s="742" t="e">
        <f>#REF!/$B$6</f>
        <v>#REF!</v>
      </c>
      <c r="Q389" s="742" t="e">
        <f>#REF!/$B$6</f>
        <v>#REF!</v>
      </c>
      <c r="R389" s="742" t="e">
        <f>#REF!/$B$6</f>
        <v>#REF!</v>
      </c>
      <c r="S389" s="742" t="e">
        <f>#REF!/$B$6</f>
        <v>#REF!</v>
      </c>
      <c r="T389" s="742" t="e">
        <f>#REF!/$B$6</f>
        <v>#REF!</v>
      </c>
      <c r="U389" s="742" t="e">
        <f>#REF!/$B$6</f>
        <v>#REF!</v>
      </c>
      <c r="V389" s="742" t="e">
        <f>#REF!/$B$6</f>
        <v>#REF!</v>
      </c>
      <c r="W389" s="742" t="e">
        <f>#REF!/$B$6</f>
        <v>#REF!</v>
      </c>
      <c r="X389" s="742" t="e">
        <f>#REF!/$B$6</f>
        <v>#REF!</v>
      </c>
      <c r="Y389" s="742" t="e">
        <f>#REF!/$B$6</f>
        <v>#REF!</v>
      </c>
      <c r="Z389" s="742" t="e">
        <f>#REF!/$B$6</f>
        <v>#REF!</v>
      </c>
      <c r="AA389" s="742" t="e">
        <f>#REF!/$B$6</f>
        <v>#REF!</v>
      </c>
    </row>
    <row r="390" spans="1:27" ht="15">
      <c r="A390" s="730" t="s">
        <v>728</v>
      </c>
      <c r="B390" s="742" t="e">
        <f>#REF!/$B$6</f>
        <v>#REF!</v>
      </c>
      <c r="C390" s="742" t="e">
        <f>#REF!/$B$6</f>
        <v>#REF!</v>
      </c>
      <c r="D390" s="742" t="e">
        <f>#REF!/$B$6</f>
        <v>#REF!</v>
      </c>
      <c r="E390" s="742" t="e">
        <f>#REF!/$B$6</f>
        <v>#REF!</v>
      </c>
      <c r="F390" s="742" t="e">
        <f>#REF!/$B$6</f>
        <v>#REF!</v>
      </c>
      <c r="G390" s="742" t="e">
        <f>#REF!/$B$6</f>
        <v>#REF!</v>
      </c>
      <c r="H390" s="742" t="e">
        <f>#REF!/$B$6</f>
        <v>#REF!</v>
      </c>
      <c r="I390" s="742" t="e">
        <f>#REF!/$B$6</f>
        <v>#REF!</v>
      </c>
      <c r="J390" s="742" t="e">
        <f>#REF!/$B$6</f>
        <v>#REF!</v>
      </c>
      <c r="K390" s="742" t="e">
        <f>#REF!/$B$6</f>
        <v>#REF!</v>
      </c>
      <c r="L390" s="742" t="e">
        <f>#REF!/$B$6</f>
        <v>#REF!</v>
      </c>
      <c r="M390" s="742" t="e">
        <f>#REF!/$B$6</f>
        <v>#REF!</v>
      </c>
      <c r="N390" s="742" t="e">
        <f>#REF!/$B$6</f>
        <v>#REF!</v>
      </c>
      <c r="O390" s="742" t="e">
        <f>#REF!/$B$6</f>
        <v>#REF!</v>
      </c>
      <c r="P390" s="742" t="e">
        <f>#REF!/$B$6</f>
        <v>#REF!</v>
      </c>
      <c r="Q390" s="742" t="e">
        <f>#REF!/$B$6</f>
        <v>#REF!</v>
      </c>
      <c r="R390" s="742" t="e">
        <f>#REF!/$B$6</f>
        <v>#REF!</v>
      </c>
      <c r="S390" s="742" t="e">
        <f>#REF!/$B$6</f>
        <v>#REF!</v>
      </c>
      <c r="T390" s="742" t="e">
        <f>#REF!/$B$6</f>
        <v>#REF!</v>
      </c>
      <c r="U390" s="742" t="e">
        <f>#REF!/$B$6</f>
        <v>#REF!</v>
      </c>
      <c r="V390" s="742" t="e">
        <f>#REF!/$B$6</f>
        <v>#REF!</v>
      </c>
      <c r="W390" s="742" t="e">
        <f>#REF!/$B$6</f>
        <v>#REF!</v>
      </c>
      <c r="X390" s="742" t="e">
        <f>#REF!/$B$6</f>
        <v>#REF!</v>
      </c>
      <c r="Y390" s="742" t="e">
        <f>#REF!/$B$6</f>
        <v>#REF!</v>
      </c>
      <c r="Z390" s="742" t="e">
        <f>#REF!/$B$6</f>
        <v>#REF!</v>
      </c>
      <c r="AA390" s="742" t="e">
        <f>#REF!/$B$6</f>
        <v>#REF!</v>
      </c>
    </row>
    <row r="391" spans="1:27">
      <c r="A391" s="760" t="s">
        <v>729</v>
      </c>
      <c r="B391" s="765" t="e">
        <f>SUM(B388:B390)</f>
        <v>#REF!</v>
      </c>
      <c r="C391" s="765" t="e">
        <f t="shared" ref="C391:Z391" si="220">SUM(C388:C390)</f>
        <v>#REF!</v>
      </c>
      <c r="D391" s="765" t="e">
        <f t="shared" si="220"/>
        <v>#REF!</v>
      </c>
      <c r="E391" s="765" t="e">
        <f t="shared" si="220"/>
        <v>#REF!</v>
      </c>
      <c r="F391" s="765" t="e">
        <f t="shared" si="220"/>
        <v>#REF!</v>
      </c>
      <c r="G391" s="765" t="e">
        <f t="shared" si="220"/>
        <v>#REF!</v>
      </c>
      <c r="H391" s="765" t="e">
        <f t="shared" si="220"/>
        <v>#REF!</v>
      </c>
      <c r="I391" s="765" t="e">
        <f t="shared" si="220"/>
        <v>#REF!</v>
      </c>
      <c r="J391" s="765" t="e">
        <f t="shared" si="220"/>
        <v>#REF!</v>
      </c>
      <c r="K391" s="765" t="e">
        <f t="shared" si="220"/>
        <v>#REF!</v>
      </c>
      <c r="L391" s="765" t="e">
        <f t="shared" si="220"/>
        <v>#REF!</v>
      </c>
      <c r="M391" s="765" t="e">
        <f t="shared" si="220"/>
        <v>#REF!</v>
      </c>
      <c r="N391" s="765" t="e">
        <f t="shared" si="220"/>
        <v>#REF!</v>
      </c>
      <c r="O391" s="765" t="e">
        <f t="shared" si="220"/>
        <v>#REF!</v>
      </c>
      <c r="P391" s="765" t="e">
        <f t="shared" si="220"/>
        <v>#REF!</v>
      </c>
      <c r="Q391" s="765" t="e">
        <f t="shared" si="220"/>
        <v>#REF!</v>
      </c>
      <c r="R391" s="765" t="e">
        <f t="shared" si="220"/>
        <v>#REF!</v>
      </c>
      <c r="S391" s="765" t="e">
        <f t="shared" si="220"/>
        <v>#REF!</v>
      </c>
      <c r="T391" s="765" t="e">
        <f t="shared" si="220"/>
        <v>#REF!</v>
      </c>
      <c r="U391" s="765" t="e">
        <f t="shared" si="220"/>
        <v>#REF!</v>
      </c>
      <c r="V391" s="765" t="e">
        <f t="shared" si="220"/>
        <v>#REF!</v>
      </c>
      <c r="W391" s="765" t="e">
        <f t="shared" si="220"/>
        <v>#REF!</v>
      </c>
      <c r="X391" s="765" t="e">
        <f t="shared" si="220"/>
        <v>#REF!</v>
      </c>
      <c r="Y391" s="765" t="e">
        <f t="shared" si="220"/>
        <v>#REF!</v>
      </c>
      <c r="Z391" s="765" t="e">
        <f t="shared" si="220"/>
        <v>#REF!</v>
      </c>
      <c r="AA391" s="765" t="e">
        <f t="shared" ref="AA391" si="221">SUM(AA388:AA390)</f>
        <v>#REF!</v>
      </c>
    </row>
    <row r="393" spans="1:27" ht="15">
      <c r="A393" s="730" t="s">
        <v>730</v>
      </c>
      <c r="B393" s="742" t="e">
        <f>#REF!/$B$6</f>
        <v>#REF!</v>
      </c>
      <c r="C393" s="742" t="e">
        <f>#REF!/$B$6</f>
        <v>#REF!</v>
      </c>
      <c r="D393" s="742" t="e">
        <f>#REF!/$B$6</f>
        <v>#REF!</v>
      </c>
      <c r="E393" s="742" t="e">
        <f>#REF!/$B$6</f>
        <v>#REF!</v>
      </c>
      <c r="F393" s="742" t="e">
        <f>#REF!/$B$6</f>
        <v>#REF!</v>
      </c>
      <c r="G393" s="742" t="e">
        <f>#REF!/$B$6</f>
        <v>#REF!</v>
      </c>
      <c r="H393" s="742" t="e">
        <f>#REF!/$B$6</f>
        <v>#REF!</v>
      </c>
      <c r="I393" s="742" t="e">
        <f>#REF!/$B$6</f>
        <v>#REF!</v>
      </c>
      <c r="J393" s="742" t="e">
        <f>#REF!/$B$6</f>
        <v>#REF!</v>
      </c>
      <c r="K393" s="742" t="e">
        <f>#REF!/$B$6</f>
        <v>#REF!</v>
      </c>
      <c r="L393" s="742" t="e">
        <f>#REF!/$B$6</f>
        <v>#REF!</v>
      </c>
      <c r="M393" s="742" t="e">
        <f>#REF!/$B$6</f>
        <v>#REF!</v>
      </c>
      <c r="N393" s="742" t="e">
        <f>#REF!/$B$6</f>
        <v>#REF!</v>
      </c>
      <c r="O393" s="742" t="e">
        <f>#REF!/$B$6</f>
        <v>#REF!</v>
      </c>
      <c r="P393" s="742" t="e">
        <f>#REF!/$B$6</f>
        <v>#REF!</v>
      </c>
      <c r="Q393" s="742" t="e">
        <f>#REF!/$B$6</f>
        <v>#REF!</v>
      </c>
      <c r="R393" s="742" t="e">
        <f>#REF!/$B$6</f>
        <v>#REF!</v>
      </c>
      <c r="S393" s="742" t="e">
        <f>#REF!/$B$6</f>
        <v>#REF!</v>
      </c>
      <c r="T393" s="742" t="e">
        <f>#REF!/$B$6</f>
        <v>#REF!</v>
      </c>
      <c r="U393" s="742" t="e">
        <f>#REF!/$B$6</f>
        <v>#REF!</v>
      </c>
      <c r="V393" s="742" t="e">
        <f>#REF!/$B$6</f>
        <v>#REF!</v>
      </c>
      <c r="W393" s="742" t="e">
        <f>#REF!/$B$6</f>
        <v>#REF!</v>
      </c>
      <c r="X393" s="742" t="e">
        <f>#REF!/$B$6</f>
        <v>#REF!</v>
      </c>
      <c r="Y393" s="742" t="e">
        <f>#REF!/$B$6</f>
        <v>#REF!</v>
      </c>
      <c r="Z393" s="742" t="e">
        <f>#REF!/$B$6</f>
        <v>#REF!</v>
      </c>
      <c r="AA393" s="742" t="e">
        <f>#REF!/$B$6</f>
        <v>#REF!</v>
      </c>
    </row>
    <row r="394" spans="1:27" ht="15">
      <c r="A394" s="730" t="s">
        <v>731</v>
      </c>
      <c r="B394" s="742" t="e">
        <f>#REF!/$B$6</f>
        <v>#REF!</v>
      </c>
      <c r="C394" s="742" t="e">
        <f>#REF!/$B$6</f>
        <v>#REF!</v>
      </c>
      <c r="D394" s="742" t="e">
        <f>#REF!/$B$6</f>
        <v>#REF!</v>
      </c>
      <c r="E394" s="742" t="e">
        <f>#REF!/$B$6</f>
        <v>#REF!</v>
      </c>
      <c r="F394" s="742" t="e">
        <f>#REF!/$B$6</f>
        <v>#REF!</v>
      </c>
      <c r="G394" s="742" t="e">
        <f>#REF!/$B$6</f>
        <v>#REF!</v>
      </c>
      <c r="H394" s="742" t="e">
        <f>#REF!/$B$6</f>
        <v>#REF!</v>
      </c>
      <c r="I394" s="742" t="e">
        <f>#REF!/$B$6</f>
        <v>#REF!</v>
      </c>
      <c r="J394" s="742" t="e">
        <f>#REF!/$B$6</f>
        <v>#REF!</v>
      </c>
      <c r="K394" s="742" t="e">
        <f>#REF!/$B$6</f>
        <v>#REF!</v>
      </c>
      <c r="L394" s="742" t="e">
        <f>#REF!/$B$6</f>
        <v>#REF!</v>
      </c>
      <c r="M394" s="742" t="e">
        <f>#REF!/$B$6</f>
        <v>#REF!</v>
      </c>
      <c r="N394" s="742" t="e">
        <f>#REF!/$B$6</f>
        <v>#REF!</v>
      </c>
      <c r="O394" s="742" t="e">
        <f>#REF!/$B$6</f>
        <v>#REF!</v>
      </c>
      <c r="P394" s="742" t="e">
        <f>#REF!/$B$6</f>
        <v>#REF!</v>
      </c>
      <c r="Q394" s="742" t="e">
        <f>#REF!/$B$6</f>
        <v>#REF!</v>
      </c>
      <c r="R394" s="742" t="e">
        <f>#REF!/$B$6</f>
        <v>#REF!</v>
      </c>
      <c r="S394" s="742" t="e">
        <f>#REF!/$B$6</f>
        <v>#REF!</v>
      </c>
      <c r="T394" s="742" t="e">
        <f>#REF!/$B$6</f>
        <v>#REF!</v>
      </c>
      <c r="U394" s="742" t="e">
        <f>#REF!/$B$6</f>
        <v>#REF!</v>
      </c>
      <c r="V394" s="742" t="e">
        <f>#REF!/$B$6</f>
        <v>#REF!</v>
      </c>
      <c r="W394" s="742" t="e">
        <f>#REF!/$B$6</f>
        <v>#REF!</v>
      </c>
      <c r="X394" s="742" t="e">
        <f>#REF!/$B$6</f>
        <v>#REF!</v>
      </c>
      <c r="Y394" s="742" t="e">
        <f>#REF!/$B$6</f>
        <v>#REF!</v>
      </c>
      <c r="Z394" s="742" t="e">
        <f>#REF!/$B$6</f>
        <v>#REF!</v>
      </c>
      <c r="AA394" s="742" t="e">
        <f>#REF!/$B$6</f>
        <v>#REF!</v>
      </c>
    </row>
    <row r="395" spans="1:27">
      <c r="A395" s="760" t="s">
        <v>732</v>
      </c>
      <c r="B395" s="765" t="e">
        <f>SUM(B393:B394)</f>
        <v>#REF!</v>
      </c>
      <c r="C395" s="765" t="e">
        <f t="shared" ref="C395:Z395" si="222">SUM(C393:C394)</f>
        <v>#REF!</v>
      </c>
      <c r="D395" s="765" t="e">
        <f t="shared" si="222"/>
        <v>#REF!</v>
      </c>
      <c r="E395" s="765" t="e">
        <f t="shared" si="222"/>
        <v>#REF!</v>
      </c>
      <c r="F395" s="765" t="e">
        <f t="shared" si="222"/>
        <v>#REF!</v>
      </c>
      <c r="G395" s="765" t="e">
        <f t="shared" si="222"/>
        <v>#REF!</v>
      </c>
      <c r="H395" s="765" t="e">
        <f t="shared" si="222"/>
        <v>#REF!</v>
      </c>
      <c r="I395" s="765" t="e">
        <f t="shared" si="222"/>
        <v>#REF!</v>
      </c>
      <c r="J395" s="765" t="e">
        <f t="shared" si="222"/>
        <v>#REF!</v>
      </c>
      <c r="K395" s="765" t="e">
        <f t="shared" si="222"/>
        <v>#REF!</v>
      </c>
      <c r="L395" s="765" t="e">
        <f t="shared" si="222"/>
        <v>#REF!</v>
      </c>
      <c r="M395" s="765" t="e">
        <f t="shared" si="222"/>
        <v>#REF!</v>
      </c>
      <c r="N395" s="765" t="e">
        <f t="shared" si="222"/>
        <v>#REF!</v>
      </c>
      <c r="O395" s="765" t="e">
        <f t="shared" si="222"/>
        <v>#REF!</v>
      </c>
      <c r="P395" s="765" t="e">
        <f t="shared" si="222"/>
        <v>#REF!</v>
      </c>
      <c r="Q395" s="765" t="e">
        <f t="shared" si="222"/>
        <v>#REF!</v>
      </c>
      <c r="R395" s="765" t="e">
        <f t="shared" si="222"/>
        <v>#REF!</v>
      </c>
      <c r="S395" s="765" t="e">
        <f t="shared" si="222"/>
        <v>#REF!</v>
      </c>
      <c r="T395" s="765" t="e">
        <f t="shared" si="222"/>
        <v>#REF!</v>
      </c>
      <c r="U395" s="765" t="e">
        <f t="shared" si="222"/>
        <v>#REF!</v>
      </c>
      <c r="V395" s="765" t="e">
        <f t="shared" si="222"/>
        <v>#REF!</v>
      </c>
      <c r="W395" s="765" t="e">
        <f t="shared" si="222"/>
        <v>#REF!</v>
      </c>
      <c r="X395" s="765" t="e">
        <f t="shared" si="222"/>
        <v>#REF!</v>
      </c>
      <c r="Y395" s="765" t="e">
        <f t="shared" si="222"/>
        <v>#REF!</v>
      </c>
      <c r="Z395" s="765" t="e">
        <f t="shared" si="222"/>
        <v>#REF!</v>
      </c>
      <c r="AA395" s="765" t="e">
        <f t="shared" ref="AA395" si="223">SUM(AA393:AA394)</f>
        <v>#REF!</v>
      </c>
    </row>
    <row r="405" spans="1:27">
      <c r="A405" s="735" t="s">
        <v>594</v>
      </c>
      <c r="B405" s="735">
        <f>B$12</f>
        <v>2003</v>
      </c>
      <c r="C405" s="735">
        <f t="shared" ref="C405:AA405" si="224">C$12</f>
        <v>2004</v>
      </c>
      <c r="D405" s="735">
        <f t="shared" si="224"/>
        <v>2005</v>
      </c>
      <c r="E405" s="735">
        <f t="shared" si="224"/>
        <v>2006</v>
      </c>
      <c r="F405" s="735">
        <f t="shared" si="224"/>
        <v>2007</v>
      </c>
      <c r="G405" s="735">
        <f t="shared" si="224"/>
        <v>2008</v>
      </c>
      <c r="H405" s="735">
        <f t="shared" si="224"/>
        <v>2009</v>
      </c>
      <c r="I405" s="735">
        <f t="shared" si="224"/>
        <v>2010</v>
      </c>
      <c r="J405" s="735">
        <f t="shared" si="224"/>
        <v>2011</v>
      </c>
      <c r="K405" s="735">
        <f t="shared" si="224"/>
        <v>2012</v>
      </c>
      <c r="L405" s="735">
        <f t="shared" si="224"/>
        <v>2013</v>
      </c>
      <c r="M405" s="735">
        <f t="shared" si="224"/>
        <v>2014</v>
      </c>
      <c r="N405" s="735">
        <f t="shared" si="224"/>
        <v>2015</v>
      </c>
      <c r="O405" s="735">
        <f t="shared" si="224"/>
        <v>2016</v>
      </c>
      <c r="P405" s="735">
        <f t="shared" si="224"/>
        <v>2017</v>
      </c>
      <c r="Q405" s="735">
        <f t="shared" si="224"/>
        <v>2018</v>
      </c>
      <c r="R405" s="735">
        <f t="shared" si="224"/>
        <v>2019</v>
      </c>
      <c r="S405" s="735">
        <f t="shared" si="224"/>
        <v>2020</v>
      </c>
      <c r="T405" s="735">
        <f t="shared" si="224"/>
        <v>2021</v>
      </c>
      <c r="U405" s="735">
        <f t="shared" si="224"/>
        <v>2022</v>
      </c>
      <c r="V405" s="735">
        <f t="shared" si="224"/>
        <v>2023</v>
      </c>
      <c r="W405" s="735">
        <f t="shared" si="224"/>
        <v>2024</v>
      </c>
      <c r="X405" s="735">
        <f t="shared" si="224"/>
        <v>2025</v>
      </c>
      <c r="Y405" s="735">
        <f t="shared" si="224"/>
        <v>2026</v>
      </c>
      <c r="Z405" s="735">
        <f t="shared" si="224"/>
        <v>2027</v>
      </c>
      <c r="AA405" s="735">
        <f t="shared" si="224"/>
        <v>2028</v>
      </c>
    </row>
    <row r="407" spans="1:27" ht="15">
      <c r="A407" s="730" t="s">
        <v>733</v>
      </c>
      <c r="B407" s="742" t="e">
        <f>#REF!/$B$6</f>
        <v>#REF!</v>
      </c>
      <c r="C407" s="742" t="e">
        <f>#REF!/$B$6</f>
        <v>#REF!</v>
      </c>
      <c r="D407" s="742" t="e">
        <f>#REF!/$B$6</f>
        <v>#REF!</v>
      </c>
      <c r="E407" s="742" t="e">
        <f>#REF!/$B$6</f>
        <v>#REF!</v>
      </c>
      <c r="F407" s="742" t="e">
        <f>#REF!/$B$6</f>
        <v>#REF!</v>
      </c>
      <c r="G407" s="742" t="e">
        <f>#REF!/$B$6</f>
        <v>#REF!</v>
      </c>
      <c r="H407" s="742" t="e">
        <f>#REF!/$B$6</f>
        <v>#REF!</v>
      </c>
      <c r="I407" s="742" t="e">
        <f>#REF!/$B$6</f>
        <v>#REF!</v>
      </c>
      <c r="J407" s="742" t="e">
        <f>#REF!/$B$6</f>
        <v>#REF!</v>
      </c>
      <c r="K407" s="742" t="e">
        <f>#REF!/$B$6</f>
        <v>#REF!</v>
      </c>
      <c r="L407" s="742" t="e">
        <f>#REF!/$B$6</f>
        <v>#REF!</v>
      </c>
      <c r="M407" s="742" t="e">
        <f>#REF!/$B$6</f>
        <v>#REF!</v>
      </c>
      <c r="N407" s="742" t="e">
        <f>#REF!/$B$6</f>
        <v>#REF!</v>
      </c>
      <c r="O407" s="742" t="e">
        <f>#REF!/$B$6</f>
        <v>#REF!</v>
      </c>
      <c r="P407" s="742" t="e">
        <f>#REF!/$B$6</f>
        <v>#REF!</v>
      </c>
      <c r="Q407" s="742" t="e">
        <f>#REF!/$B$6</f>
        <v>#REF!</v>
      </c>
      <c r="R407" s="742" t="e">
        <f>#REF!/$B$6</f>
        <v>#REF!</v>
      </c>
      <c r="S407" s="742" t="e">
        <f>#REF!/$B$6</f>
        <v>#REF!</v>
      </c>
      <c r="T407" s="742" t="e">
        <f>#REF!/$B$6</f>
        <v>#REF!</v>
      </c>
      <c r="U407" s="742" t="e">
        <f>#REF!/$B$6</f>
        <v>#REF!</v>
      </c>
      <c r="V407" s="742" t="e">
        <f>#REF!/$B$6</f>
        <v>#REF!</v>
      </c>
      <c r="W407" s="742" t="e">
        <f>#REF!/$B$6</f>
        <v>#REF!</v>
      </c>
      <c r="X407" s="742" t="e">
        <f>#REF!/$B$6</f>
        <v>#REF!</v>
      </c>
      <c r="Y407" s="742" t="e">
        <f>#REF!/$B$6</f>
        <v>#REF!</v>
      </c>
      <c r="Z407" s="742" t="e">
        <f>#REF!/$B$6</f>
        <v>#REF!</v>
      </c>
      <c r="AA407" s="742" t="e">
        <f>#REF!/$B$6</f>
        <v>#REF!</v>
      </c>
    </row>
    <row r="408" spans="1:27" ht="15">
      <c r="A408" s="730" t="s">
        <v>734</v>
      </c>
      <c r="B408" s="742" t="e">
        <f>#REF!/$B$6</f>
        <v>#REF!</v>
      </c>
      <c r="C408" s="742" t="e">
        <f>#REF!/$B$6</f>
        <v>#REF!</v>
      </c>
      <c r="D408" s="742" t="e">
        <f>#REF!/$B$6</f>
        <v>#REF!</v>
      </c>
      <c r="E408" s="742" t="e">
        <f>#REF!/$B$6</f>
        <v>#REF!</v>
      </c>
      <c r="F408" s="742" t="e">
        <f>#REF!/$B$6</f>
        <v>#REF!</v>
      </c>
      <c r="G408" s="742" t="e">
        <f>#REF!/$B$6</f>
        <v>#REF!</v>
      </c>
      <c r="H408" s="742" t="e">
        <f>#REF!/$B$6</f>
        <v>#REF!</v>
      </c>
      <c r="I408" s="742" t="e">
        <f>#REF!/$B$6</f>
        <v>#REF!</v>
      </c>
      <c r="J408" s="742" t="e">
        <f>#REF!/$B$6</f>
        <v>#REF!</v>
      </c>
      <c r="K408" s="742" t="e">
        <f>#REF!/$B$6</f>
        <v>#REF!</v>
      </c>
      <c r="L408" s="742" t="e">
        <f>#REF!/$B$6</f>
        <v>#REF!</v>
      </c>
      <c r="M408" s="742" t="e">
        <f>#REF!/$B$6</f>
        <v>#REF!</v>
      </c>
      <c r="N408" s="742" t="e">
        <f>#REF!/$B$6</f>
        <v>#REF!</v>
      </c>
      <c r="O408" s="742" t="e">
        <f>#REF!/$B$6</f>
        <v>#REF!</v>
      </c>
      <c r="P408" s="742" t="e">
        <f>#REF!/$B$6</f>
        <v>#REF!</v>
      </c>
      <c r="Q408" s="742" t="e">
        <f>#REF!/$B$6</f>
        <v>#REF!</v>
      </c>
      <c r="R408" s="742" t="e">
        <f>#REF!/$B$6</f>
        <v>#REF!</v>
      </c>
      <c r="S408" s="742" t="e">
        <f>#REF!/$B$6</f>
        <v>#REF!</v>
      </c>
      <c r="T408" s="742" t="e">
        <f>#REF!/$B$6</f>
        <v>#REF!</v>
      </c>
      <c r="U408" s="742" t="e">
        <f>#REF!/$B$6</f>
        <v>#REF!</v>
      </c>
      <c r="V408" s="742" t="e">
        <f>#REF!/$B$6</f>
        <v>#REF!</v>
      </c>
      <c r="W408" s="742" t="e">
        <f>#REF!/$B$6</f>
        <v>#REF!</v>
      </c>
      <c r="X408" s="742" t="e">
        <f>#REF!/$B$6</f>
        <v>#REF!</v>
      </c>
      <c r="Y408" s="742" t="e">
        <f>#REF!/$B$6</f>
        <v>#REF!</v>
      </c>
      <c r="Z408" s="742" t="e">
        <f>#REF!/$B$6</f>
        <v>#REF!</v>
      </c>
      <c r="AA408" s="742" t="e">
        <f>#REF!/$B$6</f>
        <v>#REF!</v>
      </c>
    </row>
    <row r="409" spans="1:27" ht="15">
      <c r="A409" s="730" t="s">
        <v>735</v>
      </c>
      <c r="B409" s="742" t="e">
        <f>#REF!/$B$6</f>
        <v>#REF!</v>
      </c>
      <c r="C409" s="742" t="e">
        <f>#REF!/$B$6</f>
        <v>#REF!</v>
      </c>
      <c r="D409" s="742" t="e">
        <f>#REF!/$B$6</f>
        <v>#REF!</v>
      </c>
      <c r="E409" s="742" t="e">
        <f>#REF!/$B$6</f>
        <v>#REF!</v>
      </c>
      <c r="F409" s="742" t="e">
        <f>#REF!/$B$6</f>
        <v>#REF!</v>
      </c>
      <c r="G409" s="742" t="e">
        <f>#REF!/$B$6</f>
        <v>#REF!</v>
      </c>
      <c r="H409" s="742" t="e">
        <f>#REF!/$B$6</f>
        <v>#REF!</v>
      </c>
      <c r="I409" s="742" t="e">
        <f>#REF!/$B$6</f>
        <v>#REF!</v>
      </c>
      <c r="J409" s="742" t="e">
        <f>#REF!/$B$6</f>
        <v>#REF!</v>
      </c>
      <c r="K409" s="742" t="e">
        <f>#REF!/$B$6</f>
        <v>#REF!</v>
      </c>
      <c r="L409" s="742" t="e">
        <f>#REF!/$B$6</f>
        <v>#REF!</v>
      </c>
      <c r="M409" s="742" t="e">
        <f>#REF!/$B$6</f>
        <v>#REF!</v>
      </c>
      <c r="N409" s="742" t="e">
        <f>#REF!/$B$6</f>
        <v>#REF!</v>
      </c>
      <c r="O409" s="742" t="e">
        <f>#REF!/$B$6</f>
        <v>#REF!</v>
      </c>
      <c r="P409" s="742" t="e">
        <f>#REF!/$B$6</f>
        <v>#REF!</v>
      </c>
      <c r="Q409" s="742" t="e">
        <f>#REF!/$B$6</f>
        <v>#REF!</v>
      </c>
      <c r="R409" s="742" t="e">
        <f>#REF!/$B$6</f>
        <v>#REF!</v>
      </c>
      <c r="S409" s="742" t="e">
        <f>#REF!/$B$6</f>
        <v>#REF!</v>
      </c>
      <c r="T409" s="742" t="e">
        <f>#REF!/$B$6</f>
        <v>#REF!</v>
      </c>
      <c r="U409" s="742" t="e">
        <f>#REF!/$B$6</f>
        <v>#REF!</v>
      </c>
      <c r="V409" s="742" t="e">
        <f>#REF!/$B$6</f>
        <v>#REF!</v>
      </c>
      <c r="W409" s="742" t="e">
        <f>#REF!/$B$6</f>
        <v>#REF!</v>
      </c>
      <c r="X409" s="742" t="e">
        <f>#REF!/$B$6</f>
        <v>#REF!</v>
      </c>
      <c r="Y409" s="742" t="e">
        <f>#REF!/$B$6</f>
        <v>#REF!</v>
      </c>
      <c r="Z409" s="742" t="e">
        <f>#REF!/$B$6</f>
        <v>#REF!</v>
      </c>
      <c r="AA409" s="742" t="e">
        <f>#REF!/$B$6</f>
        <v>#REF!</v>
      </c>
    </row>
    <row r="410" spans="1:27">
      <c r="A410" s="760" t="s">
        <v>736</v>
      </c>
      <c r="B410" s="765" t="e">
        <f>SUM(B407:B409)</f>
        <v>#REF!</v>
      </c>
      <c r="C410" s="765" t="e">
        <f t="shared" ref="C410:Z410" si="225">SUM(C407:C409)</f>
        <v>#REF!</v>
      </c>
      <c r="D410" s="765" t="e">
        <f t="shared" si="225"/>
        <v>#REF!</v>
      </c>
      <c r="E410" s="765" t="e">
        <f t="shared" si="225"/>
        <v>#REF!</v>
      </c>
      <c r="F410" s="765" t="e">
        <f t="shared" si="225"/>
        <v>#REF!</v>
      </c>
      <c r="G410" s="765" t="e">
        <f t="shared" si="225"/>
        <v>#REF!</v>
      </c>
      <c r="H410" s="765" t="e">
        <f t="shared" si="225"/>
        <v>#REF!</v>
      </c>
      <c r="I410" s="765" t="e">
        <f t="shared" si="225"/>
        <v>#REF!</v>
      </c>
      <c r="J410" s="765" t="e">
        <f t="shared" si="225"/>
        <v>#REF!</v>
      </c>
      <c r="K410" s="765" t="e">
        <f t="shared" si="225"/>
        <v>#REF!</v>
      </c>
      <c r="L410" s="765" t="e">
        <f t="shared" si="225"/>
        <v>#REF!</v>
      </c>
      <c r="M410" s="765" t="e">
        <f t="shared" si="225"/>
        <v>#REF!</v>
      </c>
      <c r="N410" s="765" t="e">
        <f t="shared" si="225"/>
        <v>#REF!</v>
      </c>
      <c r="O410" s="765" t="e">
        <f t="shared" si="225"/>
        <v>#REF!</v>
      </c>
      <c r="P410" s="765" t="e">
        <f t="shared" si="225"/>
        <v>#REF!</v>
      </c>
      <c r="Q410" s="765" t="e">
        <f t="shared" si="225"/>
        <v>#REF!</v>
      </c>
      <c r="R410" s="765" t="e">
        <f t="shared" si="225"/>
        <v>#REF!</v>
      </c>
      <c r="S410" s="765" t="e">
        <f t="shared" si="225"/>
        <v>#REF!</v>
      </c>
      <c r="T410" s="765" t="e">
        <f t="shared" si="225"/>
        <v>#REF!</v>
      </c>
      <c r="U410" s="765" t="e">
        <f t="shared" si="225"/>
        <v>#REF!</v>
      </c>
      <c r="V410" s="765" t="e">
        <f t="shared" si="225"/>
        <v>#REF!</v>
      </c>
      <c r="W410" s="765" t="e">
        <f t="shared" si="225"/>
        <v>#REF!</v>
      </c>
      <c r="X410" s="765" t="e">
        <f t="shared" si="225"/>
        <v>#REF!</v>
      </c>
      <c r="Y410" s="765" t="e">
        <f t="shared" si="225"/>
        <v>#REF!</v>
      </c>
      <c r="Z410" s="765" t="e">
        <f t="shared" si="225"/>
        <v>#REF!</v>
      </c>
      <c r="AA410" s="765" t="e">
        <f t="shared" ref="AA410" si="226">SUM(AA407:AA409)</f>
        <v>#REF!</v>
      </c>
    </row>
    <row r="412" spans="1:27">
      <c r="A412" s="732" t="s">
        <v>737</v>
      </c>
    </row>
    <row r="413" spans="1:27" ht="15">
      <c r="A413" s="730" t="s">
        <v>738</v>
      </c>
      <c r="B413" s="742" t="e">
        <f>#REF!/$B$6</f>
        <v>#REF!</v>
      </c>
      <c r="C413" s="742" t="e">
        <f>#REF!/$B$6</f>
        <v>#REF!</v>
      </c>
      <c r="D413" s="742" t="e">
        <f>#REF!/$B$6</f>
        <v>#REF!</v>
      </c>
      <c r="E413" s="742" t="e">
        <f>#REF!/$B$6</f>
        <v>#REF!</v>
      </c>
      <c r="F413" s="742" t="e">
        <f>#REF!/$B$6</f>
        <v>#REF!</v>
      </c>
      <c r="G413" s="742" t="e">
        <f>#REF!/$B$6</f>
        <v>#REF!</v>
      </c>
      <c r="H413" s="742" t="e">
        <f>#REF!/$B$6</f>
        <v>#REF!</v>
      </c>
      <c r="I413" s="742" t="e">
        <f>#REF!/$B$6</f>
        <v>#REF!</v>
      </c>
      <c r="J413" s="742" t="e">
        <f>#REF!/$B$6</f>
        <v>#REF!</v>
      </c>
      <c r="K413" s="742" t="e">
        <f>#REF!/$B$6</f>
        <v>#REF!</v>
      </c>
      <c r="L413" s="742" t="e">
        <f>#REF!/$B$6</f>
        <v>#REF!</v>
      </c>
      <c r="M413" s="742" t="e">
        <f>#REF!/$B$6</f>
        <v>#REF!</v>
      </c>
      <c r="N413" s="742" t="e">
        <f>#REF!/$B$6</f>
        <v>#REF!</v>
      </c>
      <c r="O413" s="742" t="e">
        <f>#REF!/$B$6</f>
        <v>#REF!</v>
      </c>
      <c r="P413" s="742" t="e">
        <f>#REF!/$B$6</f>
        <v>#REF!</v>
      </c>
      <c r="Q413" s="742" t="e">
        <f>#REF!/$B$6</f>
        <v>#REF!</v>
      </c>
      <c r="R413" s="742" t="e">
        <f>#REF!/$B$6</f>
        <v>#REF!</v>
      </c>
      <c r="S413" s="742" t="e">
        <f>#REF!/$B$6</f>
        <v>#REF!</v>
      </c>
      <c r="T413" s="742" t="e">
        <f>#REF!/$B$6</f>
        <v>#REF!</v>
      </c>
      <c r="U413" s="742" t="e">
        <f>#REF!/$B$6</f>
        <v>#REF!</v>
      </c>
      <c r="V413" s="742" t="e">
        <f>#REF!/$B$6</f>
        <v>#REF!</v>
      </c>
      <c r="W413" s="742" t="e">
        <f>#REF!/$B$6</f>
        <v>#REF!</v>
      </c>
      <c r="X413" s="742" t="e">
        <f>#REF!/$B$6</f>
        <v>#REF!</v>
      </c>
      <c r="Y413" s="742" t="e">
        <f>#REF!/$B$6</f>
        <v>#REF!</v>
      </c>
      <c r="Z413" s="742" t="e">
        <f>#REF!/$B$6</f>
        <v>#REF!</v>
      </c>
      <c r="AA413" s="742" t="e">
        <f>#REF!/$B$6</f>
        <v>#REF!</v>
      </c>
    </row>
    <row r="414" spans="1:27" ht="15">
      <c r="A414" s="730" t="s">
        <v>739</v>
      </c>
      <c r="B414" s="742" t="e">
        <f>#REF!/$B$6</f>
        <v>#REF!</v>
      </c>
      <c r="C414" s="742" t="e">
        <f>#REF!/$B$6</f>
        <v>#REF!</v>
      </c>
      <c r="D414" s="742" t="e">
        <f>#REF!/$B$6</f>
        <v>#REF!</v>
      </c>
      <c r="E414" s="742" t="e">
        <f>#REF!/$B$6</f>
        <v>#REF!</v>
      </c>
      <c r="F414" s="742" t="e">
        <f>#REF!/$B$6</f>
        <v>#REF!</v>
      </c>
      <c r="G414" s="742" t="e">
        <f>#REF!/$B$6</f>
        <v>#REF!</v>
      </c>
      <c r="H414" s="742" t="e">
        <f>#REF!/$B$6</f>
        <v>#REF!</v>
      </c>
      <c r="I414" s="742" t="e">
        <f>#REF!/$B$6</f>
        <v>#REF!</v>
      </c>
      <c r="J414" s="742" t="e">
        <f>#REF!/$B$6</f>
        <v>#REF!</v>
      </c>
      <c r="K414" s="742" t="e">
        <f>#REF!/$B$6</f>
        <v>#REF!</v>
      </c>
      <c r="L414" s="742" t="e">
        <f>#REF!/$B$6</f>
        <v>#REF!</v>
      </c>
      <c r="M414" s="742" t="e">
        <f>#REF!/$B$6</f>
        <v>#REF!</v>
      </c>
      <c r="N414" s="742" t="e">
        <f>#REF!/$B$6</f>
        <v>#REF!</v>
      </c>
      <c r="O414" s="742" t="e">
        <f>#REF!/$B$6</f>
        <v>#REF!</v>
      </c>
      <c r="P414" s="742" t="e">
        <f>#REF!/$B$6</f>
        <v>#REF!</v>
      </c>
      <c r="Q414" s="742" t="e">
        <f>#REF!/$B$6</f>
        <v>#REF!</v>
      </c>
      <c r="R414" s="742" t="e">
        <f>#REF!/$B$6</f>
        <v>#REF!</v>
      </c>
      <c r="S414" s="742" t="e">
        <f>#REF!/$B$6</f>
        <v>#REF!</v>
      </c>
      <c r="T414" s="742" t="e">
        <f>#REF!/$B$6</f>
        <v>#REF!</v>
      </c>
      <c r="U414" s="742" t="e">
        <f>#REF!/$B$6</f>
        <v>#REF!</v>
      </c>
      <c r="V414" s="742" t="e">
        <f>#REF!/$B$6</f>
        <v>#REF!</v>
      </c>
      <c r="W414" s="742" t="e">
        <f>#REF!/$B$6</f>
        <v>#REF!</v>
      </c>
      <c r="X414" s="742" t="e">
        <f>#REF!/$B$6</f>
        <v>#REF!</v>
      </c>
      <c r="Y414" s="742" t="e">
        <f>#REF!/$B$6</f>
        <v>#REF!</v>
      </c>
      <c r="Z414" s="742" t="e">
        <f>#REF!/$B$6</f>
        <v>#REF!</v>
      </c>
      <c r="AA414" s="742" t="e">
        <f>#REF!/$B$6</f>
        <v>#REF!</v>
      </c>
    </row>
    <row r="415" spans="1:27" ht="15">
      <c r="A415" s="730" t="s">
        <v>740</v>
      </c>
      <c r="B415" s="742" t="e">
        <f>#REF!/$B$6</f>
        <v>#REF!</v>
      </c>
      <c r="C415" s="742" t="e">
        <f>#REF!/$B$6</f>
        <v>#REF!</v>
      </c>
      <c r="D415" s="742" t="e">
        <f>#REF!/$B$6</f>
        <v>#REF!</v>
      </c>
      <c r="E415" s="742" t="e">
        <f>#REF!/$B$6</f>
        <v>#REF!</v>
      </c>
      <c r="F415" s="742" t="e">
        <f>#REF!/$B$6</f>
        <v>#REF!</v>
      </c>
      <c r="G415" s="742" t="e">
        <f>#REF!/$B$6</f>
        <v>#REF!</v>
      </c>
      <c r="H415" s="742" t="e">
        <f>#REF!/$B$6</f>
        <v>#REF!</v>
      </c>
      <c r="I415" s="742" t="e">
        <f>#REF!/$B$6</f>
        <v>#REF!</v>
      </c>
      <c r="J415" s="742" t="e">
        <f>#REF!/$B$6</f>
        <v>#REF!</v>
      </c>
      <c r="K415" s="742" t="e">
        <f>#REF!/$B$6</f>
        <v>#REF!</v>
      </c>
      <c r="L415" s="742" t="e">
        <f>#REF!/$B$6</f>
        <v>#REF!</v>
      </c>
      <c r="M415" s="742" t="e">
        <f>#REF!/$B$6</f>
        <v>#REF!</v>
      </c>
      <c r="N415" s="742" t="e">
        <f>#REF!/$B$6</f>
        <v>#REF!</v>
      </c>
      <c r="O415" s="742" t="e">
        <f>#REF!/$B$6</f>
        <v>#REF!</v>
      </c>
      <c r="P415" s="742" t="e">
        <f>#REF!/$B$6</f>
        <v>#REF!</v>
      </c>
      <c r="Q415" s="742" t="e">
        <f>#REF!/$B$6</f>
        <v>#REF!</v>
      </c>
      <c r="R415" s="742" t="e">
        <f>#REF!/$B$6</f>
        <v>#REF!</v>
      </c>
      <c r="S415" s="742" t="e">
        <f>#REF!/$B$6</f>
        <v>#REF!</v>
      </c>
      <c r="T415" s="742" t="e">
        <f>#REF!/$B$6</f>
        <v>#REF!</v>
      </c>
      <c r="U415" s="742" t="e">
        <f>#REF!/$B$6</f>
        <v>#REF!</v>
      </c>
      <c r="V415" s="742" t="e">
        <f>#REF!/$B$6</f>
        <v>#REF!</v>
      </c>
      <c r="W415" s="742" t="e">
        <f>#REF!/$B$6</f>
        <v>#REF!</v>
      </c>
      <c r="X415" s="742" t="e">
        <f>#REF!/$B$6</f>
        <v>#REF!</v>
      </c>
      <c r="Y415" s="742" t="e">
        <f>#REF!/$B$6</f>
        <v>#REF!</v>
      </c>
      <c r="Z415" s="742" t="e">
        <f>#REF!/$B$6</f>
        <v>#REF!</v>
      </c>
      <c r="AA415" s="742" t="e">
        <f>#REF!/$B$6</f>
        <v>#REF!</v>
      </c>
    </row>
    <row r="416" spans="1:27">
      <c r="A416" s="760" t="s">
        <v>741</v>
      </c>
      <c r="B416" s="765" t="e">
        <f>SUM(B413:B415)</f>
        <v>#REF!</v>
      </c>
      <c r="C416" s="765" t="e">
        <f t="shared" ref="C416:Z416" si="227">SUM(C413:C415)</f>
        <v>#REF!</v>
      </c>
      <c r="D416" s="765" t="e">
        <f t="shared" si="227"/>
        <v>#REF!</v>
      </c>
      <c r="E416" s="765" t="e">
        <f t="shared" si="227"/>
        <v>#REF!</v>
      </c>
      <c r="F416" s="765" t="e">
        <f t="shared" si="227"/>
        <v>#REF!</v>
      </c>
      <c r="G416" s="765" t="e">
        <f t="shared" si="227"/>
        <v>#REF!</v>
      </c>
      <c r="H416" s="765" t="e">
        <f t="shared" si="227"/>
        <v>#REF!</v>
      </c>
      <c r="I416" s="765" t="e">
        <f t="shared" si="227"/>
        <v>#REF!</v>
      </c>
      <c r="J416" s="765" t="e">
        <f t="shared" si="227"/>
        <v>#REF!</v>
      </c>
      <c r="K416" s="765" t="e">
        <f t="shared" si="227"/>
        <v>#REF!</v>
      </c>
      <c r="L416" s="765" t="e">
        <f t="shared" si="227"/>
        <v>#REF!</v>
      </c>
      <c r="M416" s="765" t="e">
        <f t="shared" si="227"/>
        <v>#REF!</v>
      </c>
      <c r="N416" s="765" t="e">
        <f t="shared" si="227"/>
        <v>#REF!</v>
      </c>
      <c r="O416" s="765" t="e">
        <f t="shared" si="227"/>
        <v>#REF!</v>
      </c>
      <c r="P416" s="765" t="e">
        <f t="shared" si="227"/>
        <v>#REF!</v>
      </c>
      <c r="Q416" s="765" t="e">
        <f t="shared" si="227"/>
        <v>#REF!</v>
      </c>
      <c r="R416" s="765" t="e">
        <f t="shared" si="227"/>
        <v>#REF!</v>
      </c>
      <c r="S416" s="765" t="e">
        <f t="shared" si="227"/>
        <v>#REF!</v>
      </c>
      <c r="T416" s="765" t="e">
        <f t="shared" si="227"/>
        <v>#REF!</v>
      </c>
      <c r="U416" s="765" t="e">
        <f t="shared" si="227"/>
        <v>#REF!</v>
      </c>
      <c r="V416" s="765" t="e">
        <f t="shared" si="227"/>
        <v>#REF!</v>
      </c>
      <c r="W416" s="765" t="e">
        <f t="shared" si="227"/>
        <v>#REF!</v>
      </c>
      <c r="X416" s="765" t="e">
        <f t="shared" si="227"/>
        <v>#REF!</v>
      </c>
      <c r="Y416" s="765" t="e">
        <f t="shared" si="227"/>
        <v>#REF!</v>
      </c>
      <c r="Z416" s="765" t="e">
        <f t="shared" si="227"/>
        <v>#REF!</v>
      </c>
      <c r="AA416" s="765" t="e">
        <f t="shared" ref="AA416" si="228">SUM(AA413:AA415)</f>
        <v>#REF!</v>
      </c>
    </row>
    <row r="418" spans="1:27" ht="15">
      <c r="A418" s="730" t="s">
        <v>730</v>
      </c>
      <c r="B418" s="742" t="e">
        <f>#REF!/$B$6</f>
        <v>#REF!</v>
      </c>
      <c r="C418" s="742" t="e">
        <f>#REF!/$B$6</f>
        <v>#REF!</v>
      </c>
      <c r="D418" s="742" t="e">
        <f>#REF!/$B$6</f>
        <v>#REF!</v>
      </c>
      <c r="E418" s="742" t="e">
        <f>#REF!/$B$6</f>
        <v>#REF!</v>
      </c>
      <c r="F418" s="742" t="e">
        <f>#REF!/$B$6</f>
        <v>#REF!</v>
      </c>
      <c r="G418" s="742" t="e">
        <f>#REF!/$B$6</f>
        <v>#REF!</v>
      </c>
      <c r="H418" s="742" t="e">
        <f>#REF!/$B$6</f>
        <v>#REF!</v>
      </c>
      <c r="I418" s="742" t="e">
        <f>#REF!/$B$6</f>
        <v>#REF!</v>
      </c>
      <c r="J418" s="742" t="e">
        <f>#REF!/$B$6</f>
        <v>#REF!</v>
      </c>
      <c r="K418" s="742" t="e">
        <f>#REF!/$B$6</f>
        <v>#REF!</v>
      </c>
      <c r="L418" s="742" t="e">
        <f>#REF!/$B$6</f>
        <v>#REF!</v>
      </c>
      <c r="M418" s="742" t="e">
        <f>#REF!/$B$6</f>
        <v>#REF!</v>
      </c>
      <c r="N418" s="742" t="e">
        <f>#REF!/$B$6</f>
        <v>#REF!</v>
      </c>
      <c r="O418" s="742" t="e">
        <f>#REF!/$B$6</f>
        <v>#REF!</v>
      </c>
      <c r="P418" s="742" t="e">
        <f>#REF!/$B$6</f>
        <v>#REF!</v>
      </c>
      <c r="Q418" s="742" t="e">
        <f>#REF!/$B$6</f>
        <v>#REF!</v>
      </c>
      <c r="R418" s="742" t="e">
        <f>#REF!/$B$6</f>
        <v>#REF!</v>
      </c>
      <c r="S418" s="742" t="e">
        <f>#REF!/$B$6</f>
        <v>#REF!</v>
      </c>
      <c r="T418" s="742" t="e">
        <f>#REF!/$B$6</f>
        <v>#REF!</v>
      </c>
      <c r="U418" s="742" t="e">
        <f>#REF!/$B$6</f>
        <v>#REF!</v>
      </c>
      <c r="V418" s="742" t="e">
        <f>#REF!/$B$6</f>
        <v>#REF!</v>
      </c>
      <c r="W418" s="742" t="e">
        <f>#REF!/$B$6</f>
        <v>#REF!</v>
      </c>
      <c r="X418" s="742" t="e">
        <f>#REF!/$B$6</f>
        <v>#REF!</v>
      </c>
      <c r="Y418" s="742" t="e">
        <f>#REF!/$B$6</f>
        <v>#REF!</v>
      </c>
      <c r="Z418" s="742" t="e">
        <f>#REF!/$B$6</f>
        <v>#REF!</v>
      </c>
      <c r="AA418" s="742" t="e">
        <f>#REF!/$B$6</f>
        <v>#REF!</v>
      </c>
    </row>
    <row r="419" spans="1:27" ht="15">
      <c r="A419" s="730" t="s">
        <v>731</v>
      </c>
      <c r="B419" s="742" t="e">
        <f>#REF!/$B$6</f>
        <v>#REF!</v>
      </c>
      <c r="C419" s="742" t="e">
        <f>#REF!/$B$6</f>
        <v>#REF!</v>
      </c>
      <c r="D419" s="742" t="e">
        <f>#REF!/$B$6</f>
        <v>#REF!</v>
      </c>
      <c r="E419" s="742" t="e">
        <f>#REF!/$B$6</f>
        <v>#REF!</v>
      </c>
      <c r="F419" s="742" t="e">
        <f>#REF!/$B$6</f>
        <v>#REF!</v>
      </c>
      <c r="G419" s="742" t="e">
        <f>#REF!/$B$6</f>
        <v>#REF!</v>
      </c>
      <c r="H419" s="742" t="e">
        <f>#REF!/$B$6</f>
        <v>#REF!</v>
      </c>
      <c r="I419" s="742" t="e">
        <f>#REF!/$B$6</f>
        <v>#REF!</v>
      </c>
      <c r="J419" s="742" t="e">
        <f>#REF!/$B$6</f>
        <v>#REF!</v>
      </c>
      <c r="K419" s="742" t="e">
        <f>#REF!/$B$6</f>
        <v>#REF!</v>
      </c>
      <c r="L419" s="742" t="e">
        <f>#REF!/$B$6</f>
        <v>#REF!</v>
      </c>
      <c r="M419" s="742" t="e">
        <f>#REF!/$B$6</f>
        <v>#REF!</v>
      </c>
      <c r="N419" s="742" t="e">
        <f>#REF!/$B$6</f>
        <v>#REF!</v>
      </c>
      <c r="O419" s="742" t="e">
        <f>#REF!/$B$6</f>
        <v>#REF!</v>
      </c>
      <c r="P419" s="742" t="e">
        <f>#REF!/$B$6</f>
        <v>#REF!</v>
      </c>
      <c r="Q419" s="742" t="e">
        <f>#REF!/$B$6</f>
        <v>#REF!</v>
      </c>
      <c r="R419" s="742" t="e">
        <f>#REF!/$B$6</f>
        <v>#REF!</v>
      </c>
      <c r="S419" s="742" t="e">
        <f>#REF!/$B$6</f>
        <v>#REF!</v>
      </c>
      <c r="T419" s="742" t="e">
        <f>#REF!/$B$6</f>
        <v>#REF!</v>
      </c>
      <c r="U419" s="742" t="e">
        <f>#REF!/$B$6</f>
        <v>#REF!</v>
      </c>
      <c r="V419" s="742" t="e">
        <f>#REF!/$B$6</f>
        <v>#REF!</v>
      </c>
      <c r="W419" s="742" t="e">
        <f>#REF!/$B$6</f>
        <v>#REF!</v>
      </c>
      <c r="X419" s="742" t="e">
        <f>#REF!/$B$6</f>
        <v>#REF!</v>
      </c>
      <c r="Y419" s="742" t="e">
        <f>#REF!/$B$6</f>
        <v>#REF!</v>
      </c>
      <c r="Z419" s="742" t="e">
        <f>#REF!/$B$6</f>
        <v>#REF!</v>
      </c>
      <c r="AA419" s="742" t="e">
        <f>#REF!/$B$6</f>
        <v>#REF!</v>
      </c>
    </row>
    <row r="420" spans="1:27">
      <c r="A420" s="760" t="s">
        <v>742</v>
      </c>
      <c r="B420" s="765" t="e">
        <f>SUM(B418:B419)</f>
        <v>#REF!</v>
      </c>
      <c r="C420" s="765" t="e">
        <f t="shared" ref="C420:Z420" si="229">SUM(C418:C419)</f>
        <v>#REF!</v>
      </c>
      <c r="D420" s="765" t="e">
        <f t="shared" si="229"/>
        <v>#REF!</v>
      </c>
      <c r="E420" s="765" t="e">
        <f t="shared" si="229"/>
        <v>#REF!</v>
      </c>
      <c r="F420" s="765" t="e">
        <f t="shared" si="229"/>
        <v>#REF!</v>
      </c>
      <c r="G420" s="765" t="e">
        <f t="shared" si="229"/>
        <v>#REF!</v>
      </c>
      <c r="H420" s="765" t="e">
        <f t="shared" si="229"/>
        <v>#REF!</v>
      </c>
      <c r="I420" s="765" t="e">
        <f t="shared" si="229"/>
        <v>#REF!</v>
      </c>
      <c r="J420" s="765" t="e">
        <f t="shared" si="229"/>
        <v>#REF!</v>
      </c>
      <c r="K420" s="765" t="e">
        <f t="shared" si="229"/>
        <v>#REF!</v>
      </c>
      <c r="L420" s="765" t="e">
        <f t="shared" si="229"/>
        <v>#REF!</v>
      </c>
      <c r="M420" s="765" t="e">
        <f t="shared" si="229"/>
        <v>#REF!</v>
      </c>
      <c r="N420" s="765" t="e">
        <f t="shared" si="229"/>
        <v>#REF!</v>
      </c>
      <c r="O420" s="765" t="e">
        <f t="shared" si="229"/>
        <v>#REF!</v>
      </c>
      <c r="P420" s="765" t="e">
        <f t="shared" si="229"/>
        <v>#REF!</v>
      </c>
      <c r="Q420" s="765" t="e">
        <f t="shared" si="229"/>
        <v>#REF!</v>
      </c>
      <c r="R420" s="765" t="e">
        <f t="shared" si="229"/>
        <v>#REF!</v>
      </c>
      <c r="S420" s="765" t="e">
        <f t="shared" si="229"/>
        <v>#REF!</v>
      </c>
      <c r="T420" s="765" t="e">
        <f t="shared" si="229"/>
        <v>#REF!</v>
      </c>
      <c r="U420" s="765" t="e">
        <f t="shared" si="229"/>
        <v>#REF!</v>
      </c>
      <c r="V420" s="765" t="e">
        <f t="shared" si="229"/>
        <v>#REF!</v>
      </c>
      <c r="W420" s="765" t="e">
        <f t="shared" si="229"/>
        <v>#REF!</v>
      </c>
      <c r="X420" s="765" t="e">
        <f t="shared" si="229"/>
        <v>#REF!</v>
      </c>
      <c r="Y420" s="765" t="e">
        <f t="shared" si="229"/>
        <v>#REF!</v>
      </c>
      <c r="Z420" s="765" t="e">
        <f t="shared" si="229"/>
        <v>#REF!</v>
      </c>
      <c r="AA420" s="765" t="e">
        <f t="shared" ref="AA420" si="230">SUM(AA418:AA419)</f>
        <v>#REF!</v>
      </c>
    </row>
    <row r="425" spans="1:27">
      <c r="A425" s="735" t="s">
        <v>743</v>
      </c>
      <c r="B425" s="735">
        <f>B$12</f>
        <v>2003</v>
      </c>
      <c r="C425" s="735">
        <f t="shared" ref="C425:AA425" si="231">C$12</f>
        <v>2004</v>
      </c>
      <c r="D425" s="735">
        <f t="shared" si="231"/>
        <v>2005</v>
      </c>
      <c r="E425" s="735">
        <f t="shared" si="231"/>
        <v>2006</v>
      </c>
      <c r="F425" s="735">
        <f t="shared" si="231"/>
        <v>2007</v>
      </c>
      <c r="G425" s="735">
        <f t="shared" si="231"/>
        <v>2008</v>
      </c>
      <c r="H425" s="735">
        <f t="shared" si="231"/>
        <v>2009</v>
      </c>
      <c r="I425" s="735">
        <f t="shared" si="231"/>
        <v>2010</v>
      </c>
      <c r="J425" s="735">
        <f t="shared" si="231"/>
        <v>2011</v>
      </c>
      <c r="K425" s="735">
        <f t="shared" si="231"/>
        <v>2012</v>
      </c>
      <c r="L425" s="735">
        <f t="shared" si="231"/>
        <v>2013</v>
      </c>
      <c r="M425" s="735">
        <f t="shared" si="231"/>
        <v>2014</v>
      </c>
      <c r="N425" s="735">
        <f t="shared" si="231"/>
        <v>2015</v>
      </c>
      <c r="O425" s="735">
        <f t="shared" si="231"/>
        <v>2016</v>
      </c>
      <c r="P425" s="735">
        <f t="shared" si="231"/>
        <v>2017</v>
      </c>
      <c r="Q425" s="735">
        <f t="shared" si="231"/>
        <v>2018</v>
      </c>
      <c r="R425" s="735">
        <f t="shared" si="231"/>
        <v>2019</v>
      </c>
      <c r="S425" s="735">
        <f t="shared" si="231"/>
        <v>2020</v>
      </c>
      <c r="T425" s="735">
        <f t="shared" si="231"/>
        <v>2021</v>
      </c>
      <c r="U425" s="735">
        <f t="shared" si="231"/>
        <v>2022</v>
      </c>
      <c r="V425" s="735">
        <f t="shared" si="231"/>
        <v>2023</v>
      </c>
      <c r="W425" s="735">
        <f t="shared" si="231"/>
        <v>2024</v>
      </c>
      <c r="X425" s="735">
        <f t="shared" si="231"/>
        <v>2025</v>
      </c>
      <c r="Y425" s="735">
        <f t="shared" si="231"/>
        <v>2026</v>
      </c>
      <c r="Z425" s="735">
        <f t="shared" si="231"/>
        <v>2027</v>
      </c>
      <c r="AA425" s="735">
        <f t="shared" si="231"/>
        <v>2028</v>
      </c>
    </row>
    <row r="427" spans="1:27">
      <c r="A427" s="730" t="s">
        <v>744</v>
      </c>
      <c r="B427" s="739" t="e">
        <f>B382+B407</f>
        <v>#REF!</v>
      </c>
      <c r="C427" s="739" t="e">
        <f t="shared" ref="C427:Z429" si="232">C382+C407</f>
        <v>#REF!</v>
      </c>
      <c r="D427" s="739" t="e">
        <f t="shared" si="232"/>
        <v>#REF!</v>
      </c>
      <c r="E427" s="739" t="e">
        <f t="shared" si="232"/>
        <v>#REF!</v>
      </c>
      <c r="F427" s="739" t="e">
        <f t="shared" si="232"/>
        <v>#REF!</v>
      </c>
      <c r="G427" s="739" t="e">
        <f t="shared" si="232"/>
        <v>#REF!</v>
      </c>
      <c r="H427" s="739" t="e">
        <f t="shared" si="232"/>
        <v>#REF!</v>
      </c>
      <c r="I427" s="739" t="e">
        <f t="shared" si="232"/>
        <v>#REF!</v>
      </c>
      <c r="J427" s="739" t="e">
        <f t="shared" si="232"/>
        <v>#REF!</v>
      </c>
      <c r="K427" s="739" t="e">
        <f t="shared" si="232"/>
        <v>#REF!</v>
      </c>
      <c r="L427" s="739" t="e">
        <f t="shared" si="232"/>
        <v>#REF!</v>
      </c>
      <c r="M427" s="739" t="e">
        <f t="shared" si="232"/>
        <v>#REF!</v>
      </c>
      <c r="N427" s="739" t="e">
        <f t="shared" si="232"/>
        <v>#REF!</v>
      </c>
      <c r="O427" s="739" t="e">
        <f t="shared" si="232"/>
        <v>#REF!</v>
      </c>
      <c r="P427" s="739" t="e">
        <f t="shared" si="232"/>
        <v>#REF!</v>
      </c>
      <c r="Q427" s="739" t="e">
        <f t="shared" si="232"/>
        <v>#REF!</v>
      </c>
      <c r="R427" s="739" t="e">
        <f t="shared" si="232"/>
        <v>#REF!</v>
      </c>
      <c r="S427" s="739" t="e">
        <f t="shared" si="232"/>
        <v>#REF!</v>
      </c>
      <c r="T427" s="739" t="e">
        <f t="shared" si="232"/>
        <v>#REF!</v>
      </c>
      <c r="U427" s="739" t="e">
        <f t="shared" si="232"/>
        <v>#REF!</v>
      </c>
      <c r="V427" s="739" t="e">
        <f t="shared" si="232"/>
        <v>#REF!</v>
      </c>
      <c r="W427" s="739" t="e">
        <f t="shared" si="232"/>
        <v>#REF!</v>
      </c>
      <c r="X427" s="739" t="e">
        <f t="shared" si="232"/>
        <v>#REF!</v>
      </c>
      <c r="Y427" s="739" t="e">
        <f t="shared" si="232"/>
        <v>#REF!</v>
      </c>
      <c r="Z427" s="739" t="e">
        <f t="shared" si="232"/>
        <v>#REF!</v>
      </c>
      <c r="AA427" s="739" t="e">
        <f t="shared" ref="AA427" si="233">AA382+AA407</f>
        <v>#REF!</v>
      </c>
    </row>
    <row r="428" spans="1:27">
      <c r="A428" s="730" t="s">
        <v>745</v>
      </c>
      <c r="B428" s="739" t="e">
        <f t="shared" ref="B428:Q429" si="234">B383+B408</f>
        <v>#REF!</v>
      </c>
      <c r="C428" s="739" t="e">
        <f t="shared" si="234"/>
        <v>#REF!</v>
      </c>
      <c r="D428" s="739" t="e">
        <f t="shared" si="234"/>
        <v>#REF!</v>
      </c>
      <c r="E428" s="739" t="e">
        <f t="shared" si="234"/>
        <v>#REF!</v>
      </c>
      <c r="F428" s="739" t="e">
        <f t="shared" si="234"/>
        <v>#REF!</v>
      </c>
      <c r="G428" s="739" t="e">
        <f t="shared" si="234"/>
        <v>#REF!</v>
      </c>
      <c r="H428" s="739" t="e">
        <f t="shared" si="234"/>
        <v>#REF!</v>
      </c>
      <c r="I428" s="739" t="e">
        <f t="shared" si="234"/>
        <v>#REF!</v>
      </c>
      <c r="J428" s="739" t="e">
        <f t="shared" si="234"/>
        <v>#REF!</v>
      </c>
      <c r="K428" s="739" t="e">
        <f t="shared" si="234"/>
        <v>#REF!</v>
      </c>
      <c r="L428" s="739" t="e">
        <f t="shared" si="234"/>
        <v>#REF!</v>
      </c>
      <c r="M428" s="739" t="e">
        <f t="shared" si="234"/>
        <v>#REF!</v>
      </c>
      <c r="N428" s="739" t="e">
        <f t="shared" si="234"/>
        <v>#REF!</v>
      </c>
      <c r="O428" s="739" t="e">
        <f t="shared" si="234"/>
        <v>#REF!</v>
      </c>
      <c r="P428" s="739" t="e">
        <f t="shared" si="234"/>
        <v>#REF!</v>
      </c>
      <c r="Q428" s="739" t="e">
        <f t="shared" si="234"/>
        <v>#REF!</v>
      </c>
      <c r="R428" s="739" t="e">
        <f t="shared" si="232"/>
        <v>#REF!</v>
      </c>
      <c r="S428" s="739" t="e">
        <f t="shared" si="232"/>
        <v>#REF!</v>
      </c>
      <c r="T428" s="739" t="e">
        <f t="shared" si="232"/>
        <v>#REF!</v>
      </c>
      <c r="U428" s="739" t="e">
        <f t="shared" si="232"/>
        <v>#REF!</v>
      </c>
      <c r="V428" s="739" t="e">
        <f t="shared" si="232"/>
        <v>#REF!</v>
      </c>
      <c r="W428" s="739" t="e">
        <f t="shared" si="232"/>
        <v>#REF!</v>
      </c>
      <c r="X428" s="739" t="e">
        <f t="shared" si="232"/>
        <v>#REF!</v>
      </c>
      <c r="Y428" s="739" t="e">
        <f t="shared" si="232"/>
        <v>#REF!</v>
      </c>
      <c r="Z428" s="739" t="e">
        <f t="shared" si="232"/>
        <v>#REF!</v>
      </c>
      <c r="AA428" s="739" t="e">
        <f t="shared" ref="AA428" si="235">AA383+AA408</f>
        <v>#REF!</v>
      </c>
    </row>
    <row r="429" spans="1:27">
      <c r="A429" s="730" t="s">
        <v>746</v>
      </c>
      <c r="B429" s="739" t="e">
        <f t="shared" si="234"/>
        <v>#REF!</v>
      </c>
      <c r="C429" s="739" t="e">
        <f t="shared" si="232"/>
        <v>#REF!</v>
      </c>
      <c r="D429" s="739" t="e">
        <f t="shared" si="232"/>
        <v>#REF!</v>
      </c>
      <c r="E429" s="739" t="e">
        <f t="shared" si="232"/>
        <v>#REF!</v>
      </c>
      <c r="F429" s="739" t="e">
        <f t="shared" si="232"/>
        <v>#REF!</v>
      </c>
      <c r="G429" s="739" t="e">
        <f t="shared" si="232"/>
        <v>#REF!</v>
      </c>
      <c r="H429" s="739" t="e">
        <f t="shared" si="232"/>
        <v>#REF!</v>
      </c>
      <c r="I429" s="739" t="e">
        <f t="shared" si="232"/>
        <v>#REF!</v>
      </c>
      <c r="J429" s="739" t="e">
        <f t="shared" si="232"/>
        <v>#REF!</v>
      </c>
      <c r="K429" s="739" t="e">
        <f t="shared" si="232"/>
        <v>#REF!</v>
      </c>
      <c r="L429" s="739" t="e">
        <f t="shared" si="232"/>
        <v>#REF!</v>
      </c>
      <c r="M429" s="739" t="e">
        <f t="shared" si="232"/>
        <v>#REF!</v>
      </c>
      <c r="N429" s="739" t="e">
        <f t="shared" si="232"/>
        <v>#REF!</v>
      </c>
      <c r="O429" s="739" t="e">
        <f t="shared" si="232"/>
        <v>#REF!</v>
      </c>
      <c r="P429" s="739" t="e">
        <f t="shared" si="232"/>
        <v>#REF!</v>
      </c>
      <c r="Q429" s="739" t="e">
        <f t="shared" si="232"/>
        <v>#REF!</v>
      </c>
      <c r="R429" s="739" t="e">
        <f t="shared" si="232"/>
        <v>#REF!</v>
      </c>
      <c r="S429" s="739" t="e">
        <f t="shared" si="232"/>
        <v>#REF!</v>
      </c>
      <c r="T429" s="739" t="e">
        <f t="shared" si="232"/>
        <v>#REF!</v>
      </c>
      <c r="U429" s="739" t="e">
        <f t="shared" si="232"/>
        <v>#REF!</v>
      </c>
      <c r="V429" s="739" t="e">
        <f t="shared" si="232"/>
        <v>#REF!</v>
      </c>
      <c r="W429" s="739" t="e">
        <f t="shared" si="232"/>
        <v>#REF!</v>
      </c>
      <c r="X429" s="739" t="e">
        <f t="shared" si="232"/>
        <v>#REF!</v>
      </c>
      <c r="Y429" s="739" t="e">
        <f t="shared" si="232"/>
        <v>#REF!</v>
      </c>
      <c r="Z429" s="739" t="e">
        <f t="shared" si="232"/>
        <v>#REF!</v>
      </c>
      <c r="AA429" s="739" t="e">
        <f t="shared" ref="AA429" si="236">AA384+AA409</f>
        <v>#REF!</v>
      </c>
    </row>
    <row r="430" spans="1:27">
      <c r="A430" s="760" t="s">
        <v>743</v>
      </c>
      <c r="B430" s="765" t="e">
        <f>SUM(B427:B429)</f>
        <v>#REF!</v>
      </c>
      <c r="C430" s="765" t="e">
        <f t="shared" ref="C430:Z430" si="237">SUM(C427:C429)</f>
        <v>#REF!</v>
      </c>
      <c r="D430" s="765" t="e">
        <f t="shared" si="237"/>
        <v>#REF!</v>
      </c>
      <c r="E430" s="765" t="e">
        <f t="shared" si="237"/>
        <v>#REF!</v>
      </c>
      <c r="F430" s="765" t="e">
        <f t="shared" si="237"/>
        <v>#REF!</v>
      </c>
      <c r="G430" s="765" t="e">
        <f t="shared" si="237"/>
        <v>#REF!</v>
      </c>
      <c r="H430" s="765" t="e">
        <f t="shared" si="237"/>
        <v>#REF!</v>
      </c>
      <c r="I430" s="765" t="e">
        <f t="shared" si="237"/>
        <v>#REF!</v>
      </c>
      <c r="J430" s="765" t="e">
        <f t="shared" si="237"/>
        <v>#REF!</v>
      </c>
      <c r="K430" s="765" t="e">
        <f t="shared" si="237"/>
        <v>#REF!</v>
      </c>
      <c r="L430" s="765" t="e">
        <f t="shared" si="237"/>
        <v>#REF!</v>
      </c>
      <c r="M430" s="765" t="e">
        <f t="shared" si="237"/>
        <v>#REF!</v>
      </c>
      <c r="N430" s="765" t="e">
        <f t="shared" si="237"/>
        <v>#REF!</v>
      </c>
      <c r="O430" s="765" t="e">
        <f t="shared" si="237"/>
        <v>#REF!</v>
      </c>
      <c r="P430" s="765" t="e">
        <f t="shared" si="237"/>
        <v>#REF!</v>
      </c>
      <c r="Q430" s="765" t="e">
        <f t="shared" si="237"/>
        <v>#REF!</v>
      </c>
      <c r="R430" s="765" t="e">
        <f t="shared" si="237"/>
        <v>#REF!</v>
      </c>
      <c r="S430" s="765" t="e">
        <f t="shared" si="237"/>
        <v>#REF!</v>
      </c>
      <c r="T430" s="765" t="e">
        <f t="shared" si="237"/>
        <v>#REF!</v>
      </c>
      <c r="U430" s="765" t="e">
        <f t="shared" si="237"/>
        <v>#REF!</v>
      </c>
      <c r="V430" s="765" t="e">
        <f t="shared" si="237"/>
        <v>#REF!</v>
      </c>
      <c r="W430" s="765" t="e">
        <f t="shared" si="237"/>
        <v>#REF!</v>
      </c>
      <c r="X430" s="765" t="e">
        <f t="shared" si="237"/>
        <v>#REF!</v>
      </c>
      <c r="Y430" s="765" t="e">
        <f t="shared" si="237"/>
        <v>#REF!</v>
      </c>
      <c r="Z430" s="765" t="e">
        <f t="shared" si="237"/>
        <v>#REF!</v>
      </c>
      <c r="AA430" s="765" t="e">
        <f t="shared" ref="AA430" si="238">SUM(AA427:AA429)</f>
        <v>#REF!</v>
      </c>
    </row>
    <row r="432" spans="1:27">
      <c r="A432" s="732" t="s">
        <v>747</v>
      </c>
    </row>
    <row r="433" spans="1:27">
      <c r="A433" s="730" t="s">
        <v>748</v>
      </c>
      <c r="B433" s="739" t="e">
        <f>B388+B413</f>
        <v>#REF!</v>
      </c>
      <c r="C433" s="739" t="e">
        <f t="shared" ref="C433:Z433" si="239">C388+C413</f>
        <v>#REF!</v>
      </c>
      <c r="D433" s="739" t="e">
        <f t="shared" si="239"/>
        <v>#REF!</v>
      </c>
      <c r="E433" s="739" t="e">
        <f t="shared" si="239"/>
        <v>#REF!</v>
      </c>
      <c r="F433" s="739" t="e">
        <f t="shared" si="239"/>
        <v>#REF!</v>
      </c>
      <c r="G433" s="739" t="e">
        <f t="shared" si="239"/>
        <v>#REF!</v>
      </c>
      <c r="H433" s="739" t="e">
        <f t="shared" si="239"/>
        <v>#REF!</v>
      </c>
      <c r="I433" s="739" t="e">
        <f t="shared" si="239"/>
        <v>#REF!</v>
      </c>
      <c r="J433" s="739" t="e">
        <f t="shared" si="239"/>
        <v>#REF!</v>
      </c>
      <c r="K433" s="739" t="e">
        <f t="shared" si="239"/>
        <v>#REF!</v>
      </c>
      <c r="L433" s="739" t="e">
        <f t="shared" si="239"/>
        <v>#REF!</v>
      </c>
      <c r="M433" s="739" t="e">
        <f t="shared" si="239"/>
        <v>#REF!</v>
      </c>
      <c r="N433" s="739" t="e">
        <f t="shared" si="239"/>
        <v>#REF!</v>
      </c>
      <c r="O433" s="739" t="e">
        <f t="shared" si="239"/>
        <v>#REF!</v>
      </c>
      <c r="P433" s="739" t="e">
        <f t="shared" si="239"/>
        <v>#REF!</v>
      </c>
      <c r="Q433" s="739" t="e">
        <f t="shared" si="239"/>
        <v>#REF!</v>
      </c>
      <c r="R433" s="739" t="e">
        <f t="shared" si="239"/>
        <v>#REF!</v>
      </c>
      <c r="S433" s="739" t="e">
        <f t="shared" si="239"/>
        <v>#REF!</v>
      </c>
      <c r="T433" s="739" t="e">
        <f t="shared" si="239"/>
        <v>#REF!</v>
      </c>
      <c r="U433" s="739" t="e">
        <f t="shared" si="239"/>
        <v>#REF!</v>
      </c>
      <c r="V433" s="739" t="e">
        <f t="shared" si="239"/>
        <v>#REF!</v>
      </c>
      <c r="W433" s="739" t="e">
        <f t="shared" si="239"/>
        <v>#REF!</v>
      </c>
      <c r="X433" s="739" t="e">
        <f t="shared" si="239"/>
        <v>#REF!</v>
      </c>
      <c r="Y433" s="739" t="e">
        <f t="shared" si="239"/>
        <v>#REF!</v>
      </c>
      <c r="Z433" s="739" t="e">
        <f t="shared" si="239"/>
        <v>#REF!</v>
      </c>
      <c r="AA433" s="739" t="e">
        <f t="shared" ref="AA433" si="240">AA388+AA413</f>
        <v>#REF!</v>
      </c>
    </row>
    <row r="434" spans="1:27">
      <c r="A434" s="730" t="s">
        <v>749</v>
      </c>
      <c r="B434" s="739" t="e">
        <f t="shared" ref="B434:Z435" si="241">B389+B414</f>
        <v>#REF!</v>
      </c>
      <c r="C434" s="739" t="e">
        <f t="shared" si="241"/>
        <v>#REF!</v>
      </c>
      <c r="D434" s="739" t="e">
        <f t="shared" si="241"/>
        <v>#REF!</v>
      </c>
      <c r="E434" s="739" t="e">
        <f t="shared" si="241"/>
        <v>#REF!</v>
      </c>
      <c r="F434" s="739" t="e">
        <f t="shared" si="241"/>
        <v>#REF!</v>
      </c>
      <c r="G434" s="739" t="e">
        <f t="shared" si="241"/>
        <v>#REF!</v>
      </c>
      <c r="H434" s="739" t="e">
        <f t="shared" si="241"/>
        <v>#REF!</v>
      </c>
      <c r="I434" s="739" t="e">
        <f t="shared" si="241"/>
        <v>#REF!</v>
      </c>
      <c r="J434" s="739" t="e">
        <f t="shared" si="241"/>
        <v>#REF!</v>
      </c>
      <c r="K434" s="739" t="e">
        <f t="shared" si="241"/>
        <v>#REF!</v>
      </c>
      <c r="L434" s="739" t="e">
        <f t="shared" si="241"/>
        <v>#REF!</v>
      </c>
      <c r="M434" s="739" t="e">
        <f t="shared" si="241"/>
        <v>#REF!</v>
      </c>
      <c r="N434" s="739" t="e">
        <f t="shared" si="241"/>
        <v>#REF!</v>
      </c>
      <c r="O434" s="739" t="e">
        <f t="shared" si="241"/>
        <v>#REF!</v>
      </c>
      <c r="P434" s="739" t="e">
        <f t="shared" si="241"/>
        <v>#REF!</v>
      </c>
      <c r="Q434" s="739" t="e">
        <f t="shared" si="241"/>
        <v>#REF!</v>
      </c>
      <c r="R434" s="739" t="e">
        <f t="shared" si="241"/>
        <v>#REF!</v>
      </c>
      <c r="S434" s="739" t="e">
        <f t="shared" si="241"/>
        <v>#REF!</v>
      </c>
      <c r="T434" s="739" t="e">
        <f t="shared" si="241"/>
        <v>#REF!</v>
      </c>
      <c r="U434" s="739" t="e">
        <f t="shared" si="241"/>
        <v>#REF!</v>
      </c>
      <c r="V434" s="739" t="e">
        <f t="shared" si="241"/>
        <v>#REF!</v>
      </c>
      <c r="W434" s="739" t="e">
        <f t="shared" si="241"/>
        <v>#REF!</v>
      </c>
      <c r="X434" s="739" t="e">
        <f t="shared" si="241"/>
        <v>#REF!</v>
      </c>
      <c r="Y434" s="739" t="e">
        <f t="shared" si="241"/>
        <v>#REF!</v>
      </c>
      <c r="Z434" s="739" t="e">
        <f t="shared" si="241"/>
        <v>#REF!</v>
      </c>
      <c r="AA434" s="739" t="e">
        <f t="shared" ref="AA434" si="242">AA389+AA414</f>
        <v>#REF!</v>
      </c>
    </row>
    <row r="435" spans="1:27">
      <c r="A435" s="730" t="s">
        <v>750</v>
      </c>
      <c r="B435" s="739" t="e">
        <f t="shared" si="241"/>
        <v>#REF!</v>
      </c>
      <c r="C435" s="739" t="e">
        <f t="shared" si="241"/>
        <v>#REF!</v>
      </c>
      <c r="D435" s="739" t="e">
        <f t="shared" si="241"/>
        <v>#REF!</v>
      </c>
      <c r="E435" s="739" t="e">
        <f t="shared" si="241"/>
        <v>#REF!</v>
      </c>
      <c r="F435" s="739" t="e">
        <f t="shared" si="241"/>
        <v>#REF!</v>
      </c>
      <c r="G435" s="739" t="e">
        <f t="shared" si="241"/>
        <v>#REF!</v>
      </c>
      <c r="H435" s="739" t="e">
        <f t="shared" si="241"/>
        <v>#REF!</v>
      </c>
      <c r="I435" s="739" t="e">
        <f t="shared" si="241"/>
        <v>#REF!</v>
      </c>
      <c r="J435" s="739" t="e">
        <f t="shared" si="241"/>
        <v>#REF!</v>
      </c>
      <c r="K435" s="739" t="e">
        <f t="shared" si="241"/>
        <v>#REF!</v>
      </c>
      <c r="L435" s="739" t="e">
        <f t="shared" si="241"/>
        <v>#REF!</v>
      </c>
      <c r="M435" s="739" t="e">
        <f t="shared" si="241"/>
        <v>#REF!</v>
      </c>
      <c r="N435" s="739" t="e">
        <f t="shared" si="241"/>
        <v>#REF!</v>
      </c>
      <c r="O435" s="739" t="e">
        <f t="shared" si="241"/>
        <v>#REF!</v>
      </c>
      <c r="P435" s="739" t="e">
        <f t="shared" si="241"/>
        <v>#REF!</v>
      </c>
      <c r="Q435" s="739" t="e">
        <f t="shared" si="241"/>
        <v>#REF!</v>
      </c>
      <c r="R435" s="739" t="e">
        <f t="shared" si="241"/>
        <v>#REF!</v>
      </c>
      <c r="S435" s="739" t="e">
        <f t="shared" si="241"/>
        <v>#REF!</v>
      </c>
      <c r="T435" s="739" t="e">
        <f t="shared" si="241"/>
        <v>#REF!</v>
      </c>
      <c r="U435" s="739" t="e">
        <f t="shared" si="241"/>
        <v>#REF!</v>
      </c>
      <c r="V435" s="739" t="e">
        <f t="shared" si="241"/>
        <v>#REF!</v>
      </c>
      <c r="W435" s="739" t="e">
        <f t="shared" si="241"/>
        <v>#REF!</v>
      </c>
      <c r="X435" s="739" t="e">
        <f t="shared" si="241"/>
        <v>#REF!</v>
      </c>
      <c r="Y435" s="739" t="e">
        <f t="shared" si="241"/>
        <v>#REF!</v>
      </c>
      <c r="Z435" s="739" t="e">
        <f t="shared" si="241"/>
        <v>#REF!</v>
      </c>
      <c r="AA435" s="739" t="e">
        <f t="shared" ref="AA435" si="243">AA390+AA415</f>
        <v>#REF!</v>
      </c>
    </row>
    <row r="436" spans="1:27">
      <c r="A436" s="760" t="s">
        <v>744</v>
      </c>
      <c r="B436" s="765" t="e">
        <f>SUM(B433:B435)</f>
        <v>#REF!</v>
      </c>
      <c r="C436" s="765" t="e">
        <f t="shared" ref="C436:Z436" si="244">SUM(C433:C435)</f>
        <v>#REF!</v>
      </c>
      <c r="D436" s="765" t="e">
        <f t="shared" si="244"/>
        <v>#REF!</v>
      </c>
      <c r="E436" s="765" t="e">
        <f t="shared" si="244"/>
        <v>#REF!</v>
      </c>
      <c r="F436" s="765" t="e">
        <f t="shared" si="244"/>
        <v>#REF!</v>
      </c>
      <c r="G436" s="765" t="e">
        <f t="shared" si="244"/>
        <v>#REF!</v>
      </c>
      <c r="H436" s="765" t="e">
        <f t="shared" si="244"/>
        <v>#REF!</v>
      </c>
      <c r="I436" s="765" t="e">
        <f t="shared" si="244"/>
        <v>#REF!</v>
      </c>
      <c r="J436" s="765" t="e">
        <f t="shared" si="244"/>
        <v>#REF!</v>
      </c>
      <c r="K436" s="765" t="e">
        <f t="shared" si="244"/>
        <v>#REF!</v>
      </c>
      <c r="L436" s="765" t="e">
        <f t="shared" si="244"/>
        <v>#REF!</v>
      </c>
      <c r="M436" s="765" t="e">
        <f t="shared" si="244"/>
        <v>#REF!</v>
      </c>
      <c r="N436" s="765" t="e">
        <f t="shared" si="244"/>
        <v>#REF!</v>
      </c>
      <c r="O436" s="765" t="e">
        <f t="shared" si="244"/>
        <v>#REF!</v>
      </c>
      <c r="P436" s="765" t="e">
        <f t="shared" si="244"/>
        <v>#REF!</v>
      </c>
      <c r="Q436" s="765" t="e">
        <f t="shared" si="244"/>
        <v>#REF!</v>
      </c>
      <c r="R436" s="765" t="e">
        <f t="shared" si="244"/>
        <v>#REF!</v>
      </c>
      <c r="S436" s="765" t="e">
        <f t="shared" si="244"/>
        <v>#REF!</v>
      </c>
      <c r="T436" s="765" t="e">
        <f t="shared" si="244"/>
        <v>#REF!</v>
      </c>
      <c r="U436" s="765" t="e">
        <f t="shared" si="244"/>
        <v>#REF!</v>
      </c>
      <c r="V436" s="765" t="e">
        <f t="shared" si="244"/>
        <v>#REF!</v>
      </c>
      <c r="W436" s="765" t="e">
        <f t="shared" si="244"/>
        <v>#REF!</v>
      </c>
      <c r="X436" s="765" t="e">
        <f t="shared" si="244"/>
        <v>#REF!</v>
      </c>
      <c r="Y436" s="765" t="e">
        <f t="shared" si="244"/>
        <v>#REF!</v>
      </c>
      <c r="Z436" s="765" t="e">
        <f t="shared" si="244"/>
        <v>#REF!</v>
      </c>
      <c r="AA436" s="765" t="e">
        <f t="shared" ref="AA436" si="245">SUM(AA433:AA435)</f>
        <v>#REF!</v>
      </c>
    </row>
    <row r="438" spans="1:27">
      <c r="A438" s="730" t="s">
        <v>730</v>
      </c>
      <c r="B438" s="739" t="e">
        <f t="shared" ref="B438:Z439" si="246">B393+B418</f>
        <v>#REF!</v>
      </c>
      <c r="C438" s="739" t="e">
        <f t="shared" si="246"/>
        <v>#REF!</v>
      </c>
      <c r="D438" s="739" t="e">
        <f t="shared" si="246"/>
        <v>#REF!</v>
      </c>
      <c r="E438" s="739" t="e">
        <f t="shared" si="246"/>
        <v>#REF!</v>
      </c>
      <c r="F438" s="739" t="e">
        <f t="shared" si="246"/>
        <v>#REF!</v>
      </c>
      <c r="G438" s="739" t="e">
        <f t="shared" si="246"/>
        <v>#REF!</v>
      </c>
      <c r="H438" s="739" t="e">
        <f t="shared" si="246"/>
        <v>#REF!</v>
      </c>
      <c r="I438" s="739" t="e">
        <f t="shared" si="246"/>
        <v>#REF!</v>
      </c>
      <c r="J438" s="739" t="e">
        <f t="shared" si="246"/>
        <v>#REF!</v>
      </c>
      <c r="K438" s="739" t="e">
        <f t="shared" si="246"/>
        <v>#REF!</v>
      </c>
      <c r="L438" s="739" t="e">
        <f t="shared" si="246"/>
        <v>#REF!</v>
      </c>
      <c r="M438" s="739" t="e">
        <f t="shared" si="246"/>
        <v>#REF!</v>
      </c>
      <c r="N438" s="739" t="e">
        <f t="shared" si="246"/>
        <v>#REF!</v>
      </c>
      <c r="O438" s="739" t="e">
        <f t="shared" si="246"/>
        <v>#REF!</v>
      </c>
      <c r="P438" s="739" t="e">
        <f t="shared" si="246"/>
        <v>#REF!</v>
      </c>
      <c r="Q438" s="739" t="e">
        <f t="shared" si="246"/>
        <v>#REF!</v>
      </c>
      <c r="R438" s="739" t="e">
        <f t="shared" si="246"/>
        <v>#REF!</v>
      </c>
      <c r="S438" s="739" t="e">
        <f t="shared" si="246"/>
        <v>#REF!</v>
      </c>
      <c r="T438" s="739" t="e">
        <f t="shared" si="246"/>
        <v>#REF!</v>
      </c>
      <c r="U438" s="739" t="e">
        <f t="shared" si="246"/>
        <v>#REF!</v>
      </c>
      <c r="V438" s="739" t="e">
        <f t="shared" si="246"/>
        <v>#REF!</v>
      </c>
      <c r="W438" s="739" t="e">
        <f t="shared" si="246"/>
        <v>#REF!</v>
      </c>
      <c r="X438" s="739" t="e">
        <f t="shared" si="246"/>
        <v>#REF!</v>
      </c>
      <c r="Y438" s="739" t="e">
        <f t="shared" si="246"/>
        <v>#REF!</v>
      </c>
      <c r="Z438" s="739" t="e">
        <f t="shared" si="246"/>
        <v>#REF!</v>
      </c>
      <c r="AA438" s="739" t="e">
        <f t="shared" ref="AA438" si="247">AA393+AA418</f>
        <v>#REF!</v>
      </c>
    </row>
    <row r="439" spans="1:27">
      <c r="A439" s="730" t="s">
        <v>731</v>
      </c>
      <c r="B439" s="739" t="e">
        <f t="shared" si="246"/>
        <v>#REF!</v>
      </c>
      <c r="C439" s="739" t="e">
        <f t="shared" si="246"/>
        <v>#REF!</v>
      </c>
      <c r="D439" s="739" t="e">
        <f t="shared" si="246"/>
        <v>#REF!</v>
      </c>
      <c r="E439" s="739" t="e">
        <f t="shared" si="246"/>
        <v>#REF!</v>
      </c>
      <c r="F439" s="739" t="e">
        <f t="shared" si="246"/>
        <v>#REF!</v>
      </c>
      <c r="G439" s="739" t="e">
        <f t="shared" si="246"/>
        <v>#REF!</v>
      </c>
      <c r="H439" s="739" t="e">
        <f t="shared" si="246"/>
        <v>#REF!</v>
      </c>
      <c r="I439" s="739" t="e">
        <f t="shared" si="246"/>
        <v>#REF!</v>
      </c>
      <c r="J439" s="739" t="e">
        <f t="shared" si="246"/>
        <v>#REF!</v>
      </c>
      <c r="K439" s="739" t="e">
        <f t="shared" si="246"/>
        <v>#REF!</v>
      </c>
      <c r="L439" s="739" t="e">
        <f t="shared" si="246"/>
        <v>#REF!</v>
      </c>
      <c r="M439" s="739" t="e">
        <f t="shared" si="246"/>
        <v>#REF!</v>
      </c>
      <c r="N439" s="739" t="e">
        <f t="shared" si="246"/>
        <v>#REF!</v>
      </c>
      <c r="O439" s="739" t="e">
        <f t="shared" si="246"/>
        <v>#REF!</v>
      </c>
      <c r="P439" s="739" t="e">
        <f t="shared" si="246"/>
        <v>#REF!</v>
      </c>
      <c r="Q439" s="739" t="e">
        <f t="shared" si="246"/>
        <v>#REF!</v>
      </c>
      <c r="R439" s="739" t="e">
        <f t="shared" si="246"/>
        <v>#REF!</v>
      </c>
      <c r="S439" s="739" t="e">
        <f t="shared" si="246"/>
        <v>#REF!</v>
      </c>
      <c r="T439" s="739" t="e">
        <f t="shared" si="246"/>
        <v>#REF!</v>
      </c>
      <c r="U439" s="739" t="e">
        <f t="shared" si="246"/>
        <v>#REF!</v>
      </c>
      <c r="V439" s="739" t="e">
        <f t="shared" si="246"/>
        <v>#REF!</v>
      </c>
      <c r="W439" s="739" t="e">
        <f t="shared" si="246"/>
        <v>#REF!</v>
      </c>
      <c r="X439" s="739" t="e">
        <f t="shared" si="246"/>
        <v>#REF!</v>
      </c>
      <c r="Y439" s="739" t="e">
        <f t="shared" si="246"/>
        <v>#REF!</v>
      </c>
      <c r="Z439" s="739" t="e">
        <f t="shared" si="246"/>
        <v>#REF!</v>
      </c>
      <c r="AA439" s="739" t="e">
        <f t="shared" ref="AA439" si="248">AA394+AA419</f>
        <v>#REF!</v>
      </c>
    </row>
    <row r="440" spans="1:27">
      <c r="A440" s="760" t="s">
        <v>751</v>
      </c>
      <c r="B440" s="765" t="e">
        <f>SUM(B438:B439)</f>
        <v>#REF!</v>
      </c>
      <c r="C440" s="765" t="e">
        <f t="shared" ref="C440:Z440" si="249">SUM(C438:C439)</f>
        <v>#REF!</v>
      </c>
      <c r="D440" s="765" t="e">
        <f t="shared" si="249"/>
        <v>#REF!</v>
      </c>
      <c r="E440" s="765" t="e">
        <f t="shared" si="249"/>
        <v>#REF!</v>
      </c>
      <c r="F440" s="765" t="e">
        <f t="shared" si="249"/>
        <v>#REF!</v>
      </c>
      <c r="G440" s="765" t="e">
        <f t="shared" si="249"/>
        <v>#REF!</v>
      </c>
      <c r="H440" s="765" t="e">
        <f t="shared" si="249"/>
        <v>#REF!</v>
      </c>
      <c r="I440" s="765" t="e">
        <f t="shared" si="249"/>
        <v>#REF!</v>
      </c>
      <c r="J440" s="765" t="e">
        <f t="shared" si="249"/>
        <v>#REF!</v>
      </c>
      <c r="K440" s="765" t="e">
        <f t="shared" si="249"/>
        <v>#REF!</v>
      </c>
      <c r="L440" s="765" t="e">
        <f t="shared" si="249"/>
        <v>#REF!</v>
      </c>
      <c r="M440" s="765" t="e">
        <f t="shared" si="249"/>
        <v>#REF!</v>
      </c>
      <c r="N440" s="765" t="e">
        <f t="shared" si="249"/>
        <v>#REF!</v>
      </c>
      <c r="O440" s="765" t="e">
        <f t="shared" si="249"/>
        <v>#REF!</v>
      </c>
      <c r="P440" s="765" t="e">
        <f t="shared" si="249"/>
        <v>#REF!</v>
      </c>
      <c r="Q440" s="765" t="e">
        <f t="shared" si="249"/>
        <v>#REF!</v>
      </c>
      <c r="R440" s="765" t="e">
        <f t="shared" si="249"/>
        <v>#REF!</v>
      </c>
      <c r="S440" s="765" t="e">
        <f t="shared" si="249"/>
        <v>#REF!</v>
      </c>
      <c r="T440" s="765" t="e">
        <f t="shared" si="249"/>
        <v>#REF!</v>
      </c>
      <c r="U440" s="765" t="e">
        <f t="shared" si="249"/>
        <v>#REF!</v>
      </c>
      <c r="V440" s="765" t="e">
        <f t="shared" si="249"/>
        <v>#REF!</v>
      </c>
      <c r="W440" s="765" t="e">
        <f t="shared" si="249"/>
        <v>#REF!</v>
      </c>
      <c r="X440" s="765" t="e">
        <f t="shared" si="249"/>
        <v>#REF!</v>
      </c>
      <c r="Y440" s="765" t="e">
        <f t="shared" si="249"/>
        <v>#REF!</v>
      </c>
      <c r="Z440" s="765" t="e">
        <f t="shared" si="249"/>
        <v>#REF!</v>
      </c>
      <c r="AA440" s="765" t="e">
        <f t="shared" ref="AA440" si="250">SUM(AA438:AA439)</f>
        <v>#REF!</v>
      </c>
    </row>
    <row r="450" spans="1:27">
      <c r="A450" s="733" t="s">
        <v>514</v>
      </c>
      <c r="B450" s="734"/>
      <c r="C450" s="734"/>
      <c r="D450" s="734"/>
      <c r="E450" s="734"/>
      <c r="F450" s="734"/>
      <c r="G450" s="734"/>
      <c r="H450" s="734"/>
      <c r="I450" s="734"/>
      <c r="J450" s="734"/>
      <c r="K450" s="734"/>
      <c r="L450" s="734"/>
      <c r="M450" s="734"/>
      <c r="N450" s="734"/>
      <c r="O450" s="734"/>
      <c r="P450" s="734"/>
      <c r="Q450" s="734"/>
      <c r="R450" s="734"/>
      <c r="S450" s="734"/>
      <c r="T450" s="734"/>
      <c r="U450" s="734"/>
      <c r="V450" s="734"/>
      <c r="W450" s="734"/>
      <c r="X450" s="734"/>
      <c r="Y450" s="734"/>
      <c r="Z450" s="734"/>
      <c r="AA450" s="734"/>
    </row>
    <row r="452" spans="1:27">
      <c r="A452" s="735" t="s">
        <v>752</v>
      </c>
      <c r="B452" s="735">
        <f>B$12</f>
        <v>2003</v>
      </c>
      <c r="C452" s="735">
        <f t="shared" ref="C452:AA452" si="251">C$12</f>
        <v>2004</v>
      </c>
      <c r="D452" s="735">
        <f t="shared" si="251"/>
        <v>2005</v>
      </c>
      <c r="E452" s="735">
        <f t="shared" si="251"/>
        <v>2006</v>
      </c>
      <c r="F452" s="735">
        <f t="shared" si="251"/>
        <v>2007</v>
      </c>
      <c r="G452" s="735">
        <f t="shared" si="251"/>
        <v>2008</v>
      </c>
      <c r="H452" s="735">
        <f t="shared" si="251"/>
        <v>2009</v>
      </c>
      <c r="I452" s="735">
        <f t="shared" si="251"/>
        <v>2010</v>
      </c>
      <c r="J452" s="735">
        <f t="shared" si="251"/>
        <v>2011</v>
      </c>
      <c r="K452" s="735">
        <f t="shared" si="251"/>
        <v>2012</v>
      </c>
      <c r="L452" s="735">
        <f t="shared" si="251"/>
        <v>2013</v>
      </c>
      <c r="M452" s="735">
        <f t="shared" si="251"/>
        <v>2014</v>
      </c>
      <c r="N452" s="735">
        <f t="shared" si="251"/>
        <v>2015</v>
      </c>
      <c r="O452" s="735">
        <f t="shared" si="251"/>
        <v>2016</v>
      </c>
      <c r="P452" s="735">
        <f t="shared" si="251"/>
        <v>2017</v>
      </c>
      <c r="Q452" s="735">
        <f t="shared" si="251"/>
        <v>2018</v>
      </c>
      <c r="R452" s="735">
        <f t="shared" si="251"/>
        <v>2019</v>
      </c>
      <c r="S452" s="735">
        <f t="shared" si="251"/>
        <v>2020</v>
      </c>
      <c r="T452" s="735">
        <f t="shared" si="251"/>
        <v>2021</v>
      </c>
      <c r="U452" s="735">
        <f t="shared" si="251"/>
        <v>2022</v>
      </c>
      <c r="V452" s="735">
        <f t="shared" si="251"/>
        <v>2023</v>
      </c>
      <c r="W452" s="735">
        <f t="shared" si="251"/>
        <v>2024</v>
      </c>
      <c r="X452" s="735">
        <f t="shared" si="251"/>
        <v>2025</v>
      </c>
      <c r="Y452" s="735">
        <f t="shared" si="251"/>
        <v>2026</v>
      </c>
      <c r="Z452" s="735">
        <f t="shared" si="251"/>
        <v>2027</v>
      </c>
      <c r="AA452" s="735">
        <f t="shared" si="251"/>
        <v>2028</v>
      </c>
    </row>
    <row r="454" spans="1:27" ht="15">
      <c r="A454" s="730" t="s">
        <v>753</v>
      </c>
      <c r="B454" s="742" t="e">
        <f>#REF!/$B$6</f>
        <v>#REF!</v>
      </c>
      <c r="C454" s="742" t="e">
        <f>#REF!/$B$6</f>
        <v>#REF!</v>
      </c>
      <c r="D454" s="742" t="e">
        <f>#REF!/$B$6</f>
        <v>#REF!</v>
      </c>
      <c r="E454" s="742" t="e">
        <f>#REF!/$B$6</f>
        <v>#REF!</v>
      </c>
      <c r="F454" s="742" t="e">
        <f>#REF!/$B$6</f>
        <v>#REF!</v>
      </c>
      <c r="G454" s="742" t="e">
        <f>#REF!/$B$6</f>
        <v>#REF!</v>
      </c>
      <c r="H454" s="742" t="e">
        <f>#REF!/$B$6</f>
        <v>#REF!</v>
      </c>
      <c r="I454" s="742" t="e">
        <f>#REF!/$B$6</f>
        <v>#REF!</v>
      </c>
      <c r="J454" s="742" t="e">
        <f>#REF!/$B$6</f>
        <v>#REF!</v>
      </c>
      <c r="K454" s="742" t="e">
        <f>#REF!/$B$6</f>
        <v>#REF!</v>
      </c>
      <c r="L454" s="742" t="e">
        <f>#REF!/$B$6</f>
        <v>#REF!</v>
      </c>
      <c r="M454" s="742" t="e">
        <f>#REF!/$B$6</f>
        <v>#REF!</v>
      </c>
      <c r="N454" s="742" t="e">
        <f>#REF!/$B$6</f>
        <v>#REF!</v>
      </c>
      <c r="O454" s="742" t="e">
        <f>#REF!/$B$6</f>
        <v>#REF!</v>
      </c>
      <c r="P454" s="742" t="e">
        <f>#REF!/$B$6</f>
        <v>#REF!</v>
      </c>
      <c r="Q454" s="742" t="e">
        <f>#REF!/$B$6</f>
        <v>#REF!</v>
      </c>
      <c r="R454" s="742" t="e">
        <f>#REF!/$B$6</f>
        <v>#REF!</v>
      </c>
      <c r="S454" s="742" t="e">
        <f>#REF!/$B$6</f>
        <v>#REF!</v>
      </c>
      <c r="T454" s="742" t="e">
        <f>#REF!/$B$6</f>
        <v>#REF!</v>
      </c>
      <c r="U454" s="742" t="e">
        <f>#REF!/$B$6</f>
        <v>#REF!</v>
      </c>
      <c r="V454" s="742" t="e">
        <f>#REF!/$B$6</f>
        <v>#REF!</v>
      </c>
      <c r="W454" s="742" t="e">
        <f>#REF!/$B$6</f>
        <v>#REF!</v>
      </c>
      <c r="X454" s="742" t="e">
        <f>#REF!/$B$6</f>
        <v>#REF!</v>
      </c>
      <c r="Y454" s="742" t="e">
        <f>#REF!/$B$6</f>
        <v>#REF!</v>
      </c>
      <c r="Z454" s="742" t="e">
        <f>#REF!/$B$6</f>
        <v>#REF!</v>
      </c>
      <c r="AA454" s="742" t="e">
        <f>#REF!/$B$6</f>
        <v>#REF!</v>
      </c>
    </row>
    <row r="455" spans="1:27" ht="15">
      <c r="A455" s="730" t="s">
        <v>754</v>
      </c>
      <c r="B455" s="742" t="e">
        <f>#REF!/$B$6</f>
        <v>#REF!</v>
      </c>
      <c r="C455" s="742" t="e">
        <f>#REF!/$B$6</f>
        <v>#REF!</v>
      </c>
      <c r="D455" s="742" t="e">
        <f>#REF!/$B$6</f>
        <v>#REF!</v>
      </c>
      <c r="E455" s="742" t="e">
        <f>#REF!/$B$6</f>
        <v>#REF!</v>
      </c>
      <c r="F455" s="742" t="e">
        <f>#REF!/$B$6</f>
        <v>#REF!</v>
      </c>
      <c r="G455" s="742" t="e">
        <f>#REF!/$B$6</f>
        <v>#REF!</v>
      </c>
      <c r="H455" s="742" t="e">
        <f>#REF!/$B$6</f>
        <v>#REF!</v>
      </c>
      <c r="I455" s="742" t="e">
        <f>#REF!/$B$6</f>
        <v>#REF!</v>
      </c>
      <c r="J455" s="742" t="e">
        <f>#REF!/$B$6</f>
        <v>#REF!</v>
      </c>
      <c r="K455" s="742" t="e">
        <f>#REF!/$B$6</f>
        <v>#REF!</v>
      </c>
      <c r="L455" s="742" t="e">
        <f>#REF!/$B$6</f>
        <v>#REF!</v>
      </c>
      <c r="M455" s="742" t="e">
        <f>#REF!/$B$6</f>
        <v>#REF!</v>
      </c>
      <c r="N455" s="742" t="e">
        <f>#REF!/$B$6</f>
        <v>#REF!</v>
      </c>
      <c r="O455" s="742" t="e">
        <f>#REF!/$B$6</f>
        <v>#REF!</v>
      </c>
      <c r="P455" s="742" t="e">
        <f>#REF!/$B$6</f>
        <v>#REF!</v>
      </c>
      <c r="Q455" s="742" t="e">
        <f>#REF!/$B$6</f>
        <v>#REF!</v>
      </c>
      <c r="R455" s="742" t="e">
        <f>#REF!/$B$6</f>
        <v>#REF!</v>
      </c>
      <c r="S455" s="742" t="e">
        <f>#REF!/$B$6</f>
        <v>#REF!</v>
      </c>
      <c r="T455" s="742" t="e">
        <f>#REF!/$B$6</f>
        <v>#REF!</v>
      </c>
      <c r="U455" s="742" t="e">
        <f>#REF!/$B$6</f>
        <v>#REF!</v>
      </c>
      <c r="V455" s="742" t="e">
        <f>#REF!/$B$6</f>
        <v>#REF!</v>
      </c>
      <c r="W455" s="742" t="e">
        <f>#REF!/$B$6</f>
        <v>#REF!</v>
      </c>
      <c r="X455" s="742" t="e">
        <f>#REF!/$B$6</f>
        <v>#REF!</v>
      </c>
      <c r="Y455" s="742" t="e">
        <f>#REF!/$B$6</f>
        <v>#REF!</v>
      </c>
      <c r="Z455" s="742" t="e">
        <f>#REF!/$B$6</f>
        <v>#REF!</v>
      </c>
      <c r="AA455" s="742" t="e">
        <f>#REF!/$B$6</f>
        <v>#REF!</v>
      </c>
    </row>
    <row r="456" spans="1:27" ht="15">
      <c r="A456" s="730" t="s">
        <v>755</v>
      </c>
      <c r="B456" s="742" t="e">
        <f>#REF!/$B$6</f>
        <v>#REF!</v>
      </c>
      <c r="C456" s="742" t="e">
        <f>#REF!/$B$6</f>
        <v>#REF!</v>
      </c>
      <c r="D456" s="742" t="e">
        <f>#REF!/$B$6</f>
        <v>#REF!</v>
      </c>
      <c r="E456" s="742" t="e">
        <f>#REF!/$B$6</f>
        <v>#REF!</v>
      </c>
      <c r="F456" s="742" t="e">
        <f>#REF!/$B$6</f>
        <v>#REF!</v>
      </c>
      <c r="G456" s="742" t="e">
        <f>#REF!/$B$6</f>
        <v>#REF!</v>
      </c>
      <c r="H456" s="742" t="e">
        <f>#REF!/$B$6</f>
        <v>#REF!</v>
      </c>
      <c r="I456" s="742" t="e">
        <f>#REF!/$B$6</f>
        <v>#REF!</v>
      </c>
      <c r="J456" s="742" t="e">
        <f>#REF!/$B$6</f>
        <v>#REF!</v>
      </c>
      <c r="K456" s="742" t="e">
        <f>#REF!/$B$6</f>
        <v>#REF!</v>
      </c>
      <c r="L456" s="742" t="e">
        <f>#REF!/$B$6</f>
        <v>#REF!</v>
      </c>
      <c r="M456" s="742" t="e">
        <f>#REF!/$B$6</f>
        <v>#REF!</v>
      </c>
      <c r="N456" s="742" t="e">
        <f>#REF!/$B$6</f>
        <v>#REF!</v>
      </c>
      <c r="O456" s="742" t="e">
        <f>#REF!/$B$6</f>
        <v>#REF!</v>
      </c>
      <c r="P456" s="742" t="e">
        <f>#REF!/$B$6</f>
        <v>#REF!</v>
      </c>
      <c r="Q456" s="742" t="e">
        <f>#REF!/$B$6</f>
        <v>#REF!</v>
      </c>
      <c r="R456" s="742" t="e">
        <f>#REF!/$B$6</f>
        <v>#REF!</v>
      </c>
      <c r="S456" s="742" t="e">
        <f>#REF!/$B$6</f>
        <v>#REF!</v>
      </c>
      <c r="T456" s="742" t="e">
        <f>#REF!/$B$6</f>
        <v>#REF!</v>
      </c>
      <c r="U456" s="742" t="e">
        <f>#REF!/$B$6</f>
        <v>#REF!</v>
      </c>
      <c r="V456" s="742" t="e">
        <f>#REF!/$B$6</f>
        <v>#REF!</v>
      </c>
      <c r="W456" s="742" t="e">
        <f>#REF!/$B$6</f>
        <v>#REF!</v>
      </c>
      <c r="X456" s="742" t="e">
        <f>#REF!/$B$6</f>
        <v>#REF!</v>
      </c>
      <c r="Y456" s="742" t="e">
        <f>#REF!/$B$6</f>
        <v>#REF!</v>
      </c>
      <c r="Z456" s="742" t="e">
        <f>#REF!/$B$6</f>
        <v>#REF!</v>
      </c>
      <c r="AA456" s="742" t="e">
        <f>#REF!/$B$6</f>
        <v>#REF!</v>
      </c>
    </row>
    <row r="457" spans="1:27">
      <c r="A457" s="760" t="s">
        <v>756</v>
      </c>
      <c r="B457" s="763" t="e">
        <f>#REF!/$B$6</f>
        <v>#REF!</v>
      </c>
      <c r="C457" s="763" t="e">
        <f>#REF!/$B$6</f>
        <v>#REF!</v>
      </c>
      <c r="D457" s="763" t="e">
        <f>#REF!/$B$6</f>
        <v>#REF!</v>
      </c>
      <c r="E457" s="763" t="e">
        <f>#REF!/$B$6</f>
        <v>#REF!</v>
      </c>
      <c r="F457" s="763" t="e">
        <f>#REF!/$B$6</f>
        <v>#REF!</v>
      </c>
      <c r="G457" s="763" t="e">
        <f>#REF!/$B$6</f>
        <v>#REF!</v>
      </c>
      <c r="H457" s="763" t="e">
        <f>#REF!/$B$6</f>
        <v>#REF!</v>
      </c>
      <c r="I457" s="763" t="e">
        <f>#REF!/$B$6</f>
        <v>#REF!</v>
      </c>
      <c r="J457" s="763" t="e">
        <f>#REF!/$B$6</f>
        <v>#REF!</v>
      </c>
      <c r="K457" s="763" t="e">
        <f>#REF!/$B$6</f>
        <v>#REF!</v>
      </c>
      <c r="L457" s="763" t="e">
        <f>#REF!/$B$6</f>
        <v>#REF!</v>
      </c>
      <c r="M457" s="763" t="e">
        <f>#REF!/$B$6</f>
        <v>#REF!</v>
      </c>
      <c r="N457" s="763" t="e">
        <f>#REF!/$B$6</f>
        <v>#REF!</v>
      </c>
      <c r="O457" s="763" t="e">
        <f>#REF!/$B$6</f>
        <v>#REF!</v>
      </c>
      <c r="P457" s="763" t="e">
        <f>#REF!/$B$6</f>
        <v>#REF!</v>
      </c>
      <c r="Q457" s="763" t="e">
        <f>#REF!/$B$6</f>
        <v>#REF!</v>
      </c>
      <c r="R457" s="763" t="e">
        <f>#REF!/$B$6</f>
        <v>#REF!</v>
      </c>
      <c r="S457" s="763" t="e">
        <f>#REF!/$B$6</f>
        <v>#REF!</v>
      </c>
      <c r="T457" s="763" t="e">
        <f>#REF!/$B$6</f>
        <v>#REF!</v>
      </c>
      <c r="U457" s="763" t="e">
        <f>#REF!/$B$6</f>
        <v>#REF!</v>
      </c>
      <c r="V457" s="763" t="e">
        <f>#REF!/$B$6</f>
        <v>#REF!</v>
      </c>
      <c r="W457" s="763" t="e">
        <f>#REF!/$B$6</f>
        <v>#REF!</v>
      </c>
      <c r="X457" s="763" t="e">
        <f>#REF!/$B$6</f>
        <v>#REF!</v>
      </c>
      <c r="Y457" s="763" t="e">
        <f>#REF!/$B$6</f>
        <v>#REF!</v>
      </c>
      <c r="Z457" s="763" t="e">
        <f>#REF!/$B$6</f>
        <v>#REF!</v>
      </c>
      <c r="AA457" s="763" t="e">
        <f>#REF!/$B$6</f>
        <v>#REF!</v>
      </c>
    </row>
    <row r="465" spans="1:27">
      <c r="A465" s="735" t="s">
        <v>591</v>
      </c>
      <c r="B465" s="735">
        <f>B$12</f>
        <v>2003</v>
      </c>
      <c r="C465" s="735">
        <f t="shared" ref="C465:AA465" si="252">C$12</f>
        <v>2004</v>
      </c>
      <c r="D465" s="735">
        <f t="shared" si="252"/>
        <v>2005</v>
      </c>
      <c r="E465" s="735">
        <f t="shared" si="252"/>
        <v>2006</v>
      </c>
      <c r="F465" s="735">
        <f t="shared" si="252"/>
        <v>2007</v>
      </c>
      <c r="G465" s="735">
        <f t="shared" si="252"/>
        <v>2008</v>
      </c>
      <c r="H465" s="735">
        <f t="shared" si="252"/>
        <v>2009</v>
      </c>
      <c r="I465" s="735">
        <f t="shared" si="252"/>
        <v>2010</v>
      </c>
      <c r="J465" s="735">
        <f t="shared" si="252"/>
        <v>2011</v>
      </c>
      <c r="K465" s="735">
        <f t="shared" si="252"/>
        <v>2012</v>
      </c>
      <c r="L465" s="735">
        <f t="shared" si="252"/>
        <v>2013</v>
      </c>
      <c r="M465" s="735">
        <f t="shared" si="252"/>
        <v>2014</v>
      </c>
      <c r="N465" s="735">
        <f t="shared" si="252"/>
        <v>2015</v>
      </c>
      <c r="O465" s="735">
        <f t="shared" si="252"/>
        <v>2016</v>
      </c>
      <c r="P465" s="735">
        <f t="shared" si="252"/>
        <v>2017</v>
      </c>
      <c r="Q465" s="735">
        <f t="shared" si="252"/>
        <v>2018</v>
      </c>
      <c r="R465" s="735">
        <f t="shared" si="252"/>
        <v>2019</v>
      </c>
      <c r="S465" s="735">
        <f t="shared" si="252"/>
        <v>2020</v>
      </c>
      <c r="T465" s="735">
        <f t="shared" si="252"/>
        <v>2021</v>
      </c>
      <c r="U465" s="735">
        <f t="shared" si="252"/>
        <v>2022</v>
      </c>
      <c r="V465" s="735">
        <f t="shared" si="252"/>
        <v>2023</v>
      </c>
      <c r="W465" s="735">
        <f t="shared" si="252"/>
        <v>2024</v>
      </c>
      <c r="X465" s="735">
        <f t="shared" si="252"/>
        <v>2025</v>
      </c>
      <c r="Y465" s="735">
        <f t="shared" si="252"/>
        <v>2026</v>
      </c>
      <c r="Z465" s="735">
        <f t="shared" si="252"/>
        <v>2027</v>
      </c>
      <c r="AA465" s="735">
        <f t="shared" si="252"/>
        <v>2028</v>
      </c>
    </row>
    <row r="467" spans="1:27" ht="15">
      <c r="A467" s="730" t="s">
        <v>757</v>
      </c>
      <c r="B467" s="742" t="e">
        <f>#REF!/$B$6</f>
        <v>#REF!</v>
      </c>
      <c r="C467" s="742" t="e">
        <f>#REF!/$B$6</f>
        <v>#REF!</v>
      </c>
      <c r="D467" s="742" t="e">
        <f>#REF!/$B$6</f>
        <v>#REF!</v>
      </c>
      <c r="E467" s="742" t="e">
        <f>#REF!/$B$6</f>
        <v>#REF!</v>
      </c>
      <c r="F467" s="742" t="e">
        <f>#REF!/$B$6</f>
        <v>#REF!</v>
      </c>
      <c r="G467" s="742" t="e">
        <f>#REF!/$B$6</f>
        <v>#REF!</v>
      </c>
      <c r="H467" s="742" t="e">
        <f>#REF!/$B$6</f>
        <v>#REF!</v>
      </c>
      <c r="I467" s="742" t="e">
        <f>#REF!/$B$6</f>
        <v>#REF!</v>
      </c>
      <c r="J467" s="742" t="e">
        <f>#REF!/$B$6</f>
        <v>#REF!</v>
      </c>
      <c r="K467" s="742" t="e">
        <f>#REF!/$B$6</f>
        <v>#REF!</v>
      </c>
      <c r="L467" s="742" t="e">
        <f>#REF!/$B$6</f>
        <v>#REF!</v>
      </c>
      <c r="M467" s="742" t="e">
        <f>#REF!/$B$6</f>
        <v>#REF!</v>
      </c>
      <c r="N467" s="742" t="e">
        <f>#REF!/$B$6</f>
        <v>#REF!</v>
      </c>
      <c r="O467" s="742" t="e">
        <f>#REF!/$B$6</f>
        <v>#REF!</v>
      </c>
      <c r="P467" s="742" t="e">
        <f>#REF!/$B$6</f>
        <v>#REF!</v>
      </c>
      <c r="Q467" s="742" t="e">
        <f>#REF!/$B$6</f>
        <v>#REF!</v>
      </c>
      <c r="R467" s="742" t="e">
        <f>#REF!/$B$6</f>
        <v>#REF!</v>
      </c>
      <c r="S467" s="742" t="e">
        <f>#REF!/$B$6</f>
        <v>#REF!</v>
      </c>
      <c r="T467" s="742" t="e">
        <f>#REF!/$B$6</f>
        <v>#REF!</v>
      </c>
      <c r="U467" s="742" t="e">
        <f>#REF!/$B$6</f>
        <v>#REF!</v>
      </c>
      <c r="V467" s="742" t="e">
        <f>#REF!/$B$6</f>
        <v>#REF!</v>
      </c>
      <c r="W467" s="742" t="e">
        <f>#REF!/$B$6</f>
        <v>#REF!</v>
      </c>
      <c r="X467" s="742" t="e">
        <f>#REF!/$B$6</f>
        <v>#REF!</v>
      </c>
      <c r="Y467" s="742" t="e">
        <f>#REF!/$B$6</f>
        <v>#REF!</v>
      </c>
      <c r="Z467" s="742" t="e">
        <f>#REF!/$B$6</f>
        <v>#REF!</v>
      </c>
      <c r="AA467" s="742" t="e">
        <f>#REF!/$B$6</f>
        <v>#REF!</v>
      </c>
    </row>
    <row r="468" spans="1:27" ht="15">
      <c r="A468" s="730" t="s">
        <v>758</v>
      </c>
      <c r="B468" s="742" t="e">
        <f>#REF!/$B$6</f>
        <v>#REF!</v>
      </c>
      <c r="C468" s="742" t="e">
        <f>#REF!/$B$6</f>
        <v>#REF!</v>
      </c>
      <c r="D468" s="742" t="e">
        <f>#REF!/$B$6</f>
        <v>#REF!</v>
      </c>
      <c r="E468" s="742" t="e">
        <f>#REF!/$B$6</f>
        <v>#REF!</v>
      </c>
      <c r="F468" s="742" t="e">
        <f>#REF!/$B$6</f>
        <v>#REF!</v>
      </c>
      <c r="G468" s="742" t="e">
        <f>#REF!/$B$6</f>
        <v>#REF!</v>
      </c>
      <c r="H468" s="742" t="e">
        <f>#REF!/$B$6</f>
        <v>#REF!</v>
      </c>
      <c r="I468" s="742" t="e">
        <f>#REF!/$B$6</f>
        <v>#REF!</v>
      </c>
      <c r="J468" s="742" t="e">
        <f>#REF!/$B$6</f>
        <v>#REF!</v>
      </c>
      <c r="K468" s="742" t="e">
        <f>#REF!/$B$6</f>
        <v>#REF!</v>
      </c>
      <c r="L468" s="742" t="e">
        <f>#REF!/$B$6</f>
        <v>#REF!</v>
      </c>
      <c r="M468" s="742" t="e">
        <f>#REF!/$B$6</f>
        <v>#REF!</v>
      </c>
      <c r="N468" s="742" t="e">
        <f>#REF!/$B$6</f>
        <v>#REF!</v>
      </c>
      <c r="O468" s="742" t="e">
        <f>#REF!/$B$6</f>
        <v>#REF!</v>
      </c>
      <c r="P468" s="742" t="e">
        <f>#REF!/$B$6</f>
        <v>#REF!</v>
      </c>
      <c r="Q468" s="742" t="e">
        <f>#REF!/$B$6</f>
        <v>#REF!</v>
      </c>
      <c r="R468" s="742" t="e">
        <f>#REF!/$B$6</f>
        <v>#REF!</v>
      </c>
      <c r="S468" s="742" t="e">
        <f>#REF!/$B$6</f>
        <v>#REF!</v>
      </c>
      <c r="T468" s="742" t="e">
        <f>#REF!/$B$6</f>
        <v>#REF!</v>
      </c>
      <c r="U468" s="742" t="e">
        <f>#REF!/$B$6</f>
        <v>#REF!</v>
      </c>
      <c r="V468" s="742" t="e">
        <f>#REF!/$B$6</f>
        <v>#REF!</v>
      </c>
      <c r="W468" s="742" t="e">
        <f>#REF!/$B$6</f>
        <v>#REF!</v>
      </c>
      <c r="X468" s="742" t="e">
        <f>#REF!/$B$6</f>
        <v>#REF!</v>
      </c>
      <c r="Y468" s="742" t="e">
        <f>#REF!/$B$6</f>
        <v>#REF!</v>
      </c>
      <c r="Z468" s="742" t="e">
        <f>#REF!/$B$6</f>
        <v>#REF!</v>
      </c>
      <c r="AA468" s="742" t="e">
        <f>#REF!/$B$6</f>
        <v>#REF!</v>
      </c>
    </row>
    <row r="469" spans="1:27" ht="15">
      <c r="A469" s="730" t="s">
        <v>759</v>
      </c>
      <c r="B469" s="742" t="e">
        <f>#REF!/$B$6</f>
        <v>#REF!</v>
      </c>
      <c r="C469" s="742" t="e">
        <f>#REF!/$B$6</f>
        <v>#REF!</v>
      </c>
      <c r="D469" s="742" t="e">
        <f>#REF!/$B$6</f>
        <v>#REF!</v>
      </c>
      <c r="E469" s="742" t="e">
        <f>#REF!/$B$6</f>
        <v>#REF!</v>
      </c>
      <c r="F469" s="742" t="e">
        <f>#REF!/$B$6</f>
        <v>#REF!</v>
      </c>
      <c r="G469" s="742" t="e">
        <f>#REF!/$B$6</f>
        <v>#REF!</v>
      </c>
      <c r="H469" s="742" t="e">
        <f>#REF!/$B$6</f>
        <v>#REF!</v>
      </c>
      <c r="I469" s="742" t="e">
        <f>#REF!/$B$6</f>
        <v>#REF!</v>
      </c>
      <c r="J469" s="742" t="e">
        <f>#REF!/$B$6</f>
        <v>#REF!</v>
      </c>
      <c r="K469" s="742" t="e">
        <f>#REF!/$B$6</f>
        <v>#REF!</v>
      </c>
      <c r="L469" s="742" t="e">
        <f>#REF!/$B$6</f>
        <v>#REF!</v>
      </c>
      <c r="M469" s="742" t="e">
        <f>#REF!/$B$6</f>
        <v>#REF!</v>
      </c>
      <c r="N469" s="742" t="e">
        <f>#REF!/$B$6</f>
        <v>#REF!</v>
      </c>
      <c r="O469" s="742" t="e">
        <f>#REF!/$B$6</f>
        <v>#REF!</v>
      </c>
      <c r="P469" s="742" t="e">
        <f>#REF!/$B$6</f>
        <v>#REF!</v>
      </c>
      <c r="Q469" s="742" t="e">
        <f>#REF!/$B$6</f>
        <v>#REF!</v>
      </c>
      <c r="R469" s="742" t="e">
        <f>#REF!/$B$6</f>
        <v>#REF!</v>
      </c>
      <c r="S469" s="742" t="e">
        <f>#REF!/$B$6</f>
        <v>#REF!</v>
      </c>
      <c r="T469" s="742" t="e">
        <f>#REF!/$B$6</f>
        <v>#REF!</v>
      </c>
      <c r="U469" s="742" t="e">
        <f>#REF!/$B$6</f>
        <v>#REF!</v>
      </c>
      <c r="V469" s="742" t="e">
        <f>#REF!/$B$6</f>
        <v>#REF!</v>
      </c>
      <c r="W469" s="742" t="e">
        <f>#REF!/$B$6</f>
        <v>#REF!</v>
      </c>
      <c r="X469" s="742" t="e">
        <f>#REF!/$B$6</f>
        <v>#REF!</v>
      </c>
      <c r="Y469" s="742" t="e">
        <f>#REF!/$B$6</f>
        <v>#REF!</v>
      </c>
      <c r="Z469" s="742" t="e">
        <f>#REF!/$B$6</f>
        <v>#REF!</v>
      </c>
      <c r="AA469" s="742" t="e">
        <f>#REF!/$B$6</f>
        <v>#REF!</v>
      </c>
    </row>
    <row r="470" spans="1:27">
      <c r="A470" s="760" t="s">
        <v>760</v>
      </c>
      <c r="B470" s="763" t="e">
        <f>#REF!/$B$6</f>
        <v>#REF!</v>
      </c>
      <c r="C470" s="763" t="e">
        <f>#REF!/$B$6</f>
        <v>#REF!</v>
      </c>
      <c r="D470" s="763" t="e">
        <f>#REF!/$B$6</f>
        <v>#REF!</v>
      </c>
      <c r="E470" s="763" t="e">
        <f>#REF!/$B$6</f>
        <v>#REF!</v>
      </c>
      <c r="F470" s="763" t="e">
        <f>#REF!/$B$6</f>
        <v>#REF!</v>
      </c>
      <c r="G470" s="763" t="e">
        <f>#REF!/$B$6</f>
        <v>#REF!</v>
      </c>
      <c r="H470" s="763" t="e">
        <f>#REF!/$B$6</f>
        <v>#REF!</v>
      </c>
      <c r="I470" s="763" t="e">
        <f>#REF!/$B$6</f>
        <v>#REF!</v>
      </c>
      <c r="J470" s="763" t="e">
        <f>#REF!/$B$6</f>
        <v>#REF!</v>
      </c>
      <c r="K470" s="763" t="e">
        <f>#REF!/$B$6</f>
        <v>#REF!</v>
      </c>
      <c r="L470" s="763" t="e">
        <f>#REF!/$B$6</f>
        <v>#REF!</v>
      </c>
      <c r="M470" s="763" t="e">
        <f>#REF!/$B$6</f>
        <v>#REF!</v>
      </c>
      <c r="N470" s="763" t="e">
        <f>#REF!/$B$6</f>
        <v>#REF!</v>
      </c>
      <c r="O470" s="763" t="e">
        <f>#REF!/$B$6</f>
        <v>#REF!</v>
      </c>
      <c r="P470" s="763" t="e">
        <f>#REF!/$B$6</f>
        <v>#REF!</v>
      </c>
      <c r="Q470" s="763" t="e">
        <f>#REF!/$B$6</f>
        <v>#REF!</v>
      </c>
      <c r="R470" s="763" t="e">
        <f>#REF!/$B$6</f>
        <v>#REF!</v>
      </c>
      <c r="S470" s="763" t="e">
        <f>#REF!/$B$6</f>
        <v>#REF!</v>
      </c>
      <c r="T470" s="763" t="e">
        <f>#REF!/$B$6</f>
        <v>#REF!</v>
      </c>
      <c r="U470" s="763" t="e">
        <f>#REF!/$B$6</f>
        <v>#REF!</v>
      </c>
      <c r="V470" s="763" t="e">
        <f>#REF!/$B$6</f>
        <v>#REF!</v>
      </c>
      <c r="W470" s="763" t="e">
        <f>#REF!/$B$6</f>
        <v>#REF!</v>
      </c>
      <c r="X470" s="763" t="e">
        <f>#REF!/$B$6</f>
        <v>#REF!</v>
      </c>
      <c r="Y470" s="763" t="e">
        <f>#REF!/$B$6</f>
        <v>#REF!</v>
      </c>
      <c r="Z470" s="763" t="e">
        <f>#REF!/$B$6</f>
        <v>#REF!</v>
      </c>
      <c r="AA470" s="763" t="e">
        <f>#REF!/$B$6</f>
        <v>#REF!</v>
      </c>
    </row>
    <row r="472" spans="1:27">
      <c r="A472" s="732"/>
    </row>
    <row r="475" spans="1:27">
      <c r="A475" s="735" t="s">
        <v>761</v>
      </c>
      <c r="B475" s="735">
        <f>B$12</f>
        <v>2003</v>
      </c>
      <c r="C475" s="735">
        <f t="shared" ref="C475:AA475" si="253">C$12</f>
        <v>2004</v>
      </c>
      <c r="D475" s="735">
        <f t="shared" si="253"/>
        <v>2005</v>
      </c>
      <c r="E475" s="735">
        <f t="shared" si="253"/>
        <v>2006</v>
      </c>
      <c r="F475" s="735">
        <f t="shared" si="253"/>
        <v>2007</v>
      </c>
      <c r="G475" s="735">
        <f t="shared" si="253"/>
        <v>2008</v>
      </c>
      <c r="H475" s="735">
        <f t="shared" si="253"/>
        <v>2009</v>
      </c>
      <c r="I475" s="735">
        <f t="shared" si="253"/>
        <v>2010</v>
      </c>
      <c r="J475" s="735">
        <f t="shared" si="253"/>
        <v>2011</v>
      </c>
      <c r="K475" s="735">
        <f t="shared" si="253"/>
        <v>2012</v>
      </c>
      <c r="L475" s="735">
        <f t="shared" si="253"/>
        <v>2013</v>
      </c>
      <c r="M475" s="735">
        <f t="shared" si="253"/>
        <v>2014</v>
      </c>
      <c r="N475" s="735">
        <f t="shared" si="253"/>
        <v>2015</v>
      </c>
      <c r="O475" s="735">
        <f t="shared" si="253"/>
        <v>2016</v>
      </c>
      <c r="P475" s="735">
        <f t="shared" si="253"/>
        <v>2017</v>
      </c>
      <c r="Q475" s="735">
        <f t="shared" si="253"/>
        <v>2018</v>
      </c>
      <c r="R475" s="735">
        <f t="shared" si="253"/>
        <v>2019</v>
      </c>
      <c r="S475" s="735">
        <f t="shared" si="253"/>
        <v>2020</v>
      </c>
      <c r="T475" s="735">
        <f t="shared" si="253"/>
        <v>2021</v>
      </c>
      <c r="U475" s="735">
        <f t="shared" si="253"/>
        <v>2022</v>
      </c>
      <c r="V475" s="735">
        <f t="shared" si="253"/>
        <v>2023</v>
      </c>
      <c r="W475" s="735">
        <f t="shared" si="253"/>
        <v>2024</v>
      </c>
      <c r="X475" s="735">
        <f t="shared" si="253"/>
        <v>2025</v>
      </c>
      <c r="Y475" s="735">
        <f t="shared" si="253"/>
        <v>2026</v>
      </c>
      <c r="Z475" s="735">
        <f t="shared" si="253"/>
        <v>2027</v>
      </c>
      <c r="AA475" s="735">
        <f t="shared" si="253"/>
        <v>2028</v>
      </c>
    </row>
    <row r="477" spans="1:27" ht="15">
      <c r="A477" s="730" t="s">
        <v>762</v>
      </c>
      <c r="B477" s="736" t="e">
        <f>B454+B467</f>
        <v>#REF!</v>
      </c>
      <c r="C477" s="736" t="e">
        <f t="shared" ref="C477:Z480" si="254">C454+C467</f>
        <v>#REF!</v>
      </c>
      <c r="D477" s="736" t="e">
        <f t="shared" si="254"/>
        <v>#REF!</v>
      </c>
      <c r="E477" s="736" t="e">
        <f t="shared" si="254"/>
        <v>#REF!</v>
      </c>
      <c r="F477" s="736" t="e">
        <f t="shared" si="254"/>
        <v>#REF!</v>
      </c>
      <c r="G477" s="736" t="e">
        <f t="shared" si="254"/>
        <v>#REF!</v>
      </c>
      <c r="H477" s="736" t="e">
        <f t="shared" si="254"/>
        <v>#REF!</v>
      </c>
      <c r="I477" s="736" t="e">
        <f t="shared" si="254"/>
        <v>#REF!</v>
      </c>
      <c r="J477" s="736" t="e">
        <f t="shared" si="254"/>
        <v>#REF!</v>
      </c>
      <c r="K477" s="736" t="e">
        <f t="shared" si="254"/>
        <v>#REF!</v>
      </c>
      <c r="L477" s="736" t="e">
        <f t="shared" si="254"/>
        <v>#REF!</v>
      </c>
      <c r="M477" s="736" t="e">
        <f t="shared" si="254"/>
        <v>#REF!</v>
      </c>
      <c r="N477" s="736" t="e">
        <f t="shared" si="254"/>
        <v>#REF!</v>
      </c>
      <c r="O477" s="736" t="e">
        <f t="shared" si="254"/>
        <v>#REF!</v>
      </c>
      <c r="P477" s="736" t="e">
        <f t="shared" si="254"/>
        <v>#REF!</v>
      </c>
      <c r="Q477" s="736" t="e">
        <f t="shared" si="254"/>
        <v>#REF!</v>
      </c>
      <c r="R477" s="736" t="e">
        <f t="shared" si="254"/>
        <v>#REF!</v>
      </c>
      <c r="S477" s="736" t="e">
        <f t="shared" si="254"/>
        <v>#REF!</v>
      </c>
      <c r="T477" s="736" t="e">
        <f t="shared" si="254"/>
        <v>#REF!</v>
      </c>
      <c r="U477" s="736" t="e">
        <f t="shared" si="254"/>
        <v>#REF!</v>
      </c>
      <c r="V477" s="736" t="e">
        <f t="shared" si="254"/>
        <v>#REF!</v>
      </c>
      <c r="W477" s="736" t="e">
        <f t="shared" si="254"/>
        <v>#REF!</v>
      </c>
      <c r="X477" s="736" t="e">
        <f t="shared" si="254"/>
        <v>#REF!</v>
      </c>
      <c r="Y477" s="736" t="e">
        <f t="shared" si="254"/>
        <v>#REF!</v>
      </c>
      <c r="Z477" s="736" t="e">
        <f t="shared" si="254"/>
        <v>#REF!</v>
      </c>
      <c r="AA477" s="736" t="e">
        <f t="shared" ref="AA477" si="255">AA454+AA467</f>
        <v>#REF!</v>
      </c>
    </row>
    <row r="478" spans="1:27" ht="15">
      <c r="A478" s="730" t="s">
        <v>763</v>
      </c>
      <c r="B478" s="736" t="e">
        <f t="shared" ref="B478:Q480" si="256">B455+B468</f>
        <v>#REF!</v>
      </c>
      <c r="C478" s="736" t="e">
        <f t="shared" si="256"/>
        <v>#REF!</v>
      </c>
      <c r="D478" s="736" t="e">
        <f t="shared" si="256"/>
        <v>#REF!</v>
      </c>
      <c r="E478" s="736" t="e">
        <f t="shared" si="256"/>
        <v>#REF!</v>
      </c>
      <c r="F478" s="736" t="e">
        <f t="shared" si="256"/>
        <v>#REF!</v>
      </c>
      <c r="G478" s="736" t="e">
        <f t="shared" si="256"/>
        <v>#REF!</v>
      </c>
      <c r="H478" s="736" t="e">
        <f t="shared" si="256"/>
        <v>#REF!</v>
      </c>
      <c r="I478" s="736" t="e">
        <f t="shared" si="256"/>
        <v>#REF!</v>
      </c>
      <c r="J478" s="736" t="e">
        <f t="shared" si="256"/>
        <v>#REF!</v>
      </c>
      <c r="K478" s="736" t="e">
        <f t="shared" si="256"/>
        <v>#REF!</v>
      </c>
      <c r="L478" s="736" t="e">
        <f t="shared" si="256"/>
        <v>#REF!</v>
      </c>
      <c r="M478" s="736" t="e">
        <f t="shared" si="256"/>
        <v>#REF!</v>
      </c>
      <c r="N478" s="736" t="e">
        <f t="shared" si="256"/>
        <v>#REF!</v>
      </c>
      <c r="O478" s="736" t="e">
        <f t="shared" si="256"/>
        <v>#REF!</v>
      </c>
      <c r="P478" s="736" t="e">
        <f t="shared" si="256"/>
        <v>#REF!</v>
      </c>
      <c r="Q478" s="736" t="e">
        <f t="shared" si="256"/>
        <v>#REF!</v>
      </c>
      <c r="R478" s="736" t="e">
        <f t="shared" si="254"/>
        <v>#REF!</v>
      </c>
      <c r="S478" s="736" t="e">
        <f t="shared" si="254"/>
        <v>#REF!</v>
      </c>
      <c r="T478" s="736" t="e">
        <f t="shared" si="254"/>
        <v>#REF!</v>
      </c>
      <c r="U478" s="736" t="e">
        <f t="shared" si="254"/>
        <v>#REF!</v>
      </c>
      <c r="V478" s="736" t="e">
        <f t="shared" si="254"/>
        <v>#REF!</v>
      </c>
      <c r="W478" s="736" t="e">
        <f t="shared" si="254"/>
        <v>#REF!</v>
      </c>
      <c r="X478" s="736" t="e">
        <f t="shared" si="254"/>
        <v>#REF!</v>
      </c>
      <c r="Y478" s="736" t="e">
        <f t="shared" si="254"/>
        <v>#REF!</v>
      </c>
      <c r="Z478" s="736" t="e">
        <f t="shared" si="254"/>
        <v>#REF!</v>
      </c>
      <c r="AA478" s="736" t="e">
        <f t="shared" ref="AA478" si="257">AA455+AA468</f>
        <v>#REF!</v>
      </c>
    </row>
    <row r="479" spans="1:27" ht="15">
      <c r="A479" s="730" t="s">
        <v>764</v>
      </c>
      <c r="B479" s="736" t="e">
        <f t="shared" si="256"/>
        <v>#REF!</v>
      </c>
      <c r="C479" s="736" t="e">
        <f t="shared" si="254"/>
        <v>#REF!</v>
      </c>
      <c r="D479" s="736" t="e">
        <f t="shared" si="254"/>
        <v>#REF!</v>
      </c>
      <c r="E479" s="736" t="e">
        <f t="shared" si="254"/>
        <v>#REF!</v>
      </c>
      <c r="F479" s="736" t="e">
        <f t="shared" si="254"/>
        <v>#REF!</v>
      </c>
      <c r="G479" s="736" t="e">
        <f t="shared" si="254"/>
        <v>#REF!</v>
      </c>
      <c r="H479" s="736" t="e">
        <f t="shared" si="254"/>
        <v>#REF!</v>
      </c>
      <c r="I479" s="736" t="e">
        <f t="shared" si="254"/>
        <v>#REF!</v>
      </c>
      <c r="J479" s="736" t="e">
        <f t="shared" si="254"/>
        <v>#REF!</v>
      </c>
      <c r="K479" s="736" t="e">
        <f t="shared" si="254"/>
        <v>#REF!</v>
      </c>
      <c r="L479" s="736" t="e">
        <f t="shared" si="254"/>
        <v>#REF!</v>
      </c>
      <c r="M479" s="736" t="e">
        <f t="shared" si="254"/>
        <v>#REF!</v>
      </c>
      <c r="N479" s="736" t="e">
        <f t="shared" si="254"/>
        <v>#REF!</v>
      </c>
      <c r="O479" s="736" t="e">
        <f t="shared" si="254"/>
        <v>#REF!</v>
      </c>
      <c r="P479" s="736" t="e">
        <f t="shared" si="254"/>
        <v>#REF!</v>
      </c>
      <c r="Q479" s="736" t="e">
        <f t="shared" si="254"/>
        <v>#REF!</v>
      </c>
      <c r="R479" s="736" t="e">
        <f t="shared" si="254"/>
        <v>#REF!</v>
      </c>
      <c r="S479" s="736" t="e">
        <f t="shared" si="254"/>
        <v>#REF!</v>
      </c>
      <c r="T479" s="736" t="e">
        <f t="shared" si="254"/>
        <v>#REF!</v>
      </c>
      <c r="U479" s="736" t="e">
        <f t="shared" si="254"/>
        <v>#REF!</v>
      </c>
      <c r="V479" s="736" t="e">
        <f t="shared" si="254"/>
        <v>#REF!</v>
      </c>
      <c r="W479" s="736" t="e">
        <f t="shared" si="254"/>
        <v>#REF!</v>
      </c>
      <c r="X479" s="736" t="e">
        <f t="shared" si="254"/>
        <v>#REF!</v>
      </c>
      <c r="Y479" s="736" t="e">
        <f t="shared" si="254"/>
        <v>#REF!</v>
      </c>
      <c r="Z479" s="736" t="e">
        <f t="shared" si="254"/>
        <v>#REF!</v>
      </c>
      <c r="AA479" s="736" t="e">
        <f t="shared" ref="AA479" si="258">AA456+AA469</f>
        <v>#REF!</v>
      </c>
    </row>
    <row r="480" spans="1:27">
      <c r="A480" s="760" t="s">
        <v>765</v>
      </c>
      <c r="B480" s="761" t="e">
        <f t="shared" si="256"/>
        <v>#REF!</v>
      </c>
      <c r="C480" s="761" t="e">
        <f t="shared" si="254"/>
        <v>#REF!</v>
      </c>
      <c r="D480" s="761" t="e">
        <f t="shared" si="254"/>
        <v>#REF!</v>
      </c>
      <c r="E480" s="761" t="e">
        <f t="shared" si="254"/>
        <v>#REF!</v>
      </c>
      <c r="F480" s="761" t="e">
        <f t="shared" si="254"/>
        <v>#REF!</v>
      </c>
      <c r="G480" s="761" t="e">
        <f t="shared" si="254"/>
        <v>#REF!</v>
      </c>
      <c r="H480" s="761" t="e">
        <f t="shared" si="254"/>
        <v>#REF!</v>
      </c>
      <c r="I480" s="761" t="e">
        <f t="shared" si="254"/>
        <v>#REF!</v>
      </c>
      <c r="J480" s="761" t="e">
        <f t="shared" si="254"/>
        <v>#REF!</v>
      </c>
      <c r="K480" s="761" t="e">
        <f t="shared" si="254"/>
        <v>#REF!</v>
      </c>
      <c r="L480" s="761" t="e">
        <f t="shared" si="254"/>
        <v>#REF!</v>
      </c>
      <c r="M480" s="761" t="e">
        <f t="shared" si="254"/>
        <v>#REF!</v>
      </c>
      <c r="N480" s="761" t="e">
        <f t="shared" si="254"/>
        <v>#REF!</v>
      </c>
      <c r="O480" s="761" t="e">
        <f t="shared" si="254"/>
        <v>#REF!</v>
      </c>
      <c r="P480" s="761" t="e">
        <f t="shared" si="254"/>
        <v>#REF!</v>
      </c>
      <c r="Q480" s="761" t="e">
        <f t="shared" si="254"/>
        <v>#REF!</v>
      </c>
      <c r="R480" s="761" t="e">
        <f t="shared" si="254"/>
        <v>#REF!</v>
      </c>
      <c r="S480" s="761" t="e">
        <f t="shared" si="254"/>
        <v>#REF!</v>
      </c>
      <c r="T480" s="761" t="e">
        <f t="shared" si="254"/>
        <v>#REF!</v>
      </c>
      <c r="U480" s="761" t="e">
        <f t="shared" si="254"/>
        <v>#REF!</v>
      </c>
      <c r="V480" s="761" t="e">
        <f t="shared" si="254"/>
        <v>#REF!</v>
      </c>
      <c r="W480" s="761" t="e">
        <f t="shared" si="254"/>
        <v>#REF!</v>
      </c>
      <c r="X480" s="761" t="e">
        <f t="shared" si="254"/>
        <v>#REF!</v>
      </c>
      <c r="Y480" s="761" t="e">
        <f t="shared" si="254"/>
        <v>#REF!</v>
      </c>
      <c r="Z480" s="761" t="e">
        <f t="shared" si="254"/>
        <v>#REF!</v>
      </c>
      <c r="AA480" s="761" t="e">
        <f t="shared" ref="AA480" si="259">AA457+AA470</f>
        <v>#REF!</v>
      </c>
    </row>
    <row r="481" spans="1:27" ht="15">
      <c r="B481" s="736"/>
    </row>
    <row r="484" spans="1:27">
      <c r="A484" s="732"/>
    </row>
    <row r="485" spans="1:27">
      <c r="A485" s="735" t="s">
        <v>596</v>
      </c>
      <c r="B485" s="735">
        <f>B$12</f>
        <v>2003</v>
      </c>
      <c r="C485" s="735">
        <f t="shared" ref="C485:AA485" si="260">C$12</f>
        <v>2004</v>
      </c>
      <c r="D485" s="735">
        <f t="shared" si="260"/>
        <v>2005</v>
      </c>
      <c r="E485" s="735">
        <f t="shared" si="260"/>
        <v>2006</v>
      </c>
      <c r="F485" s="735">
        <f t="shared" si="260"/>
        <v>2007</v>
      </c>
      <c r="G485" s="735">
        <f t="shared" si="260"/>
        <v>2008</v>
      </c>
      <c r="H485" s="735">
        <f t="shared" si="260"/>
        <v>2009</v>
      </c>
      <c r="I485" s="735">
        <f t="shared" si="260"/>
        <v>2010</v>
      </c>
      <c r="J485" s="735">
        <f t="shared" si="260"/>
        <v>2011</v>
      </c>
      <c r="K485" s="735">
        <f t="shared" si="260"/>
        <v>2012</v>
      </c>
      <c r="L485" s="735">
        <f t="shared" si="260"/>
        <v>2013</v>
      </c>
      <c r="M485" s="735">
        <f t="shared" si="260"/>
        <v>2014</v>
      </c>
      <c r="N485" s="735">
        <f t="shared" si="260"/>
        <v>2015</v>
      </c>
      <c r="O485" s="735">
        <f t="shared" si="260"/>
        <v>2016</v>
      </c>
      <c r="P485" s="735">
        <f t="shared" si="260"/>
        <v>2017</v>
      </c>
      <c r="Q485" s="735">
        <f t="shared" si="260"/>
        <v>2018</v>
      </c>
      <c r="R485" s="735">
        <f t="shared" si="260"/>
        <v>2019</v>
      </c>
      <c r="S485" s="735">
        <f t="shared" si="260"/>
        <v>2020</v>
      </c>
      <c r="T485" s="735">
        <f t="shared" si="260"/>
        <v>2021</v>
      </c>
      <c r="U485" s="735">
        <f t="shared" si="260"/>
        <v>2022</v>
      </c>
      <c r="V485" s="735">
        <f t="shared" si="260"/>
        <v>2023</v>
      </c>
      <c r="W485" s="735">
        <f t="shared" si="260"/>
        <v>2024</v>
      </c>
      <c r="X485" s="735">
        <f t="shared" si="260"/>
        <v>2025</v>
      </c>
      <c r="Y485" s="735">
        <f t="shared" si="260"/>
        <v>2026</v>
      </c>
      <c r="Z485" s="735">
        <f t="shared" si="260"/>
        <v>2027</v>
      </c>
      <c r="AA485" s="735">
        <f t="shared" si="260"/>
        <v>2028</v>
      </c>
    </row>
    <row r="487" spans="1:27" ht="15">
      <c r="A487" s="730" t="s">
        <v>596</v>
      </c>
      <c r="B487" s="742" t="e">
        <f>#REF!/$B$6</f>
        <v>#REF!</v>
      </c>
      <c r="C487" s="742" t="e">
        <f>#REF!/$B$6</f>
        <v>#REF!</v>
      </c>
      <c r="D487" s="742" t="e">
        <f>#REF!/$B$6</f>
        <v>#REF!</v>
      </c>
      <c r="E487" s="742" t="e">
        <f>#REF!/$B$6</f>
        <v>#REF!</v>
      </c>
      <c r="F487" s="742" t="e">
        <f>#REF!/$B$6</f>
        <v>#REF!</v>
      </c>
      <c r="G487" s="742" t="e">
        <f>#REF!/$B$6</f>
        <v>#REF!</v>
      </c>
      <c r="H487" s="742" t="e">
        <f>#REF!/$B$6</f>
        <v>#REF!</v>
      </c>
      <c r="I487" s="742" t="e">
        <f>#REF!/$B$6</f>
        <v>#REF!</v>
      </c>
      <c r="J487" s="742" t="e">
        <f>#REF!/$B$6</f>
        <v>#REF!</v>
      </c>
      <c r="K487" s="742" t="e">
        <f>#REF!/$B$6</f>
        <v>#REF!</v>
      </c>
      <c r="L487" s="742" t="e">
        <f>#REF!/$B$6</f>
        <v>#REF!</v>
      </c>
      <c r="M487" s="742" t="e">
        <f>#REF!/$B$6</f>
        <v>#REF!</v>
      </c>
      <c r="N487" s="742" t="e">
        <f>#REF!/$B$6</f>
        <v>#REF!</v>
      </c>
      <c r="O487" s="742" t="e">
        <f>#REF!/$B$6</f>
        <v>#REF!</v>
      </c>
      <c r="P487" s="742" t="e">
        <f>#REF!/$B$6</f>
        <v>#REF!</v>
      </c>
      <c r="Q487" s="742" t="e">
        <f>#REF!/$B$6</f>
        <v>#REF!</v>
      </c>
      <c r="R487" s="742" t="e">
        <f>#REF!/$B$6</f>
        <v>#REF!</v>
      </c>
      <c r="S487" s="742" t="e">
        <f>#REF!/$B$6</f>
        <v>#REF!</v>
      </c>
      <c r="T487" s="742" t="e">
        <f>#REF!/$B$6</f>
        <v>#REF!</v>
      </c>
      <c r="U487" s="742" t="e">
        <f>#REF!/$B$6</f>
        <v>#REF!</v>
      </c>
      <c r="V487" s="742" t="e">
        <f>#REF!/$B$6</f>
        <v>#REF!</v>
      </c>
      <c r="W487" s="742" t="e">
        <f>#REF!/$B$6</f>
        <v>#REF!</v>
      </c>
      <c r="X487" s="742" t="e">
        <f>#REF!/$B$6</f>
        <v>#REF!</v>
      </c>
      <c r="Y487" s="742" t="e">
        <f>#REF!/$B$6</f>
        <v>#REF!</v>
      </c>
      <c r="Z487" s="742" t="e">
        <f>#REF!/$B$6</f>
        <v>#REF!</v>
      </c>
      <c r="AA487" s="742" t="e">
        <f>#REF!/$B$6</f>
        <v>#REF!</v>
      </c>
    </row>
    <row r="498" spans="1:27" ht="15">
      <c r="J498" s="740"/>
    </row>
    <row r="500" spans="1:27">
      <c r="A500" s="733" t="s">
        <v>766</v>
      </c>
      <c r="B500" s="734"/>
      <c r="C500" s="734"/>
      <c r="D500" s="734"/>
      <c r="E500" s="734"/>
      <c r="F500" s="734"/>
      <c r="G500" s="734"/>
      <c r="H500" s="734"/>
      <c r="I500" s="734"/>
      <c r="J500" s="734"/>
      <c r="K500" s="734"/>
      <c r="L500" s="734"/>
      <c r="M500" s="734"/>
      <c r="N500" s="734"/>
      <c r="O500" s="734"/>
      <c r="P500" s="734"/>
      <c r="Q500" s="734"/>
      <c r="R500" s="734"/>
      <c r="S500" s="734"/>
      <c r="T500" s="734"/>
      <c r="U500" s="734"/>
      <c r="V500" s="734"/>
      <c r="W500" s="734"/>
      <c r="X500" s="734"/>
      <c r="Y500" s="734"/>
      <c r="Z500" s="734"/>
      <c r="AA500" s="734"/>
    </row>
    <row r="502" spans="1:27">
      <c r="A502" s="735" t="s">
        <v>767</v>
      </c>
      <c r="B502" s="735">
        <f>B$12</f>
        <v>2003</v>
      </c>
      <c r="C502" s="735">
        <f t="shared" ref="C502:AA502" si="261">C$12</f>
        <v>2004</v>
      </c>
      <c r="D502" s="735">
        <f t="shared" si="261"/>
        <v>2005</v>
      </c>
      <c r="E502" s="735">
        <f t="shared" si="261"/>
        <v>2006</v>
      </c>
      <c r="F502" s="735">
        <f t="shared" si="261"/>
        <v>2007</v>
      </c>
      <c r="G502" s="735">
        <f t="shared" si="261"/>
        <v>2008</v>
      </c>
      <c r="H502" s="735">
        <f t="shared" si="261"/>
        <v>2009</v>
      </c>
      <c r="I502" s="735">
        <f t="shared" si="261"/>
        <v>2010</v>
      </c>
      <c r="J502" s="735">
        <f t="shared" si="261"/>
        <v>2011</v>
      </c>
      <c r="K502" s="735">
        <f t="shared" si="261"/>
        <v>2012</v>
      </c>
      <c r="L502" s="735">
        <f t="shared" si="261"/>
        <v>2013</v>
      </c>
      <c r="M502" s="735">
        <f t="shared" si="261"/>
        <v>2014</v>
      </c>
      <c r="N502" s="735">
        <f t="shared" si="261"/>
        <v>2015</v>
      </c>
      <c r="O502" s="735">
        <f t="shared" si="261"/>
        <v>2016</v>
      </c>
      <c r="P502" s="735">
        <f t="shared" si="261"/>
        <v>2017</v>
      </c>
      <c r="Q502" s="735">
        <f t="shared" si="261"/>
        <v>2018</v>
      </c>
      <c r="R502" s="735">
        <f t="shared" si="261"/>
        <v>2019</v>
      </c>
      <c r="S502" s="735">
        <f t="shared" si="261"/>
        <v>2020</v>
      </c>
      <c r="T502" s="735">
        <f t="shared" si="261"/>
        <v>2021</v>
      </c>
      <c r="U502" s="735">
        <f t="shared" si="261"/>
        <v>2022</v>
      </c>
      <c r="V502" s="735">
        <f t="shared" si="261"/>
        <v>2023</v>
      </c>
      <c r="W502" s="735">
        <f t="shared" si="261"/>
        <v>2024</v>
      </c>
      <c r="X502" s="735">
        <f t="shared" si="261"/>
        <v>2025</v>
      </c>
      <c r="Y502" s="735">
        <f t="shared" si="261"/>
        <v>2026</v>
      </c>
      <c r="Z502" s="735">
        <f t="shared" si="261"/>
        <v>2027</v>
      </c>
      <c r="AA502" s="735">
        <f t="shared" si="261"/>
        <v>2028</v>
      </c>
    </row>
    <row r="504" spans="1:27" ht="15">
      <c r="A504" s="730" t="s">
        <v>768</v>
      </c>
      <c r="B504" s="742" t="e">
        <f>#REF!/$B$6</f>
        <v>#REF!</v>
      </c>
      <c r="C504" s="742" t="e">
        <f>#REF!/$B$6</f>
        <v>#REF!</v>
      </c>
      <c r="D504" s="742" t="e">
        <f>#REF!/$B$6</f>
        <v>#REF!</v>
      </c>
      <c r="E504" s="742" t="e">
        <f>#REF!/$B$6</f>
        <v>#REF!</v>
      </c>
      <c r="F504" s="742" t="e">
        <f>#REF!/$B$6</f>
        <v>#REF!</v>
      </c>
      <c r="G504" s="742" t="e">
        <f>#REF!/$B$6</f>
        <v>#REF!</v>
      </c>
      <c r="H504" s="742" t="e">
        <f>#REF!/$B$6</f>
        <v>#REF!</v>
      </c>
      <c r="I504" s="742" t="e">
        <f>#REF!/$B$6</f>
        <v>#REF!</v>
      </c>
      <c r="J504" s="742" t="e">
        <f>#REF!/$B$6</f>
        <v>#REF!</v>
      </c>
      <c r="K504" s="742" t="e">
        <f>#REF!/$B$6</f>
        <v>#REF!</v>
      </c>
      <c r="L504" s="742" t="e">
        <f>#REF!/$B$6</f>
        <v>#REF!</v>
      </c>
      <c r="M504" s="742" t="e">
        <f>#REF!/$B$6</f>
        <v>#REF!</v>
      </c>
      <c r="N504" s="742" t="e">
        <f>#REF!/$B$6</f>
        <v>#REF!</v>
      </c>
      <c r="O504" s="742" t="e">
        <f>#REF!/$B$6</f>
        <v>#REF!</v>
      </c>
      <c r="P504" s="742" t="e">
        <f>#REF!/$B$6</f>
        <v>#REF!</v>
      </c>
      <c r="Q504" s="742" t="e">
        <f>#REF!/$B$6</f>
        <v>#REF!</v>
      </c>
      <c r="R504" s="742" t="e">
        <f>#REF!/$B$6</f>
        <v>#REF!</v>
      </c>
      <c r="S504" s="742" t="e">
        <f>#REF!/$B$6</f>
        <v>#REF!</v>
      </c>
      <c r="T504" s="742" t="e">
        <f>#REF!/$B$6</f>
        <v>#REF!</v>
      </c>
      <c r="U504" s="742" t="e">
        <f>#REF!/$B$6</f>
        <v>#REF!</v>
      </c>
      <c r="V504" s="742" t="e">
        <f>#REF!/$B$6</f>
        <v>#REF!</v>
      </c>
      <c r="W504" s="742" t="e">
        <f>#REF!/$B$6</f>
        <v>#REF!</v>
      </c>
      <c r="X504" s="742" t="e">
        <f>#REF!/$B$6</f>
        <v>#REF!</v>
      </c>
      <c r="Y504" s="742" t="e">
        <f>#REF!/$B$6</f>
        <v>#REF!</v>
      </c>
      <c r="Z504" s="742" t="e">
        <f>#REF!/$B$6</f>
        <v>#REF!</v>
      </c>
      <c r="AA504" s="742" t="e">
        <f>#REF!/$B$6</f>
        <v>#REF!</v>
      </c>
    </row>
    <row r="505" spans="1:27" ht="15">
      <c r="A505" s="730" t="s">
        <v>769</v>
      </c>
      <c r="B505" s="742" t="e">
        <f>#REF!/$B$6</f>
        <v>#REF!</v>
      </c>
      <c r="C505" s="742" t="e">
        <f>#REF!/$B$6</f>
        <v>#REF!</v>
      </c>
      <c r="D505" s="742" t="e">
        <f>#REF!/$B$6</f>
        <v>#REF!</v>
      </c>
      <c r="E505" s="742" t="e">
        <f>#REF!/$B$6</f>
        <v>#REF!</v>
      </c>
      <c r="F505" s="742" t="e">
        <f>#REF!/$B$6</f>
        <v>#REF!</v>
      </c>
      <c r="G505" s="742" t="e">
        <f>#REF!/$B$6</f>
        <v>#REF!</v>
      </c>
      <c r="H505" s="742" t="e">
        <f>#REF!/$B$6</f>
        <v>#REF!</v>
      </c>
      <c r="I505" s="742" t="e">
        <f>#REF!/$B$6</f>
        <v>#REF!</v>
      </c>
      <c r="J505" s="742" t="e">
        <f>#REF!/$B$6</f>
        <v>#REF!</v>
      </c>
      <c r="K505" s="742" t="e">
        <f>#REF!/$B$6</f>
        <v>#REF!</v>
      </c>
      <c r="L505" s="742" t="e">
        <f>#REF!/$B$6</f>
        <v>#REF!</v>
      </c>
      <c r="M505" s="742" t="e">
        <f>#REF!/$B$6</f>
        <v>#REF!</v>
      </c>
      <c r="N505" s="742" t="e">
        <f>#REF!/$B$6</f>
        <v>#REF!</v>
      </c>
      <c r="O505" s="742" t="e">
        <f>#REF!/$B$6</f>
        <v>#REF!</v>
      </c>
      <c r="P505" s="742" t="e">
        <f>#REF!/$B$6</f>
        <v>#REF!</v>
      </c>
      <c r="Q505" s="742" t="e">
        <f>#REF!/$B$6</f>
        <v>#REF!</v>
      </c>
      <c r="R505" s="742" t="e">
        <f>#REF!/$B$6</f>
        <v>#REF!</v>
      </c>
      <c r="S505" s="742" t="e">
        <f>#REF!/$B$6</f>
        <v>#REF!</v>
      </c>
      <c r="T505" s="742" t="e">
        <f>#REF!/$B$6</f>
        <v>#REF!</v>
      </c>
      <c r="U505" s="742" t="e">
        <f>#REF!/$B$6</f>
        <v>#REF!</v>
      </c>
      <c r="V505" s="742" t="e">
        <f>#REF!/$B$6</f>
        <v>#REF!</v>
      </c>
      <c r="W505" s="742" t="e">
        <f>#REF!/$B$6</f>
        <v>#REF!</v>
      </c>
      <c r="X505" s="742" t="e">
        <f>#REF!/$B$6</f>
        <v>#REF!</v>
      </c>
      <c r="Y505" s="742" t="e">
        <f>#REF!/$B$6</f>
        <v>#REF!</v>
      </c>
      <c r="Z505" s="742" t="e">
        <f>#REF!/$B$6</f>
        <v>#REF!</v>
      </c>
      <c r="AA505" s="742" t="e">
        <f>#REF!/$B$6</f>
        <v>#REF!</v>
      </c>
    </row>
    <row r="506" spans="1:27" ht="15">
      <c r="A506" s="730" t="s">
        <v>770</v>
      </c>
      <c r="B506" s="742" t="e">
        <f>#REF!/$B$6</f>
        <v>#REF!</v>
      </c>
      <c r="C506" s="742" t="e">
        <f>#REF!/$B$6</f>
        <v>#REF!</v>
      </c>
      <c r="D506" s="742" t="e">
        <f>#REF!/$B$6</f>
        <v>#REF!</v>
      </c>
      <c r="E506" s="742" t="e">
        <f>#REF!/$B$6</f>
        <v>#REF!</v>
      </c>
      <c r="F506" s="742" t="e">
        <f>#REF!/$B$6</f>
        <v>#REF!</v>
      </c>
      <c r="G506" s="742" t="e">
        <f>#REF!/$B$6</f>
        <v>#REF!</v>
      </c>
      <c r="H506" s="742" t="e">
        <f>#REF!/$B$6</f>
        <v>#REF!</v>
      </c>
      <c r="I506" s="742" t="e">
        <f>#REF!/$B$6</f>
        <v>#REF!</v>
      </c>
      <c r="J506" s="742" t="e">
        <f>#REF!/$B$6</f>
        <v>#REF!</v>
      </c>
      <c r="K506" s="742" t="e">
        <f>#REF!/$B$6</f>
        <v>#REF!</v>
      </c>
      <c r="L506" s="742" t="e">
        <f>#REF!/$B$6</f>
        <v>#REF!</v>
      </c>
      <c r="M506" s="742" t="e">
        <f>#REF!/$B$6</f>
        <v>#REF!</v>
      </c>
      <c r="N506" s="742" t="e">
        <f>#REF!/$B$6</f>
        <v>#REF!</v>
      </c>
      <c r="O506" s="742" t="e">
        <f>#REF!/$B$6</f>
        <v>#REF!</v>
      </c>
      <c r="P506" s="742" t="e">
        <f>#REF!/$B$6</f>
        <v>#REF!</v>
      </c>
      <c r="Q506" s="742" t="e">
        <f>#REF!/$B$6</f>
        <v>#REF!</v>
      </c>
      <c r="R506" s="742" t="e">
        <f>#REF!/$B$6</f>
        <v>#REF!</v>
      </c>
      <c r="S506" s="742" t="e">
        <f>#REF!/$B$6</f>
        <v>#REF!</v>
      </c>
      <c r="T506" s="742" t="e">
        <f>#REF!/$B$6</f>
        <v>#REF!</v>
      </c>
      <c r="U506" s="742" t="e">
        <f>#REF!/$B$6</f>
        <v>#REF!</v>
      </c>
      <c r="V506" s="742" t="e">
        <f>#REF!/$B$6</f>
        <v>#REF!</v>
      </c>
      <c r="W506" s="742" t="e">
        <f>#REF!/$B$6</f>
        <v>#REF!</v>
      </c>
      <c r="X506" s="742" t="e">
        <f>#REF!/$B$6</f>
        <v>#REF!</v>
      </c>
      <c r="Y506" s="742" t="e">
        <f>#REF!/$B$6</f>
        <v>#REF!</v>
      </c>
      <c r="Z506" s="742" t="e">
        <f>#REF!/$B$6</f>
        <v>#REF!</v>
      </c>
      <c r="AA506" s="742" t="e">
        <f>#REF!/$B$6</f>
        <v>#REF!</v>
      </c>
    </row>
    <row r="507" spans="1:27">
      <c r="A507" s="760" t="s">
        <v>771</v>
      </c>
      <c r="B507" s="763" t="e">
        <f>SUM(B504:B506)</f>
        <v>#REF!</v>
      </c>
      <c r="C507" s="763" t="e">
        <f t="shared" ref="C507:Z507" si="262">SUM(C504:C506)</f>
        <v>#REF!</v>
      </c>
      <c r="D507" s="763" t="e">
        <f t="shared" si="262"/>
        <v>#REF!</v>
      </c>
      <c r="E507" s="763" t="e">
        <f t="shared" si="262"/>
        <v>#REF!</v>
      </c>
      <c r="F507" s="763" t="e">
        <f t="shared" si="262"/>
        <v>#REF!</v>
      </c>
      <c r="G507" s="763" t="e">
        <f t="shared" si="262"/>
        <v>#REF!</v>
      </c>
      <c r="H507" s="763" t="e">
        <f t="shared" si="262"/>
        <v>#REF!</v>
      </c>
      <c r="I507" s="763" t="e">
        <f t="shared" si="262"/>
        <v>#REF!</v>
      </c>
      <c r="J507" s="763" t="e">
        <f t="shared" si="262"/>
        <v>#REF!</v>
      </c>
      <c r="K507" s="763" t="e">
        <f t="shared" si="262"/>
        <v>#REF!</v>
      </c>
      <c r="L507" s="763" t="e">
        <f t="shared" si="262"/>
        <v>#REF!</v>
      </c>
      <c r="M507" s="763" t="e">
        <f t="shared" si="262"/>
        <v>#REF!</v>
      </c>
      <c r="N507" s="763" t="e">
        <f t="shared" si="262"/>
        <v>#REF!</v>
      </c>
      <c r="O507" s="763" t="e">
        <f t="shared" si="262"/>
        <v>#REF!</v>
      </c>
      <c r="P507" s="763" t="e">
        <f t="shared" si="262"/>
        <v>#REF!</v>
      </c>
      <c r="Q507" s="763" t="e">
        <f t="shared" si="262"/>
        <v>#REF!</v>
      </c>
      <c r="R507" s="763" t="e">
        <f t="shared" si="262"/>
        <v>#REF!</v>
      </c>
      <c r="S507" s="763" t="e">
        <f t="shared" si="262"/>
        <v>#REF!</v>
      </c>
      <c r="T507" s="763" t="e">
        <f t="shared" si="262"/>
        <v>#REF!</v>
      </c>
      <c r="U507" s="763" t="e">
        <f t="shared" si="262"/>
        <v>#REF!</v>
      </c>
      <c r="V507" s="763" t="e">
        <f t="shared" si="262"/>
        <v>#REF!</v>
      </c>
      <c r="W507" s="763" t="e">
        <f t="shared" si="262"/>
        <v>#REF!</v>
      </c>
      <c r="X507" s="763" t="e">
        <f t="shared" si="262"/>
        <v>#REF!</v>
      </c>
      <c r="Y507" s="763" t="e">
        <f t="shared" si="262"/>
        <v>#REF!</v>
      </c>
      <c r="Z507" s="763" t="e">
        <f t="shared" si="262"/>
        <v>#REF!</v>
      </c>
      <c r="AA507" s="763" t="e">
        <f t="shared" ref="AA507" si="263">SUM(AA504:AA506)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Overview (LC)</vt:lpstr>
      <vt:lpstr>Overview (Current € FX)</vt:lpstr>
      <vt:lpstr>Summary</vt:lpstr>
      <vt:lpstr>Online Summary</vt:lpstr>
      <vt:lpstr>Annual</vt:lpstr>
      <vt:lpstr>New Summary Monthly</vt:lpstr>
      <vt:lpstr>New Summary Quarterly</vt:lpstr>
      <vt:lpstr>Archive Detailed Monthly</vt:lpstr>
      <vt:lpstr>Output €</vt:lpstr>
      <vt:lpstr>Output $</vt:lpstr>
    </vt:vector>
  </TitlesOfParts>
  <Company>H2GC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Holliday</dc:creator>
  <cp:lastModifiedBy>Michelle Bee</cp:lastModifiedBy>
  <dcterms:created xsi:type="dcterms:W3CDTF">2008-11-09T14:40:44Z</dcterms:created>
  <dcterms:modified xsi:type="dcterms:W3CDTF">2025-06-10T12:20:39Z</dcterms:modified>
</cp:coreProperties>
</file>